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omments3.xml" ContentType="application/vnd.openxmlformats-officedocument.spreadsheetml.comments+xml"/>
  <Override PartName="/xl/threadedComments/threadedComment3.xml" ContentType="application/vnd.ms-excel.threadedcomments+xml"/>
  <Override PartName="/xl/drawings/drawing9.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ctrlProps/ctrlProp1.xml" ContentType="application/vnd.ms-excel.controlproperties+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202300"/>
  <mc:AlternateContent xmlns:mc="http://schemas.openxmlformats.org/markup-compatibility/2006">
    <mc:Choice Requires="x15">
      <x15ac:absPath xmlns:x15ac="http://schemas.microsoft.com/office/spreadsheetml/2010/11/ac" url="C:\Users\LEGION\Downloads\"/>
    </mc:Choice>
  </mc:AlternateContent>
  <xr:revisionPtr revIDLastSave="0" documentId="13_ncr:1_{D6AE7A2C-ABC6-4FBC-BD0B-3CB23343B930}" xr6:coauthVersionLast="47" xr6:coauthVersionMax="47" xr10:uidLastSave="{00000000-0000-0000-0000-000000000000}"/>
  <bookViews>
    <workbookView xWindow="-110" yWindow="-110" windowWidth="25820" windowHeight="15500" tabRatio="808" firstSheet="2" activeTab="12" xr2:uid="{9E24EF10-21CE-42A7-BDD3-7B1714A9B918}"/>
  </bookViews>
  <sheets>
    <sheet name="Business Infos" sheetId="1" r:id="rId1"/>
    <sheet name="Input 1" sheetId="2" r:id="rId2"/>
    <sheet name="Input 1 (4)" sheetId="3" r:id="rId3"/>
    <sheet name="Input 1 (3)" sheetId="4" r:id="rId4"/>
    <sheet name="Input 1 (2)" sheetId="5" r:id="rId5"/>
    <sheet name="Input 1 (8)" sheetId="6" r:id="rId6"/>
    <sheet name="Input 1 (7)" sheetId="7" r:id="rId7"/>
    <sheet name="Input 1 (1)" sheetId="8" r:id="rId8"/>
    <sheet name="Input 1 (6)" sheetId="9" r:id="rId9"/>
    <sheet name="Input 1 (5)" sheetId="10" r:id="rId10"/>
    <sheet name="Output FS&amp;R" sheetId="11" r:id="rId11"/>
    <sheet name="Output TM" sheetId="12" r:id="rId12"/>
    <sheet name="Summary" sheetId="13" r:id="rId13"/>
    <sheet name="Data" sheetId="14" state="hidden" r:id="rId14"/>
  </sheets>
  <definedNames>
    <definedName name="_xlchart.v1.0" hidden="1">Summary!$P$17:$P$24</definedName>
    <definedName name="_xlchart.v1.1" hidden="1">Summary!$P$17:$P$24</definedName>
    <definedName name="_xlchart.v1.2" hidden="1">Summary!$P$17:$P$24</definedName>
    <definedName name="_xlchart.v1.3" hidden="1">Summary!$P$17:$P$24</definedName>
    <definedName name="_xlchart.v1.4" hidden="1">Summary!$P$17:$P$24</definedName>
    <definedName name="_xlchart.v1.5" hidden="1">Summary!$P$17:$P$24</definedName>
    <definedName name="_xlchart.v1.6" hidden="1">Summary!$P$17:$P$24</definedName>
    <definedName name="_xlchart.v1.7" hidden="1">Summary!$P$17:$P$24</definedName>
    <definedName name="_xlchart.v1.8" hidden="1">Summary!$P$17:$P$24</definedName>
    <definedName name="Base" localSheetId="7">'Input 1 (1)'!$B$2</definedName>
    <definedName name="Base">'Input 1'!$B$2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S8" i="14" l="1" a="1"/>
  <c r="AS8" i="14"/>
  <c r="AS12" i="14" a="1"/>
  <c r="AS12" i="14"/>
  <c r="AO12" i="14" a="1"/>
  <c r="AO12" i="14" s="1"/>
  <c r="AE12" i="14" a="1"/>
  <c r="AE12" i="14" s="1"/>
  <c r="AD12" i="14" a="1"/>
  <c r="AD12" i="14" s="1"/>
  <c r="AB12" i="14" a="1"/>
  <c r="AB12" i="14" s="1"/>
  <c r="AA12" i="14" a="1"/>
  <c r="AA12" i="14" s="1"/>
  <c r="Z12" i="14" a="1"/>
  <c r="Z12" i="14" s="1"/>
  <c r="W12" i="14" a="1"/>
  <c r="W12" i="14"/>
  <c r="X12" i="14" a="1"/>
  <c r="X12" i="14" s="1"/>
  <c r="Y12" i="14" a="1"/>
  <c r="Y12" i="14" s="1"/>
  <c r="V12" i="14" a="1"/>
  <c r="V12" i="14" s="1"/>
  <c r="T12" i="14" a="1"/>
  <c r="T12" i="14"/>
  <c r="U12" i="14" a="1"/>
  <c r="U12" i="14"/>
  <c r="S12" i="14" a="1"/>
  <c r="S12" i="14" s="1"/>
  <c r="Q12" i="14" a="1"/>
  <c r="Q12" i="14"/>
  <c r="R12" i="14" a="1"/>
  <c r="R12" i="14"/>
  <c r="P12" i="14" a="1"/>
  <c r="P12" i="14" s="1"/>
  <c r="P12" i="13" a="1"/>
  <c r="P12" i="13" s="1"/>
  <c r="C16" i="11" a="1"/>
  <c r="C16" i="11" s="1"/>
  <c r="K8" i="14" s="1"/>
  <c r="C17" i="11" a="1"/>
  <c r="C17" i="11" s="1"/>
  <c r="K9" i="14" s="1"/>
  <c r="C18" i="11" a="1"/>
  <c r="C18" i="11" s="1"/>
  <c r="K10" i="14" s="1"/>
  <c r="C19" i="11" a="1"/>
  <c r="C19" i="11" s="1"/>
  <c r="K11" i="14" s="1"/>
  <c r="C26" i="11" a="1"/>
  <c r="C26" i="11" s="1"/>
  <c r="K12" i="14" s="1"/>
  <c r="C27" i="11" a="1"/>
  <c r="C27" i="11" s="1"/>
  <c r="K13" i="14" s="1"/>
  <c r="C28" i="11" a="1"/>
  <c r="C28" i="11" s="1"/>
  <c r="K14" i="14" s="1"/>
  <c r="C29" i="11" a="1"/>
  <c r="C29" i="11" s="1"/>
  <c r="K15" i="14" s="1"/>
  <c r="O17" i="13" l="1" a="1"/>
  <c r="O17" i="13" s="1"/>
  <c r="N17" i="13" s="1" a="1"/>
  <c r="N17" i="13" s="1"/>
  <c r="AA27" i="12"/>
  <c r="AA26" i="12"/>
  <c r="AA25" i="12"/>
  <c r="AA17" i="12"/>
  <c r="AA16" i="12"/>
  <c r="AA14" i="12"/>
  <c r="AH29" i="11"/>
  <c r="AH28" i="11"/>
  <c r="AH27" i="11"/>
  <c r="AH19" i="11"/>
  <c r="AH18" i="11"/>
  <c r="AH16" i="11"/>
  <c r="AG29" i="11"/>
  <c r="AG28" i="11"/>
  <c r="AG27" i="11"/>
  <c r="AG19" i="11"/>
  <c r="AG18" i="11"/>
  <c r="AG16" i="11"/>
  <c r="AD29" i="11"/>
  <c r="AD28" i="11"/>
  <c r="AD27" i="11"/>
  <c r="AD19" i="11"/>
  <c r="AD18" i="11"/>
  <c r="AD16" i="11"/>
  <c r="AB29" i="11"/>
  <c r="AB28" i="11"/>
  <c r="AB27" i="11"/>
  <c r="AB19" i="11"/>
  <c r="AB18" i="11"/>
  <c r="AB16" i="11"/>
  <c r="AA29" i="11"/>
  <c r="AA28" i="11"/>
  <c r="AA27" i="11"/>
  <c r="AA19" i="11"/>
  <c r="AA18" i="11"/>
  <c r="AA16" i="11"/>
  <c r="Y29" i="11"/>
  <c r="Y28" i="11"/>
  <c r="Y27" i="11"/>
  <c r="Y19" i="11"/>
  <c r="Y18" i="11"/>
  <c r="Y16" i="11"/>
  <c r="X29" i="11"/>
  <c r="X28" i="11"/>
  <c r="X27" i="11"/>
  <c r="X19" i="11"/>
  <c r="X18" i="11"/>
  <c r="X16" i="11"/>
  <c r="W29" i="11"/>
  <c r="W28" i="11"/>
  <c r="W27" i="11"/>
  <c r="W26" i="11"/>
  <c r="W19" i="11"/>
  <c r="W18" i="11"/>
  <c r="W16" i="11"/>
  <c r="V29" i="11"/>
  <c r="V28" i="11"/>
  <c r="V27" i="11"/>
  <c r="V26" i="11"/>
  <c r="V19" i="11"/>
  <c r="V18" i="11"/>
  <c r="V16" i="11"/>
  <c r="T29" i="11"/>
  <c r="T28" i="11"/>
  <c r="T27" i="11"/>
  <c r="T19" i="11"/>
  <c r="T18" i="11"/>
  <c r="T16" i="11"/>
  <c r="S29" i="11"/>
  <c r="S28" i="11"/>
  <c r="S27" i="11"/>
  <c r="S19" i="11"/>
  <c r="S18" i="11"/>
  <c r="S16" i="11"/>
  <c r="R29" i="11"/>
  <c r="R28" i="11"/>
  <c r="R27" i="11"/>
  <c r="R19" i="11"/>
  <c r="R18" i="11"/>
  <c r="R16" i="11"/>
  <c r="P29" i="11"/>
  <c r="P28" i="11"/>
  <c r="P27" i="11"/>
  <c r="P19" i="11"/>
  <c r="P18" i="11"/>
  <c r="P16" i="11"/>
  <c r="O29" i="11"/>
  <c r="O28" i="11"/>
  <c r="O27" i="11"/>
  <c r="O19" i="11"/>
  <c r="O18" i="11"/>
  <c r="O16" i="11"/>
  <c r="N29" i="11"/>
  <c r="N28" i="11"/>
  <c r="N32" i="11" s="1"/>
  <c r="N27" i="11"/>
  <c r="N26" i="11"/>
  <c r="N19" i="11"/>
  <c r="N18" i="11"/>
  <c r="N16" i="11"/>
  <c r="AH43" i="12"/>
  <c r="AE43" i="12"/>
  <c r="Z43" i="12"/>
  <c r="U43" i="12"/>
  <c r="Q43" i="12"/>
  <c r="M43" i="12"/>
  <c r="J43" i="12"/>
  <c r="AH42" i="12"/>
  <c r="AE42" i="12"/>
  <c r="Z42" i="12"/>
  <c r="U42" i="12"/>
  <c r="Q42" i="12"/>
  <c r="M42" i="12"/>
  <c r="J42" i="12"/>
  <c r="AH41" i="12"/>
  <c r="AE41" i="12"/>
  <c r="Z41" i="12"/>
  <c r="U41" i="12"/>
  <c r="Q41" i="12"/>
  <c r="M41" i="12"/>
  <c r="J41" i="12"/>
  <c r="AH40" i="12"/>
  <c r="AE40" i="12"/>
  <c r="Z40" i="12"/>
  <c r="U40" i="12"/>
  <c r="Q40" i="12"/>
  <c r="M40" i="12"/>
  <c r="J40" i="12"/>
  <c r="AE38" i="12"/>
  <c r="Z38" i="12"/>
  <c r="U38" i="12"/>
  <c r="Q38" i="12"/>
  <c r="M38" i="12"/>
  <c r="J38" i="12"/>
  <c r="AE37" i="12"/>
  <c r="Z37" i="12"/>
  <c r="U37" i="12"/>
  <c r="Q37" i="12"/>
  <c r="M37" i="12"/>
  <c r="J37" i="12"/>
  <c r="AE31" i="12"/>
  <c r="Z31" i="12"/>
  <c r="U31" i="12"/>
  <c r="Q31" i="12"/>
  <c r="M31" i="12"/>
  <c r="J31" i="12"/>
  <c r="AE30" i="12"/>
  <c r="Z30" i="12"/>
  <c r="U30" i="12"/>
  <c r="Q30" i="12"/>
  <c r="M30" i="12"/>
  <c r="J30" i="12"/>
  <c r="Y27" i="12"/>
  <c r="K27" i="12" a="1"/>
  <c r="K27" i="12" s="1"/>
  <c r="H27" i="12" a="1"/>
  <c r="H27" i="12" s="1"/>
  <c r="L15" i="14" s="1"/>
  <c r="G27" i="12" a="1"/>
  <c r="G27" i="12" s="1"/>
  <c r="C27" i="12" a="1"/>
  <c r="C27" i="12" s="1"/>
  <c r="Y26" i="12"/>
  <c r="K26" i="12" a="1"/>
  <c r="K26" i="12" s="1"/>
  <c r="H26" i="12" a="1"/>
  <c r="H26" i="12" s="1"/>
  <c r="L14" i="14" s="1"/>
  <c r="G26" i="12" a="1"/>
  <c r="G26" i="12" s="1"/>
  <c r="C26" i="12" a="1"/>
  <c r="C26" i="12" s="1"/>
  <c r="Y25" i="12"/>
  <c r="K25" i="12" a="1"/>
  <c r="K25" i="12" s="1"/>
  <c r="H25" i="12" a="1"/>
  <c r="H25" i="12" s="1"/>
  <c r="L13" i="14" s="1"/>
  <c r="G25" i="12" a="1"/>
  <c r="G25" i="12" s="1"/>
  <c r="C25" i="12" a="1"/>
  <c r="C25" i="12" s="1"/>
  <c r="K24" i="12" a="1"/>
  <c r="K24" i="12" s="1"/>
  <c r="H24" i="12" a="1"/>
  <c r="H24" i="12" s="1"/>
  <c r="L12" i="14" s="1"/>
  <c r="G24" i="12" a="1"/>
  <c r="G24" i="12" s="1"/>
  <c r="C24" i="12" a="1"/>
  <c r="C24" i="12" s="1"/>
  <c r="AE21" i="12"/>
  <c r="Z21" i="12"/>
  <c r="U21" i="12"/>
  <c r="Q21" i="12"/>
  <c r="M21" i="12"/>
  <c r="J21" i="12"/>
  <c r="AE20" i="12"/>
  <c r="Z20" i="12"/>
  <c r="U20" i="12"/>
  <c r="Q20" i="12"/>
  <c r="M20" i="12"/>
  <c r="J20" i="12"/>
  <c r="Y17" i="12"/>
  <c r="K17" i="12" a="1"/>
  <c r="K17" i="12" s="1"/>
  <c r="H17" i="12" a="1"/>
  <c r="H17" i="12" s="1"/>
  <c r="L11" i="14" s="1"/>
  <c r="G17" i="12" a="1"/>
  <c r="G17" i="12" s="1"/>
  <c r="C17" i="12" a="1"/>
  <c r="C17" i="12" s="1"/>
  <c r="Y16" i="12"/>
  <c r="K16" i="12" a="1"/>
  <c r="K16" i="12" s="1"/>
  <c r="H16" i="12" a="1"/>
  <c r="H16" i="12" s="1"/>
  <c r="L10" i="14" s="1"/>
  <c r="G16" i="12" a="1"/>
  <c r="G16" i="12" s="1"/>
  <c r="C16" i="12" a="1"/>
  <c r="C16" i="12" s="1"/>
  <c r="K15" i="12" a="1"/>
  <c r="K15" i="12" s="1"/>
  <c r="H15" i="12" a="1"/>
  <c r="H15" i="12" s="1"/>
  <c r="L9" i="14" s="1"/>
  <c r="G15" i="12" a="1"/>
  <c r="G15" i="12" s="1"/>
  <c r="C15" i="12" a="1"/>
  <c r="C15" i="12" s="1"/>
  <c r="K14" i="12" a="1"/>
  <c r="K14" i="12" s="1"/>
  <c r="H14" i="12" a="1"/>
  <c r="H14" i="12" s="1"/>
  <c r="L8" i="14" s="1"/>
  <c r="G14" i="12" a="1"/>
  <c r="G14" i="12" s="1"/>
  <c r="C14" i="12" a="1"/>
  <c r="C14" i="12" s="1"/>
  <c r="AF46" i="11"/>
  <c r="AC46" i="11"/>
  <c r="M46" i="11"/>
  <c r="AF45" i="11"/>
  <c r="AC45" i="11"/>
  <c r="Z45" i="11"/>
  <c r="U45" i="11"/>
  <c r="Q45" i="11"/>
  <c r="M45" i="11"/>
  <c r="AF44" i="11"/>
  <c r="AC44" i="11"/>
  <c r="Z44" i="11"/>
  <c r="U44" i="11"/>
  <c r="Q44" i="11"/>
  <c r="M44" i="11"/>
  <c r="AF43" i="11"/>
  <c r="AC43" i="11"/>
  <c r="M43" i="11"/>
  <c r="AF41" i="11"/>
  <c r="AC41" i="11"/>
  <c r="Z41" i="11"/>
  <c r="U41" i="11"/>
  <c r="Q41" i="11"/>
  <c r="M41" i="11"/>
  <c r="AF40" i="11"/>
  <c r="AC40" i="11"/>
  <c r="Z40" i="11"/>
  <c r="U40" i="11"/>
  <c r="Q40" i="11"/>
  <c r="M40" i="11"/>
  <c r="AF33" i="11"/>
  <c r="AC33" i="11"/>
  <c r="Z33" i="11"/>
  <c r="W33" i="11"/>
  <c r="U33" i="11"/>
  <c r="Q33" i="11"/>
  <c r="N33" i="11"/>
  <c r="M33" i="11"/>
  <c r="AF32" i="11"/>
  <c r="AC32" i="11"/>
  <c r="Z32" i="11"/>
  <c r="W32" i="11"/>
  <c r="V32" i="11"/>
  <c r="U32" i="11"/>
  <c r="Q32" i="11"/>
  <c r="M32" i="11"/>
  <c r="K29" i="11" a="1"/>
  <c r="K29" i="11" s="1"/>
  <c r="E13" i="1" s="1"/>
  <c r="G29" i="11" a="1"/>
  <c r="G29" i="11" s="1"/>
  <c r="K28" i="11" a="1"/>
  <c r="K28" i="11" s="1"/>
  <c r="K27" i="11" a="1"/>
  <c r="K27" i="11" s="1"/>
  <c r="K26" i="11" a="1"/>
  <c r="K26" i="11" s="1"/>
  <c r="AF23" i="11"/>
  <c r="AC23" i="11"/>
  <c r="Z23" i="11"/>
  <c r="U23" i="11"/>
  <c r="Q23" i="11"/>
  <c r="M23" i="11"/>
  <c r="AF22" i="11"/>
  <c r="AC22" i="11"/>
  <c r="Z22" i="11"/>
  <c r="U22" i="11"/>
  <c r="Q22" i="11"/>
  <c r="M22" i="11"/>
  <c r="K19" i="11" a="1"/>
  <c r="K19" i="11" s="1"/>
  <c r="K18" i="11" a="1"/>
  <c r="K18" i="11" s="1"/>
  <c r="E7" i="1" s="1"/>
  <c r="K17" i="11" a="1"/>
  <c r="K17" i="11" s="1"/>
  <c r="K16" i="11" a="1"/>
  <c r="K16" i="11" s="1"/>
  <c r="N13" i="11"/>
  <c r="H13" i="11"/>
  <c r="E73" i="10"/>
  <c r="C69" i="10"/>
  <c r="C68" i="10"/>
  <c r="R66" i="10"/>
  <c r="T66" i="10" s="1"/>
  <c r="P66" i="10"/>
  <c r="N66" i="10"/>
  <c r="L66" i="10"/>
  <c r="J66" i="10"/>
  <c r="AA65" i="10"/>
  <c r="T65" i="10"/>
  <c r="AA64" i="10"/>
  <c r="R64" i="10"/>
  <c r="P64" i="10"/>
  <c r="N64" i="10"/>
  <c r="T64" i="10" s="1"/>
  <c r="L64" i="10"/>
  <c r="J64" i="10"/>
  <c r="AA63" i="10"/>
  <c r="T63" i="10"/>
  <c r="AA62" i="10"/>
  <c r="AA61" i="10"/>
  <c r="T57" i="10"/>
  <c r="X56" i="10"/>
  <c r="J56" i="10"/>
  <c r="T54" i="10"/>
  <c r="N53" i="10"/>
  <c r="T53" i="10" s="1"/>
  <c r="L53" i="10"/>
  <c r="J53" i="10"/>
  <c r="R52" i="10"/>
  <c r="J52" i="10"/>
  <c r="R51" i="10"/>
  <c r="P51" i="10"/>
  <c r="N51" i="10"/>
  <c r="L51" i="10"/>
  <c r="J51" i="10"/>
  <c r="T50" i="10"/>
  <c r="J49" i="10"/>
  <c r="J55" i="10" s="1"/>
  <c r="J59" i="10" s="1"/>
  <c r="L46" i="10"/>
  <c r="L47" i="10" s="1"/>
  <c r="R45" i="10"/>
  <c r="P45" i="10"/>
  <c r="N45" i="10"/>
  <c r="T45" i="10" s="1"/>
  <c r="L45" i="10"/>
  <c r="J45" i="10"/>
  <c r="R41" i="10"/>
  <c r="P41" i="10"/>
  <c r="P52" i="10" s="1"/>
  <c r="N41" i="10"/>
  <c r="L41" i="10"/>
  <c r="L52" i="10" s="1"/>
  <c r="J41" i="10"/>
  <c r="E41" i="10"/>
  <c r="C72" i="10" s="1"/>
  <c r="D41" i="10"/>
  <c r="C71" i="10" s="1"/>
  <c r="C41" i="10"/>
  <c r="R40" i="10"/>
  <c r="T40" i="10" s="1"/>
  <c r="P40" i="10"/>
  <c r="N40" i="10"/>
  <c r="L40" i="10"/>
  <c r="J40" i="10"/>
  <c r="T37" i="10"/>
  <c r="L36" i="10"/>
  <c r="J36" i="10"/>
  <c r="AA35" i="10"/>
  <c r="AA36" i="10" s="1"/>
  <c r="Z35" i="10"/>
  <c r="Z36" i="10" s="1"/>
  <c r="T34" i="10"/>
  <c r="J33" i="10"/>
  <c r="J35" i="10" s="1"/>
  <c r="E33" i="10"/>
  <c r="E32" i="10"/>
  <c r="E31" i="10"/>
  <c r="AA30" i="10"/>
  <c r="Z30" i="10"/>
  <c r="E30" i="10"/>
  <c r="J29" i="10"/>
  <c r="E27" i="10"/>
  <c r="AA26" i="10"/>
  <c r="Z26" i="10"/>
  <c r="E25" i="10"/>
  <c r="T24" i="10"/>
  <c r="E24" i="10" a="1"/>
  <c r="E24" i="10" s="1"/>
  <c r="D24" i="10" a="1"/>
  <c r="D24" i="10" s="1"/>
  <c r="T23" i="10"/>
  <c r="E23" i="10" a="1"/>
  <c r="E23" i="10" s="1"/>
  <c r="D23" i="10" a="1"/>
  <c r="D23" i="10" s="1"/>
  <c r="T22" i="10"/>
  <c r="L21" i="10"/>
  <c r="L25" i="10" s="1"/>
  <c r="J21" i="10"/>
  <c r="J25" i="10" s="1"/>
  <c r="E21" i="10" a="1"/>
  <c r="E21" i="10" s="1"/>
  <c r="D21" i="10" a="1"/>
  <c r="D21" i="10" s="1"/>
  <c r="T20" i="10"/>
  <c r="T19" i="10"/>
  <c r="AA18" i="10"/>
  <c r="Z18" i="10"/>
  <c r="N18" i="10"/>
  <c r="N39" i="10" s="1"/>
  <c r="N42" i="10" s="1"/>
  <c r="N46" i="10" s="1"/>
  <c r="L18" i="10"/>
  <c r="L39" i="10" s="1"/>
  <c r="L42" i="10" s="1"/>
  <c r="L43" i="10" s="1"/>
  <c r="R17" i="10"/>
  <c r="R18" i="10" s="1"/>
  <c r="P17" i="10"/>
  <c r="N17" i="10"/>
  <c r="L17" i="10"/>
  <c r="J17" i="10"/>
  <c r="T16" i="10"/>
  <c r="R15" i="10"/>
  <c r="R33" i="10" s="1"/>
  <c r="R35" i="10" s="1"/>
  <c r="R36" i="10" s="1"/>
  <c r="P15" i="10"/>
  <c r="N15" i="10"/>
  <c r="L15" i="10"/>
  <c r="L33" i="10" s="1"/>
  <c r="L35" i="10" s="1"/>
  <c r="J15" i="10"/>
  <c r="J18" i="10" s="1"/>
  <c r="J39" i="10" s="1"/>
  <c r="J42" i="10" s="1"/>
  <c r="J43" i="10" s="1"/>
  <c r="AA14" i="10"/>
  <c r="AA15" i="10" s="1"/>
  <c r="AA21" i="10" s="1"/>
  <c r="Z14" i="10"/>
  <c r="Z15" i="10" s="1"/>
  <c r="Z21" i="10" s="1"/>
  <c r="T14" i="10"/>
  <c r="T13" i="10"/>
  <c r="W3" i="10"/>
  <c r="C72" i="9"/>
  <c r="C71" i="9"/>
  <c r="C69" i="9"/>
  <c r="C68" i="9"/>
  <c r="R66" i="9"/>
  <c r="T66" i="9" s="1"/>
  <c r="P66" i="9"/>
  <c r="N66" i="9"/>
  <c r="L66" i="9"/>
  <c r="J66" i="9"/>
  <c r="AA65" i="9"/>
  <c r="T65" i="9"/>
  <c r="AA64" i="9"/>
  <c r="R64" i="9"/>
  <c r="P64" i="9"/>
  <c r="N64" i="9"/>
  <c r="T64" i="9" s="1"/>
  <c r="L64" i="9"/>
  <c r="J64" i="9"/>
  <c r="AA63" i="9"/>
  <c r="AA66" i="9" s="1"/>
  <c r="AA44" i="9" s="1"/>
  <c r="T63" i="9"/>
  <c r="AA62" i="9"/>
  <c r="AA61" i="9"/>
  <c r="T57" i="9"/>
  <c r="X56" i="9"/>
  <c r="T54" i="9"/>
  <c r="T53" i="9"/>
  <c r="R52" i="9"/>
  <c r="T52" i="9" s="1"/>
  <c r="P52" i="9"/>
  <c r="N52" i="9"/>
  <c r="L52" i="9"/>
  <c r="J52" i="9"/>
  <c r="R51" i="9"/>
  <c r="T51" i="9" s="1"/>
  <c r="P51" i="9"/>
  <c r="N51" i="9"/>
  <c r="L51" i="9"/>
  <c r="J51" i="9"/>
  <c r="T50" i="9"/>
  <c r="R45" i="9"/>
  <c r="T45" i="9" s="1"/>
  <c r="P45" i="9"/>
  <c r="N45" i="9"/>
  <c r="L45" i="9"/>
  <c r="J45" i="9"/>
  <c r="T41" i="9"/>
  <c r="E41" i="9"/>
  <c r="D41" i="9"/>
  <c r="R40" i="9"/>
  <c r="T40" i="9" s="1"/>
  <c r="P40" i="9"/>
  <c r="N40" i="9"/>
  <c r="L40" i="9"/>
  <c r="J40" i="9"/>
  <c r="T37" i="9"/>
  <c r="N36" i="9"/>
  <c r="T36" i="9" s="1"/>
  <c r="L36" i="9"/>
  <c r="J35" i="9"/>
  <c r="J36" i="9" s="1"/>
  <c r="T34" i="9"/>
  <c r="R33" i="9"/>
  <c r="R35" i="9" s="1"/>
  <c r="R36" i="9" s="1"/>
  <c r="P33" i="9"/>
  <c r="P35" i="9" s="1"/>
  <c r="P36" i="9" s="1"/>
  <c r="N33" i="9"/>
  <c r="N35" i="9" s="1"/>
  <c r="T35" i="9" s="1"/>
  <c r="L33" i="9"/>
  <c r="L35" i="9" s="1"/>
  <c r="J33" i="9"/>
  <c r="E33" i="9"/>
  <c r="E32" i="9"/>
  <c r="E31" i="9"/>
  <c r="E30" i="9"/>
  <c r="E27" i="9"/>
  <c r="AA26" i="9"/>
  <c r="AA30" i="9" s="1"/>
  <c r="AA35" i="9" s="1"/>
  <c r="AA36" i="9" s="1"/>
  <c r="Z26" i="9"/>
  <c r="Z30" i="9" s="1"/>
  <c r="Z35" i="9" s="1"/>
  <c r="Z36" i="9" s="1"/>
  <c r="E25" i="9"/>
  <c r="T24" i="9"/>
  <c r="E24" i="9" a="1"/>
  <c r="E24" i="9" s="1"/>
  <c r="D24" i="9" a="1"/>
  <c r="D24" i="9" s="1"/>
  <c r="T23" i="9"/>
  <c r="E23" i="9" a="1"/>
  <c r="E23" i="9" s="1"/>
  <c r="D23" i="9" a="1"/>
  <c r="D23" i="9" s="1"/>
  <c r="T22" i="9"/>
  <c r="AA21" i="9"/>
  <c r="Z21" i="9"/>
  <c r="E21" i="9" a="1"/>
  <c r="E21" i="9" s="1"/>
  <c r="E54" i="9" s="1"/>
  <c r="D21" i="9" a="1"/>
  <c r="D21" i="9" s="1"/>
  <c r="T20" i="9"/>
  <c r="T19" i="9"/>
  <c r="J18" i="9"/>
  <c r="R17" i="9"/>
  <c r="R18" i="9" s="1"/>
  <c r="P17" i="9"/>
  <c r="P18" i="9" s="1"/>
  <c r="N17" i="9"/>
  <c r="N18" i="9" s="1"/>
  <c r="L17" i="9"/>
  <c r="L18" i="9" s="1"/>
  <c r="J17" i="9"/>
  <c r="T16" i="9"/>
  <c r="AA15" i="9"/>
  <c r="Z15" i="9"/>
  <c r="R15" i="9"/>
  <c r="T15" i="9" s="1"/>
  <c r="P15" i="9"/>
  <c r="N15" i="9"/>
  <c r="L15" i="9"/>
  <c r="J15" i="9"/>
  <c r="T14" i="9"/>
  <c r="T13" i="9"/>
  <c r="C41" i="9" s="1"/>
  <c r="W3" i="9"/>
  <c r="C69" i="8"/>
  <c r="C68" i="8"/>
  <c r="R66" i="8"/>
  <c r="T66" i="8" s="1"/>
  <c r="P66" i="8"/>
  <c r="N66" i="8"/>
  <c r="L66" i="8"/>
  <c r="J66" i="8"/>
  <c r="AA65" i="8"/>
  <c r="T65" i="8"/>
  <c r="AA64" i="8"/>
  <c r="R64" i="8"/>
  <c r="P64" i="8"/>
  <c r="N64" i="8"/>
  <c r="T64" i="8" s="1"/>
  <c r="L64" i="8"/>
  <c r="J64" i="8"/>
  <c r="AA63" i="8"/>
  <c r="T63" i="8"/>
  <c r="AA62" i="8"/>
  <c r="AA61" i="8"/>
  <c r="T57" i="8"/>
  <c r="X56" i="8"/>
  <c r="T54" i="8"/>
  <c r="T53" i="8"/>
  <c r="L52" i="8"/>
  <c r="R51" i="8"/>
  <c r="P51" i="8"/>
  <c r="N51" i="8"/>
  <c r="T51" i="8" s="1"/>
  <c r="L51" i="8"/>
  <c r="J51" i="8"/>
  <c r="T50" i="8"/>
  <c r="R45" i="8"/>
  <c r="T45" i="8" s="1"/>
  <c r="P45" i="8"/>
  <c r="N45" i="8"/>
  <c r="L45" i="8"/>
  <c r="J45" i="8"/>
  <c r="R41" i="8"/>
  <c r="R52" i="8" s="1"/>
  <c r="P41" i="8"/>
  <c r="P52" i="8" s="1"/>
  <c r="N41" i="8"/>
  <c r="T41" i="8" s="1"/>
  <c r="L41" i="8"/>
  <c r="J41" i="8"/>
  <c r="J52" i="8" s="1"/>
  <c r="E41" i="8"/>
  <c r="C72" i="8" s="1"/>
  <c r="D41" i="8"/>
  <c r="C71" i="8" s="1"/>
  <c r="R40" i="8"/>
  <c r="P40" i="8"/>
  <c r="N40" i="8"/>
  <c r="L40" i="8"/>
  <c r="J40" i="8"/>
  <c r="T37" i="8"/>
  <c r="AA35" i="8"/>
  <c r="Z35" i="8"/>
  <c r="T34" i="8"/>
  <c r="E33" i="8"/>
  <c r="E32" i="8"/>
  <c r="E31" i="8"/>
  <c r="Z30" i="8"/>
  <c r="E30" i="8"/>
  <c r="E27" i="8"/>
  <c r="AA26" i="8"/>
  <c r="AA30" i="8" s="1"/>
  <c r="Z26" i="8"/>
  <c r="E25" i="8"/>
  <c r="T24" i="8"/>
  <c r="E24" i="8" a="1"/>
  <c r="E24" i="8" s="1"/>
  <c r="D24" i="8" a="1"/>
  <c r="D24" i="8" s="1"/>
  <c r="T23" i="8"/>
  <c r="E23" i="8" a="1"/>
  <c r="E23" i="8" s="1"/>
  <c r="D23" i="8" a="1"/>
  <c r="D23" i="8" s="1"/>
  <c r="T22" i="8"/>
  <c r="AA21" i="8"/>
  <c r="Z21" i="8"/>
  <c r="Z36" i="8" s="1"/>
  <c r="P21" i="8"/>
  <c r="E21" i="8" a="1"/>
  <c r="E21" i="8" s="1"/>
  <c r="D21" i="8" a="1"/>
  <c r="D21" i="8" s="1"/>
  <c r="T20" i="8"/>
  <c r="AA19" i="8"/>
  <c r="T19" i="8"/>
  <c r="AA18" i="8"/>
  <c r="Z18" i="8"/>
  <c r="R18" i="8"/>
  <c r="P18" i="8"/>
  <c r="P39" i="8" s="1"/>
  <c r="P42" i="8" s="1"/>
  <c r="R17" i="8"/>
  <c r="P17" i="8"/>
  <c r="N17" i="8"/>
  <c r="T17" i="8" s="1"/>
  <c r="L17" i="8"/>
  <c r="J17" i="8"/>
  <c r="T16" i="8"/>
  <c r="AA15" i="8"/>
  <c r="Z15" i="8"/>
  <c r="R15" i="8"/>
  <c r="R33" i="8" s="1"/>
  <c r="R35" i="8" s="1"/>
  <c r="R36" i="8" s="1"/>
  <c r="P15" i="8"/>
  <c r="P33" i="8" s="1"/>
  <c r="P35" i="8" s="1"/>
  <c r="P36" i="8" s="1"/>
  <c r="N15" i="8"/>
  <c r="L15" i="8"/>
  <c r="J15" i="8"/>
  <c r="T14" i="8"/>
  <c r="T13" i="8"/>
  <c r="C41" i="8" s="1"/>
  <c r="E11" i="8" a="1"/>
  <c r="E11" i="8" s="1"/>
  <c r="W3" i="8"/>
  <c r="C72" i="7"/>
  <c r="C71" i="7"/>
  <c r="C69" i="7"/>
  <c r="C68" i="7"/>
  <c r="N66" i="7"/>
  <c r="T66" i="7" s="1"/>
  <c r="L66" i="7"/>
  <c r="J66" i="7"/>
  <c r="AA65" i="7"/>
  <c r="T65" i="7"/>
  <c r="AA64" i="7"/>
  <c r="N64" i="7"/>
  <c r="T64" i="7" s="1"/>
  <c r="L64" i="7"/>
  <c r="J64" i="7"/>
  <c r="AA63" i="7"/>
  <c r="T63" i="7"/>
  <c r="AA62" i="7"/>
  <c r="AA61" i="7"/>
  <c r="AA66" i="7" s="1"/>
  <c r="AA44" i="7" s="1"/>
  <c r="R59" i="7"/>
  <c r="P59" i="7"/>
  <c r="X56" i="7"/>
  <c r="R56" i="7"/>
  <c r="P56" i="7"/>
  <c r="T54" i="7"/>
  <c r="N53" i="7"/>
  <c r="T53" i="7" s="1"/>
  <c r="L53" i="7"/>
  <c r="J53" i="7"/>
  <c r="N51" i="7"/>
  <c r="T51" i="7" s="1"/>
  <c r="L51" i="7"/>
  <c r="J51" i="7"/>
  <c r="T50" i="7"/>
  <c r="N45" i="7"/>
  <c r="T45" i="7" s="1"/>
  <c r="L45" i="7"/>
  <c r="J45" i="7"/>
  <c r="N41" i="7"/>
  <c r="L41" i="7"/>
  <c r="L52" i="7" s="1"/>
  <c r="J41" i="7"/>
  <c r="J52" i="7" s="1"/>
  <c r="E41" i="7"/>
  <c r="D41" i="7"/>
  <c r="C41" i="7"/>
  <c r="N40" i="7"/>
  <c r="T40" i="7" s="1"/>
  <c r="L40" i="7"/>
  <c r="J40" i="7"/>
  <c r="T37" i="7"/>
  <c r="T34" i="7"/>
  <c r="N33" i="7"/>
  <c r="L33" i="7"/>
  <c r="L35" i="7" s="1"/>
  <c r="L36" i="7" s="1"/>
  <c r="J33" i="7"/>
  <c r="J35" i="7" s="1"/>
  <c r="J36" i="7" s="1"/>
  <c r="E33" i="7"/>
  <c r="E32" i="7"/>
  <c r="E31" i="7"/>
  <c r="AA29" i="7"/>
  <c r="Z29" i="7"/>
  <c r="AA28" i="7"/>
  <c r="E30" i="7" s="1"/>
  <c r="Z28" i="7"/>
  <c r="Z30" i="7" s="1"/>
  <c r="Z35" i="7" s="1"/>
  <c r="T28" i="7"/>
  <c r="E27" i="7"/>
  <c r="AA26" i="7"/>
  <c r="AA30" i="7" s="1"/>
  <c r="AA35" i="7" s="1"/>
  <c r="AA25" i="7"/>
  <c r="Z25" i="7"/>
  <c r="Z26" i="7" s="1"/>
  <c r="E25" i="7"/>
  <c r="T24" i="7"/>
  <c r="E24" i="7" a="1"/>
  <c r="E24" i="7" s="1"/>
  <c r="D24" i="7" a="1"/>
  <c r="D24" i="7" s="1"/>
  <c r="T23" i="7"/>
  <c r="E23" i="7" a="1"/>
  <c r="E23" i="7" s="1"/>
  <c r="D23" i="7" a="1"/>
  <c r="D23" i="7" s="1"/>
  <c r="T22" i="7"/>
  <c r="Z21" i="7"/>
  <c r="Z36" i="7" s="1"/>
  <c r="E21" i="7" a="1"/>
  <c r="E21" i="7" s="1"/>
  <c r="Z53" i="7" s="1"/>
  <c r="AA53" i="7" s="1"/>
  <c r="D21" i="7" a="1"/>
  <c r="D21" i="7" s="1"/>
  <c r="T20" i="7"/>
  <c r="AA19" i="7"/>
  <c r="Z19" i="7"/>
  <c r="T19" i="7"/>
  <c r="AA18" i="7"/>
  <c r="AA21" i="7" s="1"/>
  <c r="Z18" i="7"/>
  <c r="J18" i="7"/>
  <c r="J21" i="7" s="1"/>
  <c r="N17" i="7"/>
  <c r="T17" i="7" s="1"/>
  <c r="L17" i="7"/>
  <c r="L18" i="7" s="1"/>
  <c r="J17" i="7"/>
  <c r="T16" i="7"/>
  <c r="AA15" i="7"/>
  <c r="Z15" i="7"/>
  <c r="N15" i="7"/>
  <c r="L15" i="7"/>
  <c r="J15" i="7"/>
  <c r="T14" i="7"/>
  <c r="T13" i="7"/>
  <c r="E11" i="7" a="1"/>
  <c r="E11" i="7" s="1"/>
  <c r="E10" i="7" a="1"/>
  <c r="E10" i="7" s="1"/>
  <c r="W3" i="7"/>
  <c r="C69" i="6"/>
  <c r="C68" i="6"/>
  <c r="R66" i="6"/>
  <c r="P66" i="6"/>
  <c r="N66" i="6"/>
  <c r="T66" i="6" s="1"/>
  <c r="L66" i="6"/>
  <c r="J66" i="6"/>
  <c r="AA65" i="6"/>
  <c r="T65" i="6"/>
  <c r="AA64" i="6"/>
  <c r="R64" i="6"/>
  <c r="P64" i="6"/>
  <c r="N64" i="6"/>
  <c r="T64" i="6" s="1"/>
  <c r="L64" i="6"/>
  <c r="J64" i="6"/>
  <c r="AA63" i="6"/>
  <c r="T63" i="6"/>
  <c r="AA62" i="6"/>
  <c r="AA61" i="6"/>
  <c r="T57" i="6"/>
  <c r="X56" i="6"/>
  <c r="T54" i="6"/>
  <c r="T53" i="6"/>
  <c r="J53" i="6"/>
  <c r="R52" i="6"/>
  <c r="P52" i="6"/>
  <c r="N52" i="6"/>
  <c r="T52" i="6" s="1"/>
  <c r="L52" i="6"/>
  <c r="R51" i="6"/>
  <c r="P51" i="6"/>
  <c r="N51" i="6"/>
  <c r="T51" i="6" s="1"/>
  <c r="L51" i="6"/>
  <c r="J51" i="6"/>
  <c r="T50" i="6"/>
  <c r="R45" i="6"/>
  <c r="P45" i="6"/>
  <c r="N45" i="6"/>
  <c r="T45" i="6" s="1"/>
  <c r="L45" i="6"/>
  <c r="J45" i="6"/>
  <c r="R41" i="6"/>
  <c r="P41" i="6"/>
  <c r="N41" i="6"/>
  <c r="T41" i="6" s="1"/>
  <c r="L41" i="6"/>
  <c r="J41" i="6"/>
  <c r="J52" i="6" s="1"/>
  <c r="E41" i="6"/>
  <c r="C72" i="6" s="1"/>
  <c r="D41" i="6"/>
  <c r="C71" i="6" s="1"/>
  <c r="C41" i="6"/>
  <c r="R40" i="6"/>
  <c r="T40" i="6" s="1"/>
  <c r="P40" i="6"/>
  <c r="N40" i="6"/>
  <c r="L40" i="6"/>
  <c r="J40" i="6"/>
  <c r="T37" i="6"/>
  <c r="R35" i="6"/>
  <c r="R36" i="6" s="1"/>
  <c r="N35" i="6"/>
  <c r="T34" i="6"/>
  <c r="R33" i="6"/>
  <c r="N33" i="6"/>
  <c r="L33" i="6"/>
  <c r="L35" i="6" s="1"/>
  <c r="L36" i="6" s="1"/>
  <c r="E33" i="6"/>
  <c r="E32" i="6"/>
  <c r="E31" i="6"/>
  <c r="AA30" i="6"/>
  <c r="AA35" i="6" s="1"/>
  <c r="Z30" i="6"/>
  <c r="Z35" i="6" s="1"/>
  <c r="E30" i="6"/>
  <c r="AA29" i="6"/>
  <c r="Z29" i="6"/>
  <c r="E27" i="6"/>
  <c r="AA26" i="6"/>
  <c r="E25" i="6"/>
  <c r="Z24" i="6"/>
  <c r="Z26" i="6" s="1"/>
  <c r="T24" i="6"/>
  <c r="E24" i="6" a="1"/>
  <c r="E24" i="6" s="1"/>
  <c r="D24" i="6" a="1"/>
  <c r="D24" i="6" s="1"/>
  <c r="T23" i="6"/>
  <c r="E23" i="6" a="1"/>
  <c r="E23" i="6" s="1"/>
  <c r="D23" i="6" a="1"/>
  <c r="D23" i="6" s="1"/>
  <c r="T22" i="6"/>
  <c r="AA21" i="6"/>
  <c r="AA36" i="6" s="1"/>
  <c r="E21" i="6" a="1"/>
  <c r="E21" i="6" s="1"/>
  <c r="D21" i="6" a="1"/>
  <c r="D21" i="6" s="1"/>
  <c r="T20" i="6"/>
  <c r="AA19" i="6"/>
  <c r="T19" i="6"/>
  <c r="Z18" i="6"/>
  <c r="Z19" i="6" s="1"/>
  <c r="Z21" i="6" s="1"/>
  <c r="Z36" i="6" s="1"/>
  <c r="R18" i="6"/>
  <c r="R21" i="6" s="1"/>
  <c r="R26" i="6" s="1"/>
  <c r="P18" i="6"/>
  <c r="N18" i="6"/>
  <c r="T17" i="6"/>
  <c r="R17" i="6"/>
  <c r="P17" i="6"/>
  <c r="N17" i="6"/>
  <c r="L17" i="6"/>
  <c r="L18" i="6" s="1"/>
  <c r="J17" i="6"/>
  <c r="T16" i="6"/>
  <c r="AA15" i="6"/>
  <c r="Z15" i="6"/>
  <c r="R15" i="6"/>
  <c r="P15" i="6"/>
  <c r="P33" i="6" s="1"/>
  <c r="P35" i="6" s="1"/>
  <c r="P36" i="6" s="1"/>
  <c r="N15" i="6"/>
  <c r="L15" i="6"/>
  <c r="J15" i="6"/>
  <c r="AA14" i="6"/>
  <c r="T14" i="6"/>
  <c r="E14" i="6"/>
  <c r="T13" i="6"/>
  <c r="T12" i="6"/>
  <c r="E11" i="6" a="1"/>
  <c r="E11" i="6" s="1"/>
  <c r="W3" i="6"/>
  <c r="C72" i="5"/>
  <c r="C71" i="5"/>
  <c r="C69" i="5"/>
  <c r="C68" i="5"/>
  <c r="R66" i="5"/>
  <c r="P66" i="5"/>
  <c r="N66" i="5"/>
  <c r="T66" i="5" s="1"/>
  <c r="L66" i="5"/>
  <c r="J66" i="5"/>
  <c r="AA65" i="5"/>
  <c r="T65" i="5"/>
  <c r="AA64" i="5"/>
  <c r="T64" i="5"/>
  <c r="R64" i="5"/>
  <c r="P64" i="5"/>
  <c r="N64" i="5"/>
  <c r="L64" i="5"/>
  <c r="J64" i="5"/>
  <c r="AA63" i="5"/>
  <c r="T63" i="5"/>
  <c r="AA62" i="5"/>
  <c r="AA61" i="5"/>
  <c r="T57" i="5"/>
  <c r="X56" i="5"/>
  <c r="T54" i="5"/>
  <c r="R53" i="5"/>
  <c r="T53" i="5" s="1"/>
  <c r="P53" i="5"/>
  <c r="N53" i="5"/>
  <c r="T52" i="5"/>
  <c r="R52" i="5"/>
  <c r="P52" i="5"/>
  <c r="N52" i="5"/>
  <c r="L52" i="5"/>
  <c r="R51" i="5"/>
  <c r="P51" i="5"/>
  <c r="N51" i="5"/>
  <c r="T51" i="5" s="1"/>
  <c r="L51" i="5"/>
  <c r="J51" i="5"/>
  <c r="T50" i="5"/>
  <c r="R45" i="5"/>
  <c r="P45" i="5"/>
  <c r="N45" i="5"/>
  <c r="T45" i="5" s="1"/>
  <c r="L45" i="5"/>
  <c r="J45" i="5"/>
  <c r="T41" i="5"/>
  <c r="R41" i="5"/>
  <c r="P41" i="5"/>
  <c r="N41" i="5"/>
  <c r="L41" i="5"/>
  <c r="J41" i="5"/>
  <c r="J52" i="5" s="1"/>
  <c r="E41" i="5"/>
  <c r="D41" i="5"/>
  <c r="R40" i="5"/>
  <c r="P40" i="5"/>
  <c r="N40" i="5"/>
  <c r="T40" i="5" s="1"/>
  <c r="L40" i="5"/>
  <c r="J40" i="5"/>
  <c r="T37" i="5"/>
  <c r="AA36" i="5"/>
  <c r="J35" i="5"/>
  <c r="J36" i="5" s="1"/>
  <c r="T34" i="5"/>
  <c r="R33" i="5"/>
  <c r="R35" i="5" s="1"/>
  <c r="R36" i="5" s="1"/>
  <c r="E33" i="5"/>
  <c r="E32" i="5"/>
  <c r="E31" i="5"/>
  <c r="AA30" i="5"/>
  <c r="AA35" i="5" s="1"/>
  <c r="Z30" i="5"/>
  <c r="Z35" i="5" s="1"/>
  <c r="E30" i="5"/>
  <c r="N29" i="5"/>
  <c r="E27" i="5"/>
  <c r="AA26" i="5"/>
  <c r="Z26" i="5"/>
  <c r="N25" i="5"/>
  <c r="N49" i="5" s="1"/>
  <c r="N55" i="5" s="1"/>
  <c r="L25" i="5"/>
  <c r="T24" i="5"/>
  <c r="E24" i="5" a="1"/>
  <c r="E24" i="5" s="1"/>
  <c r="D24" i="5" a="1"/>
  <c r="D24" i="5" s="1"/>
  <c r="T23" i="5"/>
  <c r="E23" i="5" a="1"/>
  <c r="E23" i="5" s="1"/>
  <c r="D23" i="5" a="1"/>
  <c r="D23" i="5" s="1"/>
  <c r="T22" i="5"/>
  <c r="N21" i="5"/>
  <c r="L21" i="5"/>
  <c r="L26" i="5" s="1"/>
  <c r="J21" i="5"/>
  <c r="J25" i="5" s="1"/>
  <c r="E21" i="5" a="1"/>
  <c r="E21" i="5" s="1"/>
  <c r="Z52" i="5" s="1"/>
  <c r="AA52" i="5" s="1"/>
  <c r="D21" i="5" a="1"/>
  <c r="D21" i="5" s="1"/>
  <c r="T20" i="5"/>
  <c r="AA19" i="5"/>
  <c r="AA21" i="5" s="1"/>
  <c r="Z19" i="5"/>
  <c r="Z21" i="5" s="1"/>
  <c r="T19" i="5"/>
  <c r="N18" i="5"/>
  <c r="N39" i="5" s="1"/>
  <c r="N42" i="5" s="1"/>
  <c r="L18" i="5"/>
  <c r="L39" i="5" s="1"/>
  <c r="L42" i="5" s="1"/>
  <c r="J18" i="5"/>
  <c r="J39" i="5" s="1"/>
  <c r="J42" i="5" s="1"/>
  <c r="R17" i="5"/>
  <c r="P17" i="5"/>
  <c r="N17" i="5"/>
  <c r="L17" i="5"/>
  <c r="J17" i="5"/>
  <c r="T16" i="5"/>
  <c r="AA15" i="5"/>
  <c r="Z15" i="5"/>
  <c r="R15" i="5"/>
  <c r="P15" i="5"/>
  <c r="P33" i="5" s="1"/>
  <c r="P35" i="5" s="1"/>
  <c r="P36" i="5" s="1"/>
  <c r="N15" i="5"/>
  <c r="L15" i="5"/>
  <c r="L33" i="5" s="1"/>
  <c r="L35" i="5" s="1"/>
  <c r="L36" i="5" s="1"/>
  <c r="J15" i="5"/>
  <c r="J33" i="5" s="1"/>
  <c r="T14" i="5"/>
  <c r="E14" i="5"/>
  <c r="E25" i="5" s="1"/>
  <c r="T13" i="5"/>
  <c r="T12" i="5"/>
  <c r="E11" i="5" a="1"/>
  <c r="E11" i="5" s="1"/>
  <c r="W3" i="5"/>
  <c r="AA65" i="4"/>
  <c r="AA64" i="4"/>
  <c r="AA63" i="4"/>
  <c r="AA62" i="4"/>
  <c r="AA61" i="4"/>
  <c r="AA66" i="4" s="1"/>
  <c r="AA44" i="4" s="1"/>
  <c r="T57" i="4"/>
  <c r="X56" i="4"/>
  <c r="T54" i="4"/>
  <c r="R51" i="4"/>
  <c r="T51" i="4" s="1"/>
  <c r="P51" i="4"/>
  <c r="N51" i="4"/>
  <c r="L51" i="4"/>
  <c r="J51" i="4"/>
  <c r="T50" i="4"/>
  <c r="R40" i="4"/>
  <c r="P40" i="4"/>
  <c r="N40" i="4"/>
  <c r="T40" i="4" s="1"/>
  <c r="L40" i="4"/>
  <c r="J40" i="4"/>
  <c r="T37" i="4"/>
  <c r="T34" i="4"/>
  <c r="E31" i="4"/>
  <c r="E27" i="4"/>
  <c r="E24" i="4" a="1"/>
  <c r="E24" i="4" s="1"/>
  <c r="D24" i="4" a="1"/>
  <c r="D24" i="4" s="1"/>
  <c r="E23" i="4" a="1"/>
  <c r="E23" i="4" s="1"/>
  <c r="D23" i="4" a="1"/>
  <c r="D23" i="4" s="1"/>
  <c r="E21" i="4" a="1"/>
  <c r="E21" i="4" s="1"/>
  <c r="D21" i="4" a="1"/>
  <c r="D21" i="4" s="1"/>
  <c r="T20" i="4"/>
  <c r="T17" i="4"/>
  <c r="E14" i="4" a="1"/>
  <c r="E14" i="4" s="1"/>
  <c r="J65" i="4" s="1"/>
  <c r="T12" i="4"/>
  <c r="E11" i="4" a="1"/>
  <c r="E11" i="4" s="1"/>
  <c r="W3" i="4"/>
  <c r="C69" i="3"/>
  <c r="C68" i="3"/>
  <c r="T66" i="3"/>
  <c r="R66" i="3"/>
  <c r="P66" i="3"/>
  <c r="N66" i="3"/>
  <c r="L66" i="3"/>
  <c r="J66" i="3"/>
  <c r="AA65" i="3"/>
  <c r="T65" i="3"/>
  <c r="AA64" i="3"/>
  <c r="AA66" i="3" s="1"/>
  <c r="AA44" i="3" s="1"/>
  <c r="T64" i="3"/>
  <c r="R64" i="3"/>
  <c r="P64" i="3"/>
  <c r="N64" i="3"/>
  <c r="L64" i="3"/>
  <c r="J64" i="3"/>
  <c r="AA63" i="3"/>
  <c r="T63" i="3"/>
  <c r="AA62" i="3"/>
  <c r="AA61" i="3"/>
  <c r="T57" i="3"/>
  <c r="X56" i="3"/>
  <c r="R53" i="3"/>
  <c r="N53" i="3"/>
  <c r="T53" i="3" s="1"/>
  <c r="L53" i="3"/>
  <c r="J53" i="3"/>
  <c r="T52" i="3"/>
  <c r="L52" i="3"/>
  <c r="R51" i="3"/>
  <c r="P51" i="3"/>
  <c r="N51" i="3"/>
  <c r="T51" i="3" s="1"/>
  <c r="L51" i="3"/>
  <c r="J51" i="3"/>
  <c r="T50" i="3"/>
  <c r="R45" i="3"/>
  <c r="P45" i="3"/>
  <c r="N45" i="3"/>
  <c r="T45" i="3" s="1"/>
  <c r="L45" i="3"/>
  <c r="J45" i="3"/>
  <c r="T41" i="3"/>
  <c r="R41" i="3"/>
  <c r="R52" i="3" s="1"/>
  <c r="P41" i="3"/>
  <c r="P52" i="3" s="1"/>
  <c r="N41" i="3"/>
  <c r="N52" i="3" s="1"/>
  <c r="L41" i="3"/>
  <c r="J41" i="3"/>
  <c r="J52" i="3" s="1"/>
  <c r="E41" i="3"/>
  <c r="C72" i="3" s="1"/>
  <c r="D41" i="3"/>
  <c r="C71" i="3" s="1"/>
  <c r="C41" i="3"/>
  <c r="R40" i="3"/>
  <c r="P40" i="3"/>
  <c r="N40" i="3"/>
  <c r="T40" i="3" s="1"/>
  <c r="L40" i="3"/>
  <c r="J40" i="3"/>
  <c r="L39" i="3"/>
  <c r="T37" i="3"/>
  <c r="L35" i="3"/>
  <c r="L36" i="3" s="1"/>
  <c r="J35" i="3"/>
  <c r="J36" i="3" s="1"/>
  <c r="J33" i="3"/>
  <c r="E33" i="3"/>
  <c r="E32" i="3"/>
  <c r="E31" i="3"/>
  <c r="E30" i="3"/>
  <c r="E27" i="3"/>
  <c r="AA26" i="3"/>
  <c r="Z26" i="3"/>
  <c r="AA25" i="3"/>
  <c r="Z25" i="3"/>
  <c r="E25" i="3"/>
  <c r="E24" i="3" a="1"/>
  <c r="E24" i="3" s="1"/>
  <c r="D24" i="3" a="1"/>
  <c r="D24" i="3" s="1"/>
  <c r="T23" i="3"/>
  <c r="E23" i="3" a="1"/>
  <c r="E23" i="3" s="1"/>
  <c r="D23" i="3" a="1"/>
  <c r="D23" i="3" s="1"/>
  <c r="T22" i="3"/>
  <c r="L21" i="3"/>
  <c r="L26" i="3" s="1"/>
  <c r="J21" i="3"/>
  <c r="E21" i="3" a="1"/>
  <c r="E21" i="3" s="1"/>
  <c r="D21" i="3" a="1"/>
  <c r="D21" i="3" s="1"/>
  <c r="T20" i="3"/>
  <c r="AA19" i="3"/>
  <c r="Z19" i="3"/>
  <c r="T19" i="3"/>
  <c r="AA18" i="3"/>
  <c r="AA21" i="3" s="1"/>
  <c r="Z18" i="3"/>
  <c r="Z21" i="3" s="1"/>
  <c r="R18" i="3"/>
  <c r="R21" i="3" s="1"/>
  <c r="J18" i="3"/>
  <c r="J39" i="3" s="1"/>
  <c r="T17" i="3"/>
  <c r="R17" i="3"/>
  <c r="P17" i="3"/>
  <c r="N17" i="3"/>
  <c r="L17" i="3"/>
  <c r="L18" i="3" s="1"/>
  <c r="J17" i="3"/>
  <c r="T16" i="3"/>
  <c r="AA15" i="3"/>
  <c r="R15" i="3"/>
  <c r="R33" i="3" s="1"/>
  <c r="R35" i="3" s="1"/>
  <c r="R36" i="3" s="1"/>
  <c r="P15" i="3"/>
  <c r="N15" i="3"/>
  <c r="L15" i="3"/>
  <c r="L33" i="3" s="1"/>
  <c r="J15" i="3"/>
  <c r="Z14" i="3"/>
  <c r="Z15" i="3" s="1"/>
  <c r="T14" i="3"/>
  <c r="T13" i="3"/>
  <c r="G7" i="1" s="1"/>
  <c r="T12" i="3"/>
  <c r="E11" i="3" a="1"/>
  <c r="E11" i="3" s="1"/>
  <c r="E10" i="3" a="1"/>
  <c r="E10" i="3" s="1"/>
  <c r="W3" i="3"/>
  <c r="C71" i="2"/>
  <c r="W13" i="11" s="1"/>
  <c r="C69" i="2"/>
  <c r="C68" i="2"/>
  <c r="V13" i="11" s="1"/>
  <c r="R66" i="2"/>
  <c r="P66" i="2"/>
  <c r="N66" i="2"/>
  <c r="L66" i="2"/>
  <c r="J66" i="2"/>
  <c r="AA65" i="2"/>
  <c r="T65" i="2"/>
  <c r="AA64" i="2"/>
  <c r="R64" i="2"/>
  <c r="T64" i="2" s="1"/>
  <c r="P64" i="2"/>
  <c r="N64" i="2"/>
  <c r="L64" i="2"/>
  <c r="J64" i="2"/>
  <c r="AA63" i="2"/>
  <c r="T63" i="2"/>
  <c r="AA62" i="2"/>
  <c r="AA61" i="2"/>
  <c r="T57" i="2"/>
  <c r="X56" i="2"/>
  <c r="R53" i="2"/>
  <c r="P53" i="2"/>
  <c r="N53" i="2"/>
  <c r="L53" i="2"/>
  <c r="J53" i="2"/>
  <c r="R52" i="2"/>
  <c r="P52" i="2"/>
  <c r="N52" i="2"/>
  <c r="T52" i="2" s="1"/>
  <c r="L52" i="2"/>
  <c r="J52" i="2"/>
  <c r="R51" i="2"/>
  <c r="P51" i="2"/>
  <c r="N51" i="2"/>
  <c r="T51" i="2" s="1"/>
  <c r="L51" i="2"/>
  <c r="J51" i="2"/>
  <c r="T50" i="2"/>
  <c r="R45" i="2"/>
  <c r="P45" i="2"/>
  <c r="N45" i="2"/>
  <c r="T45" i="2" s="1"/>
  <c r="L45" i="2"/>
  <c r="J45" i="2"/>
  <c r="P42" i="2"/>
  <c r="T41" i="2"/>
  <c r="E41" i="2"/>
  <c r="C72" i="2" s="1"/>
  <c r="D41" i="2"/>
  <c r="AA40" i="2" a="1"/>
  <c r="AA40" i="2" s="1"/>
  <c r="R40" i="2"/>
  <c r="P40" i="2"/>
  <c r="N40" i="2"/>
  <c r="T40" i="2" s="1"/>
  <c r="L40" i="2"/>
  <c r="J40" i="2"/>
  <c r="P39" i="2"/>
  <c r="T37" i="2"/>
  <c r="R35" i="2"/>
  <c r="R36" i="2" s="1"/>
  <c r="P35" i="2"/>
  <c r="P36" i="2" s="1"/>
  <c r="N35" i="2"/>
  <c r="L35" i="2"/>
  <c r="L36" i="2" s="1"/>
  <c r="J35" i="2"/>
  <c r="J36" i="2" s="1"/>
  <c r="T34" i="2"/>
  <c r="R33" i="2"/>
  <c r="P33" i="2"/>
  <c r="N33" i="2"/>
  <c r="T33" i="2" s="1"/>
  <c r="L33" i="2"/>
  <c r="J33" i="2"/>
  <c r="E33" i="2"/>
  <c r="Z32" i="2"/>
  <c r="E31" i="2"/>
  <c r="Z30" i="2"/>
  <c r="Z35" i="2" s="1"/>
  <c r="E30" i="2"/>
  <c r="AA29" i="2"/>
  <c r="Z29" i="2"/>
  <c r="P29" i="2"/>
  <c r="E27" i="2"/>
  <c r="Z26" i="2"/>
  <c r="P26" i="2"/>
  <c r="P54" i="2" s="1"/>
  <c r="AA25" i="2"/>
  <c r="Z25" i="2"/>
  <c r="E25" i="2"/>
  <c r="AA24" i="2"/>
  <c r="T24" i="2"/>
  <c r="E24" i="2" a="1"/>
  <c r="E24" i="2" s="1"/>
  <c r="D24" i="2" a="1"/>
  <c r="D24" i="2" s="1"/>
  <c r="T23" i="2"/>
  <c r="AA32" i="2" s="1"/>
  <c r="E32" i="2" s="1"/>
  <c r="E23" i="2" a="1"/>
  <c r="E23" i="2" s="1"/>
  <c r="D23" i="2" a="1"/>
  <c r="D23" i="2" s="1"/>
  <c r="T22" i="2"/>
  <c r="P21" i="2"/>
  <c r="P25" i="2" s="1"/>
  <c r="P49" i="2" s="1"/>
  <c r="E21" i="2" a="1"/>
  <c r="E21" i="2" s="1"/>
  <c r="D21" i="2" a="1"/>
  <c r="D21" i="2" s="1"/>
  <c r="T20" i="2"/>
  <c r="AA19" i="2"/>
  <c r="Z19" i="2"/>
  <c r="T19" i="2"/>
  <c r="Z18" i="2"/>
  <c r="Z21" i="2" s="1"/>
  <c r="Z36" i="2" s="1"/>
  <c r="R18" i="2"/>
  <c r="AA17" i="2"/>
  <c r="N17" i="2"/>
  <c r="T17" i="2" s="1"/>
  <c r="L17" i="2"/>
  <c r="L18" i="2" s="1"/>
  <c r="J17" i="2"/>
  <c r="J18" i="2" s="1"/>
  <c r="T16" i="2"/>
  <c r="R15" i="2"/>
  <c r="P15" i="2"/>
  <c r="N15" i="2"/>
  <c r="L15" i="2"/>
  <c r="J15" i="2"/>
  <c r="AA14" i="2"/>
  <c r="AA15" i="2" s="1"/>
  <c r="Z14" i="2"/>
  <c r="Z15" i="2" s="1"/>
  <c r="T14" i="2"/>
  <c r="T13" i="2"/>
  <c r="T12" i="2"/>
  <c r="E12" i="2" a="1"/>
  <c r="E12" i="2" s="1"/>
  <c r="E11" i="2" a="1"/>
  <c r="E11" i="2" s="1"/>
  <c r="G13" i="11" s="1"/>
  <c r="AA10" i="2"/>
  <c r="E10" i="2" a="1"/>
  <c r="E10" i="2" s="1"/>
  <c r="C13" i="11" s="1"/>
  <c r="W3" i="2"/>
  <c r="G21" i="1"/>
  <c r="G17" i="1"/>
  <c r="G15" i="1"/>
  <c r="G13" i="1"/>
  <c r="N12" i="14" l="1" a="1"/>
  <c r="N12" i="14" s="1"/>
  <c r="N8" i="14" a="1"/>
  <c r="N8" i="14" s="1"/>
  <c r="N21" i="10"/>
  <c r="N25" i="10" s="1"/>
  <c r="V33" i="11"/>
  <c r="Y14" i="12"/>
  <c r="E22" i="2"/>
  <c r="E58" i="7"/>
  <c r="Z54" i="7"/>
  <c r="AA54" i="7" s="1"/>
  <c r="H20" i="12"/>
  <c r="Z51" i="9"/>
  <c r="AA51" i="9" s="1"/>
  <c r="Z51" i="7"/>
  <c r="AA51" i="7" s="1"/>
  <c r="Z52" i="7"/>
  <c r="AA52" i="7" s="1"/>
  <c r="E28" i="7"/>
  <c r="E34" i="7" s="1"/>
  <c r="L16" i="11" s="1"/>
  <c r="Z52" i="6"/>
  <c r="AA52" i="6" s="1"/>
  <c r="E22" i="6"/>
  <c r="I27" i="12" s="1"/>
  <c r="M15" i="14" s="1"/>
  <c r="E54" i="6"/>
  <c r="Z54" i="6"/>
  <c r="AA54" i="6" s="1"/>
  <c r="Z53" i="6"/>
  <c r="AA53" i="6" s="1"/>
  <c r="Z55" i="4"/>
  <c r="AA55" i="4" s="1"/>
  <c r="E28" i="4"/>
  <c r="Z52" i="4"/>
  <c r="AA52" i="4" s="1"/>
  <c r="Z54" i="4"/>
  <c r="AA54" i="4" s="1"/>
  <c r="Z53" i="4"/>
  <c r="AA53" i="4" s="1"/>
  <c r="Z51" i="4"/>
  <c r="AA51" i="4" s="1"/>
  <c r="Z54" i="3"/>
  <c r="AA54" i="3" s="1"/>
  <c r="Z52" i="3"/>
  <c r="AA52" i="3" s="1"/>
  <c r="Z51" i="3"/>
  <c r="AA51" i="3" s="1"/>
  <c r="Z55" i="10"/>
  <c r="AA55" i="10" s="1"/>
  <c r="Z52" i="10"/>
  <c r="AA52" i="10" s="1"/>
  <c r="E58" i="6"/>
  <c r="AE29" i="11" s="1"/>
  <c r="E17" i="1"/>
  <c r="N22" i="4"/>
  <c r="R22" i="4"/>
  <c r="E22" i="4"/>
  <c r="I15" i="12" s="1"/>
  <c r="M9" i="14" s="1"/>
  <c r="E58" i="3"/>
  <c r="AE18" i="11" s="1"/>
  <c r="Z25" i="4"/>
  <c r="AA25" i="4"/>
  <c r="Z13" i="4"/>
  <c r="AA13" i="4"/>
  <c r="K31" i="12"/>
  <c r="K30" i="12"/>
  <c r="K43" i="11"/>
  <c r="K22" i="11"/>
  <c r="K45" i="11"/>
  <c r="K40" i="11"/>
  <c r="K44" i="11"/>
  <c r="K23" i="11"/>
  <c r="K41" i="11"/>
  <c r="E15" i="1"/>
  <c r="K46" i="11"/>
  <c r="K20" i="12"/>
  <c r="K38" i="12"/>
  <c r="K43" i="12"/>
  <c r="K37" i="12"/>
  <c r="K21" i="12"/>
  <c r="K41" i="12"/>
  <c r="K40" i="12"/>
  <c r="K42" i="12"/>
  <c r="K32" i="11"/>
  <c r="K33" i="11"/>
  <c r="E21" i="1"/>
  <c r="N56" i="5"/>
  <c r="N59" i="5"/>
  <c r="P21" i="6"/>
  <c r="P39" i="6"/>
  <c r="P42" i="6" s="1"/>
  <c r="P33" i="10"/>
  <c r="P35" i="10" s="1"/>
  <c r="P36" i="10" s="1"/>
  <c r="P18" i="10"/>
  <c r="Z55" i="8"/>
  <c r="AA55" i="8" s="1"/>
  <c r="Z51" i="8"/>
  <c r="Z54" i="8"/>
  <c r="AA54" i="8" s="1"/>
  <c r="E22" i="8"/>
  <c r="I17" i="12" s="1"/>
  <c r="M11" i="14" s="1"/>
  <c r="Z52" i="8"/>
  <c r="AA52" i="8" s="1"/>
  <c r="R39" i="9"/>
  <c r="R42" i="9" s="1"/>
  <c r="R21" i="9"/>
  <c r="E19" i="1"/>
  <c r="L43" i="5"/>
  <c r="L46" i="5"/>
  <c r="L47" i="5" s="1"/>
  <c r="T17" i="9"/>
  <c r="E45" i="5"/>
  <c r="D45" i="5"/>
  <c r="N43" i="5"/>
  <c r="N46" i="5"/>
  <c r="J21" i="9"/>
  <c r="J39" i="9"/>
  <c r="J42" i="9" s="1"/>
  <c r="D68" i="10"/>
  <c r="X26" i="11" s="1"/>
  <c r="X32" i="11" s="1"/>
  <c r="Z29" i="3"/>
  <c r="Z30" i="3"/>
  <c r="Z35" i="3" s="1"/>
  <c r="P26" i="8"/>
  <c r="P25" i="8"/>
  <c r="AA29" i="3"/>
  <c r="AA30" i="3"/>
  <c r="AA35" i="3" s="1"/>
  <c r="AA36" i="3" s="1"/>
  <c r="R39" i="10"/>
  <c r="R42" i="10" s="1"/>
  <c r="R21" i="10"/>
  <c r="E45" i="10"/>
  <c r="D45" i="10"/>
  <c r="N43" i="10"/>
  <c r="E28" i="3"/>
  <c r="E34" i="3" s="1"/>
  <c r="L18" i="11" s="1"/>
  <c r="J42" i="3"/>
  <c r="N21" i="6"/>
  <c r="N39" i="6"/>
  <c r="T18" i="6"/>
  <c r="Z36" i="3"/>
  <c r="Z53" i="5"/>
  <c r="AA53" i="5" s="1"/>
  <c r="Z51" i="5"/>
  <c r="E28" i="5"/>
  <c r="E34" i="5" s="1"/>
  <c r="L27" i="11" s="1"/>
  <c r="E22" i="5"/>
  <c r="I25" i="12" s="1"/>
  <c r="M13" i="14" s="1"/>
  <c r="Z54" i="5"/>
  <c r="AA54" i="5" s="1"/>
  <c r="Z55" i="5"/>
  <c r="AA55" i="5" s="1"/>
  <c r="Z53" i="8"/>
  <c r="AA53" i="8" s="1"/>
  <c r="H31" i="12"/>
  <c r="N63" i="4"/>
  <c r="Z34" i="4"/>
  <c r="J23" i="4"/>
  <c r="R19" i="4"/>
  <c r="L63" i="4"/>
  <c r="P19" i="4"/>
  <c r="R41" i="4"/>
  <c r="R52" i="4" s="1"/>
  <c r="AA29" i="4"/>
  <c r="AA24" i="4"/>
  <c r="Z11" i="4"/>
  <c r="E54" i="4"/>
  <c r="P41" i="4"/>
  <c r="P52" i="4" s="1"/>
  <c r="Z29" i="4"/>
  <c r="Z24" i="4"/>
  <c r="N41" i="4"/>
  <c r="Z32" i="4"/>
  <c r="P22" i="4"/>
  <c r="R13" i="4"/>
  <c r="R16" i="4"/>
  <c r="L41" i="4"/>
  <c r="L52" i="4" s="1"/>
  <c r="P16" i="4"/>
  <c r="N19" i="4"/>
  <c r="L22" i="4"/>
  <c r="L16" i="4"/>
  <c r="P65" i="4"/>
  <c r="Z28" i="4"/>
  <c r="AA14" i="4"/>
  <c r="Z14" i="4"/>
  <c r="R65" i="4"/>
  <c r="J22" i="4"/>
  <c r="J16" i="4"/>
  <c r="AA28" i="4"/>
  <c r="N65" i="4"/>
  <c r="L65" i="4"/>
  <c r="P63" i="4"/>
  <c r="R53" i="4"/>
  <c r="J41" i="4"/>
  <c r="J52" i="4" s="1"/>
  <c r="E25" i="4"/>
  <c r="L19" i="4"/>
  <c r="P13" i="4"/>
  <c r="J63" i="4"/>
  <c r="P53" i="4"/>
  <c r="J19" i="4"/>
  <c r="N13" i="4"/>
  <c r="N53" i="4"/>
  <c r="AA18" i="4"/>
  <c r="L13" i="4"/>
  <c r="L53" i="4"/>
  <c r="P23" i="4"/>
  <c r="N23" i="4"/>
  <c r="L23" i="4"/>
  <c r="R63" i="4"/>
  <c r="N14" i="4"/>
  <c r="L14" i="4"/>
  <c r="J53" i="4"/>
  <c r="AA17" i="4"/>
  <c r="Z17" i="4"/>
  <c r="N16" i="4"/>
  <c r="AA34" i="4"/>
  <c r="R14" i="4"/>
  <c r="P14" i="4"/>
  <c r="J13" i="4"/>
  <c r="AA12" i="4"/>
  <c r="Z12" i="4"/>
  <c r="AA11" i="4"/>
  <c r="AA19" i="4"/>
  <c r="Z19" i="4"/>
  <c r="Z18" i="4"/>
  <c r="E43" i="10"/>
  <c r="D72" i="10" s="1"/>
  <c r="D43" i="10"/>
  <c r="D71" i="10" s="1"/>
  <c r="Y26" i="11" s="1"/>
  <c r="Y32" i="11" s="1"/>
  <c r="D69" i="10"/>
  <c r="N47" i="10"/>
  <c r="P43" i="2"/>
  <c r="P46" i="2"/>
  <c r="P47" i="2" s="1"/>
  <c r="J26" i="3"/>
  <c r="J25" i="3"/>
  <c r="AA36" i="7"/>
  <c r="P46" i="8"/>
  <c r="P47" i="8" s="1"/>
  <c r="E28" i="9"/>
  <c r="E34" i="9" s="1"/>
  <c r="L28" i="11" s="1"/>
  <c r="E58" i="9"/>
  <c r="AE28" i="11" s="1"/>
  <c r="AA66" i="8"/>
  <c r="AA44" i="8" s="1"/>
  <c r="N21" i="9"/>
  <c r="T18" i="9"/>
  <c r="N39" i="9"/>
  <c r="T17" i="5"/>
  <c r="P21" i="9"/>
  <c r="P39" i="9"/>
  <c r="P42" i="9" s="1"/>
  <c r="N36" i="2"/>
  <c r="T36" i="2" s="1"/>
  <c r="R13" i="11" s="1"/>
  <c r="T35" i="2"/>
  <c r="J43" i="5"/>
  <c r="J46" i="5"/>
  <c r="J47" i="5" s="1"/>
  <c r="J39" i="2"/>
  <c r="J42" i="2" s="1"/>
  <c r="J21" i="2"/>
  <c r="R25" i="3"/>
  <c r="R26" i="3"/>
  <c r="L39" i="2"/>
  <c r="L42" i="2" s="1"/>
  <c r="L21" i="2"/>
  <c r="J18" i="6"/>
  <c r="J33" i="6"/>
  <c r="J35" i="6" s="1"/>
  <c r="J36" i="6" s="1"/>
  <c r="R21" i="2"/>
  <c r="R39" i="2"/>
  <c r="R42" i="2" s="1"/>
  <c r="G11" i="1"/>
  <c r="C41" i="5"/>
  <c r="J46" i="10"/>
  <c r="J47" i="10" s="1"/>
  <c r="L21" i="7"/>
  <c r="L39" i="7"/>
  <c r="L42" i="7" s="1"/>
  <c r="AA32" i="4"/>
  <c r="E32" i="4" s="1"/>
  <c r="J14" i="4"/>
  <c r="E54" i="8"/>
  <c r="E9" i="1"/>
  <c r="G19" i="1"/>
  <c r="E28" i="8"/>
  <c r="E34" i="8" s="1"/>
  <c r="L19" i="11" s="1"/>
  <c r="Z52" i="2"/>
  <c r="AA52" i="2" s="1"/>
  <c r="E58" i="2"/>
  <c r="AE13" i="11" s="1"/>
  <c r="Z54" i="2"/>
  <c r="AA54" i="2" s="1"/>
  <c r="E54" i="2"/>
  <c r="Z53" i="2"/>
  <c r="AA53" i="2" s="1"/>
  <c r="Z55" i="2"/>
  <c r="AA55" i="2" s="1"/>
  <c r="Z51" i="2"/>
  <c r="E58" i="8"/>
  <c r="AE19" i="11" s="1"/>
  <c r="R25" i="6"/>
  <c r="N35" i="7"/>
  <c r="T33" i="7"/>
  <c r="R39" i="6"/>
  <c r="R42" i="6" s="1"/>
  <c r="R21" i="8"/>
  <c r="R39" i="8"/>
  <c r="R42" i="8" s="1"/>
  <c r="L29" i="5"/>
  <c r="L49" i="5"/>
  <c r="L55" i="5" s="1"/>
  <c r="AA66" i="5"/>
  <c r="AA44" i="5" s="1"/>
  <c r="AA66" i="6"/>
  <c r="AA44" i="6" s="1"/>
  <c r="L25" i="3"/>
  <c r="P43" i="8"/>
  <c r="E54" i="10"/>
  <c r="P18" i="5"/>
  <c r="E28" i="6"/>
  <c r="E34" i="6" s="1"/>
  <c r="L29" i="11" s="1"/>
  <c r="N18" i="7"/>
  <c r="J39" i="7"/>
  <c r="J42" i="7" s="1"/>
  <c r="J26" i="10"/>
  <c r="G5" i="1"/>
  <c r="C41" i="2"/>
  <c r="T15" i="7"/>
  <c r="L26" i="10"/>
  <c r="H30" i="12"/>
  <c r="L42" i="3"/>
  <c r="J26" i="5"/>
  <c r="N52" i="8"/>
  <c r="T52" i="8" s="1"/>
  <c r="N26" i="10"/>
  <c r="H40" i="12"/>
  <c r="H37" i="12"/>
  <c r="H41" i="12"/>
  <c r="H21" i="12"/>
  <c r="H38" i="12"/>
  <c r="H43" i="12"/>
  <c r="AA66" i="2"/>
  <c r="AA44" i="2" s="1"/>
  <c r="R39" i="3"/>
  <c r="R42" i="3" s="1"/>
  <c r="L21" i="9"/>
  <c r="L39" i="9"/>
  <c r="L42" i="9" s="1"/>
  <c r="E54" i="5"/>
  <c r="J29" i="5"/>
  <c r="J49" i="5"/>
  <c r="J55" i="5" s="1"/>
  <c r="L33" i="8"/>
  <c r="L35" i="8" s="1"/>
  <c r="L36" i="8" s="1"/>
  <c r="L18" i="8"/>
  <c r="N18" i="8"/>
  <c r="N33" i="8"/>
  <c r="P18" i="3"/>
  <c r="P33" i="3"/>
  <c r="P35" i="3" s="1"/>
  <c r="P36" i="3" s="1"/>
  <c r="L49" i="10"/>
  <c r="L55" i="10" s="1"/>
  <c r="L29" i="10"/>
  <c r="T15" i="5"/>
  <c r="N33" i="5"/>
  <c r="T41" i="7"/>
  <c r="N52" i="7"/>
  <c r="T52" i="7" s="1"/>
  <c r="L21" i="6"/>
  <c r="L39" i="6"/>
  <c r="L42" i="6" s="1"/>
  <c r="E11" i="1"/>
  <c r="AA21" i="2"/>
  <c r="AA36" i="2" s="1"/>
  <c r="N36" i="6"/>
  <c r="T36" i="6" s="1"/>
  <c r="T35" i="6"/>
  <c r="T51" i="10"/>
  <c r="J26" i="7"/>
  <c r="J25" i="7"/>
  <c r="AA36" i="8"/>
  <c r="Z53" i="10"/>
  <c r="AA53" i="10" s="1"/>
  <c r="E22" i="10"/>
  <c r="I24" i="12" s="1"/>
  <c r="M12" i="14" s="1"/>
  <c r="Z51" i="10"/>
  <c r="E28" i="10"/>
  <c r="E34" i="10" s="1"/>
  <c r="L26" i="11" s="1"/>
  <c r="Z54" i="10"/>
  <c r="AA54" i="10" s="1"/>
  <c r="N33" i="3"/>
  <c r="N18" i="3"/>
  <c r="T33" i="6"/>
  <c r="N26" i="5"/>
  <c r="Z54" i="9"/>
  <c r="AA54" i="9" s="1"/>
  <c r="E22" i="9"/>
  <c r="I26" i="12" s="1"/>
  <c r="M14" i="14" s="1"/>
  <c r="Z52" i="9"/>
  <c r="AA52" i="9" s="1"/>
  <c r="Z55" i="9"/>
  <c r="AA55" i="9" s="1"/>
  <c r="Z53" i="9"/>
  <c r="AA53" i="9" s="1"/>
  <c r="N49" i="10"/>
  <c r="N29" i="10"/>
  <c r="T15" i="3"/>
  <c r="T15" i="8"/>
  <c r="R18" i="5"/>
  <c r="E22" i="7"/>
  <c r="I14" i="12" s="1"/>
  <c r="M8" i="14" s="1"/>
  <c r="E54" i="7"/>
  <c r="Z55" i="7"/>
  <c r="AA55" i="7" s="1"/>
  <c r="T33" i="9"/>
  <c r="N33" i="10"/>
  <c r="T15" i="10"/>
  <c r="H42" i="12"/>
  <c r="T15" i="2"/>
  <c r="N18" i="2"/>
  <c r="Z36" i="5"/>
  <c r="Z55" i="6"/>
  <c r="AA55" i="6" s="1"/>
  <c r="Z51" i="6"/>
  <c r="Z55" i="3"/>
  <c r="AA55" i="3" s="1"/>
  <c r="Z53" i="3"/>
  <c r="AA53" i="3" s="1"/>
  <c r="E54" i="3"/>
  <c r="E22" i="3"/>
  <c r="I16" i="12" s="1"/>
  <c r="M10" i="14" s="1"/>
  <c r="E58" i="10"/>
  <c r="AE26" i="11" s="1"/>
  <c r="AA66" i="10"/>
  <c r="AA44" i="10" s="1"/>
  <c r="J18" i="8"/>
  <c r="P55" i="2"/>
  <c r="AA26" i="2"/>
  <c r="AA30" i="2" s="1"/>
  <c r="AA35" i="2" s="1"/>
  <c r="T66" i="2"/>
  <c r="J33" i="8"/>
  <c r="J35" i="8" s="1"/>
  <c r="J36" i="8" s="1"/>
  <c r="T17" i="10"/>
  <c r="T41" i="10"/>
  <c r="N52" i="10"/>
  <c r="T52" i="10" s="1"/>
  <c r="E28" i="2"/>
  <c r="T40" i="8"/>
  <c r="T53" i="2"/>
  <c r="T15" i="6"/>
  <c r="E58" i="5"/>
  <c r="AE27" i="11" s="1"/>
  <c r="AC12" i="14" l="1" a="1"/>
  <c r="AC12" i="14" s="1"/>
  <c r="L24" i="12"/>
  <c r="O12" i="14" a="1"/>
  <c r="O12" i="14" s="1"/>
  <c r="L14" i="12"/>
  <c r="I21" i="12"/>
  <c r="I20" i="12"/>
  <c r="X33" i="11"/>
  <c r="Y33" i="11"/>
  <c r="F17" i="1"/>
  <c r="L26" i="12"/>
  <c r="F11" i="1"/>
  <c r="L25" i="12"/>
  <c r="F13" i="1"/>
  <c r="L27" i="12"/>
  <c r="F7" i="1"/>
  <c r="L16" i="12"/>
  <c r="F19" i="1"/>
  <c r="L17" i="12"/>
  <c r="AE16" i="11"/>
  <c r="T23" i="4"/>
  <c r="P66" i="4"/>
  <c r="AA56" i="4"/>
  <c r="AA42" i="4" s="1"/>
  <c r="E40" i="7"/>
  <c r="P14" i="12" s="1"/>
  <c r="D40" i="7"/>
  <c r="O14" i="12" s="1"/>
  <c r="C40" i="7"/>
  <c r="N14" i="12" s="1"/>
  <c r="AA56" i="7"/>
  <c r="AA42" i="7" s="1"/>
  <c r="Z56" i="4"/>
  <c r="AA41" i="4" s="1"/>
  <c r="AA56" i="9"/>
  <c r="AA42" i="9" s="1"/>
  <c r="L15" i="4"/>
  <c r="L33" i="4" s="1"/>
  <c r="L35" i="4" s="1"/>
  <c r="L36" i="4" s="1"/>
  <c r="Z26" i="4"/>
  <c r="Z30" i="4" s="1"/>
  <c r="Z35" i="4" s="1"/>
  <c r="Z56" i="7"/>
  <c r="AA41" i="7" s="1"/>
  <c r="J15" i="4"/>
  <c r="J18" i="4" s="1"/>
  <c r="L66" i="4"/>
  <c r="T16" i="4"/>
  <c r="R66" i="4"/>
  <c r="R46" i="3"/>
  <c r="R47" i="3" s="1"/>
  <c r="R43" i="3"/>
  <c r="R29" i="6"/>
  <c r="R49" i="6"/>
  <c r="R55" i="6" s="1"/>
  <c r="R25" i="10"/>
  <c r="R26" i="10"/>
  <c r="L26" i="6"/>
  <c r="L25" i="6"/>
  <c r="P26" i="9"/>
  <c r="P25" i="9"/>
  <c r="N66" i="4"/>
  <c r="T65" i="4"/>
  <c r="P29" i="8"/>
  <c r="P49" i="8"/>
  <c r="P55" i="8" s="1"/>
  <c r="P39" i="10"/>
  <c r="P42" i="10" s="1"/>
  <c r="P21" i="10"/>
  <c r="T21" i="10" s="1"/>
  <c r="N42" i="9"/>
  <c r="T39" i="9"/>
  <c r="N35" i="5"/>
  <c r="T33" i="5"/>
  <c r="L49" i="3"/>
  <c r="L55" i="3" s="1"/>
  <c r="L29" i="3"/>
  <c r="P46" i="6"/>
  <c r="P47" i="6" s="1"/>
  <c r="P43" i="6"/>
  <c r="N25" i="9"/>
  <c r="T21" i="9"/>
  <c r="N26" i="9"/>
  <c r="T63" i="4"/>
  <c r="N45" i="4"/>
  <c r="N64" i="4"/>
  <c r="P26" i="6"/>
  <c r="P25" i="6"/>
  <c r="L46" i="7"/>
  <c r="L47" i="7" s="1"/>
  <c r="L43" i="7"/>
  <c r="J46" i="9"/>
  <c r="J47" i="9" s="1"/>
  <c r="J43" i="9"/>
  <c r="T18" i="2"/>
  <c r="N39" i="2"/>
  <c r="N21" i="2"/>
  <c r="L59" i="10"/>
  <c r="L56" i="10"/>
  <c r="L26" i="7"/>
  <c r="L25" i="7"/>
  <c r="J26" i="9"/>
  <c r="J25" i="9"/>
  <c r="E34" i="2"/>
  <c r="K13" i="11"/>
  <c r="E5" i="1"/>
  <c r="E40" i="10"/>
  <c r="P24" i="12" s="1"/>
  <c r="D40" i="10"/>
  <c r="O24" i="12" s="1"/>
  <c r="C40" i="10"/>
  <c r="N24" i="12" s="1"/>
  <c r="E44" i="10"/>
  <c r="X24" i="12" s="1"/>
  <c r="D44" i="10"/>
  <c r="W24" i="12" s="1"/>
  <c r="D42" i="10"/>
  <c r="S24" i="12" s="1"/>
  <c r="E42" i="10"/>
  <c r="Z56" i="10"/>
  <c r="AA41" i="10" s="1"/>
  <c r="AA51" i="10"/>
  <c r="AA56" i="10" s="1"/>
  <c r="AA42" i="10" s="1"/>
  <c r="T14" i="4"/>
  <c r="D69" i="5"/>
  <c r="E43" i="5"/>
  <c r="D72" i="5" s="1"/>
  <c r="D68" i="5"/>
  <c r="D43" i="5"/>
  <c r="D71" i="5" s="1"/>
  <c r="N47" i="5"/>
  <c r="D47" i="5"/>
  <c r="E47" i="5"/>
  <c r="C40" i="8"/>
  <c r="E40" i="8"/>
  <c r="P17" i="12" s="1"/>
  <c r="D40" i="8"/>
  <c r="O17" i="12" s="1"/>
  <c r="AA15" i="4"/>
  <c r="AA21" i="4" s="1"/>
  <c r="E33" i="4"/>
  <c r="AA26" i="4"/>
  <c r="AA30" i="4" s="1"/>
  <c r="AA35" i="4" s="1"/>
  <c r="E30" i="4"/>
  <c r="R46" i="10"/>
  <c r="R43" i="10"/>
  <c r="I30" i="12"/>
  <c r="I31" i="12"/>
  <c r="L64" i="4"/>
  <c r="L45" i="4"/>
  <c r="AA51" i="6"/>
  <c r="AA56" i="6" s="1"/>
  <c r="AA42" i="6" s="1"/>
  <c r="Z56" i="6"/>
  <c r="AA41" i="6" s="1"/>
  <c r="R21" i="5"/>
  <c r="R39" i="5"/>
  <c r="R46" i="2"/>
  <c r="R47" i="2" s="1"/>
  <c r="R43" i="2"/>
  <c r="T39" i="6"/>
  <c r="N42" i="6"/>
  <c r="L43" i="3"/>
  <c r="L46" i="3"/>
  <c r="L47" i="3" s="1"/>
  <c r="J29" i="3"/>
  <c r="J49" i="3"/>
  <c r="J55" i="3" s="1"/>
  <c r="L39" i="8"/>
  <c r="L42" i="8" s="1"/>
  <c r="L21" i="8"/>
  <c r="J21" i="6"/>
  <c r="J39" i="6"/>
  <c r="J42" i="6" s="1"/>
  <c r="F21" i="1"/>
  <c r="L32" i="11"/>
  <c r="L33" i="11"/>
  <c r="F15" i="1"/>
  <c r="L46" i="2"/>
  <c r="L47" i="2" s="1"/>
  <c r="L43" i="2"/>
  <c r="J39" i="8"/>
  <c r="J42" i="8" s="1"/>
  <c r="J21" i="8"/>
  <c r="Z56" i="9"/>
  <c r="AA41" i="9" s="1"/>
  <c r="R26" i="9"/>
  <c r="R25" i="9"/>
  <c r="R43" i="9"/>
  <c r="R46" i="9"/>
  <c r="R47" i="9" s="1"/>
  <c r="L25" i="9"/>
  <c r="L26" i="9"/>
  <c r="J46" i="2"/>
  <c r="J47" i="2" s="1"/>
  <c r="J43" i="2"/>
  <c r="P15" i="4"/>
  <c r="T42" i="10"/>
  <c r="T18" i="7"/>
  <c r="N21" i="7"/>
  <c r="N39" i="7"/>
  <c r="AA51" i="8"/>
  <c r="AA56" i="8" s="1"/>
  <c r="AA42" i="8" s="1"/>
  <c r="Z56" i="8"/>
  <c r="AA41" i="8" s="1"/>
  <c r="L46" i="6"/>
  <c r="L47" i="6" s="1"/>
  <c r="L43" i="6"/>
  <c r="P21" i="5"/>
  <c r="P39" i="5"/>
  <c r="P42" i="5" s="1"/>
  <c r="P46" i="9"/>
  <c r="P47" i="9" s="1"/>
  <c r="P43" i="9"/>
  <c r="E58" i="4"/>
  <c r="AE17" i="11" s="1"/>
  <c r="R64" i="4"/>
  <c r="R45" i="4"/>
  <c r="N26" i="6"/>
  <c r="N25" i="6"/>
  <c r="T21" i="6"/>
  <c r="N39" i="8"/>
  <c r="T18" i="8"/>
  <c r="N21" i="8"/>
  <c r="L56" i="5"/>
  <c r="L59" i="5"/>
  <c r="E68" i="5" s="1"/>
  <c r="N55" i="10"/>
  <c r="R26" i="8"/>
  <c r="R25" i="8"/>
  <c r="L25" i="2"/>
  <c r="L26" i="2"/>
  <c r="L54" i="2" s="1"/>
  <c r="P59" i="2"/>
  <c r="P56" i="2"/>
  <c r="T53" i="4"/>
  <c r="N15" i="4"/>
  <c r="D41" i="4"/>
  <c r="C71" i="4" s="1"/>
  <c r="W17" i="11" s="1"/>
  <c r="W8" i="14" s="1" a="1"/>
  <c r="W8" i="14" s="1"/>
  <c r="E41" i="4"/>
  <c r="C72" i="4" s="1"/>
  <c r="C69" i="4"/>
  <c r="C68" i="4"/>
  <c r="V17" i="11" s="1"/>
  <c r="V8" i="14" s="1" a="1"/>
  <c r="T13" i="4"/>
  <c r="N17" i="11" s="1"/>
  <c r="P8" i="14" s="1" a="1"/>
  <c r="P8" i="14" s="1"/>
  <c r="J46" i="3"/>
  <c r="J47" i="3" s="1"/>
  <c r="J43" i="3"/>
  <c r="T18" i="5"/>
  <c r="R29" i="3"/>
  <c r="R49" i="3"/>
  <c r="R55" i="3" s="1"/>
  <c r="C40" i="3"/>
  <c r="D40" i="3"/>
  <c r="O16" i="12" s="1"/>
  <c r="E40" i="3"/>
  <c r="P16" i="12" s="1"/>
  <c r="J26" i="2"/>
  <c r="J54" i="2" s="1"/>
  <c r="J25" i="2"/>
  <c r="AA56" i="3"/>
  <c r="AA42" i="3" s="1"/>
  <c r="E44" i="5"/>
  <c r="X25" i="12" s="1"/>
  <c r="D40" i="5"/>
  <c r="O25" i="12" s="1"/>
  <c r="E40" i="5"/>
  <c r="P25" i="12" s="1"/>
  <c r="D44" i="5"/>
  <c r="W25" i="12" s="1"/>
  <c r="E42" i="5"/>
  <c r="C40" i="5"/>
  <c r="N25" i="12" s="1"/>
  <c r="D42" i="5"/>
  <c r="S25" i="12" s="1"/>
  <c r="T22" i="4"/>
  <c r="J46" i="7"/>
  <c r="J47" i="7" s="1"/>
  <c r="J43" i="7"/>
  <c r="E40" i="6"/>
  <c r="P27" i="12" s="1"/>
  <c r="D40" i="6"/>
  <c r="O27" i="12" s="1"/>
  <c r="C40" i="6"/>
  <c r="N27" i="12" s="1"/>
  <c r="P64" i="4"/>
  <c r="P45" i="4"/>
  <c r="N39" i="3"/>
  <c r="N21" i="3"/>
  <c r="T18" i="3"/>
  <c r="T33" i="3"/>
  <c r="N35" i="3"/>
  <c r="E40" i="9"/>
  <c r="P26" i="12" s="1"/>
  <c r="C40" i="9"/>
  <c r="N26" i="12" s="1"/>
  <c r="D40" i="9"/>
  <c r="O26" i="12" s="1"/>
  <c r="P39" i="3"/>
  <c r="P42" i="3" s="1"/>
  <c r="P21" i="3"/>
  <c r="N35" i="8"/>
  <c r="T33" i="8"/>
  <c r="R26" i="2"/>
  <c r="R54" i="2" s="1"/>
  <c r="R25" i="2"/>
  <c r="T19" i="4"/>
  <c r="J29" i="7"/>
  <c r="J49" i="7"/>
  <c r="J55" i="7" s="1"/>
  <c r="N35" i="10"/>
  <c r="T33" i="10"/>
  <c r="R43" i="8"/>
  <c r="R46" i="8"/>
  <c r="R47" i="8" s="1"/>
  <c r="Z56" i="2"/>
  <c r="AA41" i="2" s="1"/>
  <c r="AA51" i="2"/>
  <c r="AA56" i="2" s="1"/>
  <c r="AA42" i="2" s="1"/>
  <c r="AE32" i="11"/>
  <c r="AE33" i="11"/>
  <c r="J56" i="5"/>
  <c r="J59" i="5"/>
  <c r="E69" i="5" s="1"/>
  <c r="R15" i="4"/>
  <c r="R46" i="6"/>
  <c r="R47" i="6" s="1"/>
  <c r="R43" i="6"/>
  <c r="I40" i="12"/>
  <c r="I37" i="12"/>
  <c r="I42" i="12"/>
  <c r="I41" i="12"/>
  <c r="I43" i="12"/>
  <c r="I38" i="12"/>
  <c r="N52" i="4"/>
  <c r="T52" i="4" s="1"/>
  <c r="T41" i="4"/>
  <c r="T18" i="10"/>
  <c r="L46" i="9"/>
  <c r="L47" i="9" s="1"/>
  <c r="L43" i="9"/>
  <c r="J45" i="4"/>
  <c r="J64" i="4"/>
  <c r="Z56" i="3"/>
  <c r="AA41" i="3" s="1"/>
  <c r="T35" i="7"/>
  <c r="N36" i="7"/>
  <c r="T36" i="7" s="1"/>
  <c r="Z15" i="4"/>
  <c r="Z21" i="4" s="1"/>
  <c r="Z56" i="5"/>
  <c r="AA41" i="5" s="1"/>
  <c r="AA51" i="5"/>
  <c r="AA56" i="5" s="1"/>
  <c r="AA42" i="5" s="1"/>
  <c r="J66" i="4"/>
  <c r="V8" i="14" l="1"/>
  <c r="AH12" i="14" a="1"/>
  <c r="AH12" i="14" s="1"/>
  <c r="AF12" i="14" a="1"/>
  <c r="AF12" i="14" s="1"/>
  <c r="AG12" i="14" a="1"/>
  <c r="AG12" i="14" s="1"/>
  <c r="AC8" i="14" a="1"/>
  <c r="AC8" i="14" s="1"/>
  <c r="E34" i="4"/>
  <c r="L17" i="11" s="1"/>
  <c r="T25" i="12"/>
  <c r="T24" i="12"/>
  <c r="L30" i="12"/>
  <c r="N16" i="12"/>
  <c r="N17" i="12"/>
  <c r="L31" i="12"/>
  <c r="AE22" i="11"/>
  <c r="AE43" i="11"/>
  <c r="AE40" i="11"/>
  <c r="AE41" i="11"/>
  <c r="AE23" i="11"/>
  <c r="AE44" i="11"/>
  <c r="AE45" i="11"/>
  <c r="AE46" i="11"/>
  <c r="W22" i="11"/>
  <c r="W40" i="11"/>
  <c r="W41" i="11"/>
  <c r="W45" i="11"/>
  <c r="W23" i="11"/>
  <c r="W43" i="11"/>
  <c r="W46" i="11"/>
  <c r="W44" i="11"/>
  <c r="AA43" i="8"/>
  <c r="AA45" i="8" s="1"/>
  <c r="V23" i="11"/>
  <c r="V22" i="11"/>
  <c r="V41" i="11"/>
  <c r="V44" i="11"/>
  <c r="V46" i="11"/>
  <c r="V45" i="11"/>
  <c r="V43" i="11"/>
  <c r="V40" i="11"/>
  <c r="AA43" i="7"/>
  <c r="AA45" i="7" s="1"/>
  <c r="N43" i="11"/>
  <c r="N45" i="11"/>
  <c r="N40" i="11"/>
  <c r="N22" i="11"/>
  <c r="N23" i="11"/>
  <c r="N44" i="11"/>
  <c r="N41" i="11"/>
  <c r="N46" i="11"/>
  <c r="T66" i="4"/>
  <c r="AA43" i="4"/>
  <c r="AA45" i="4" s="1"/>
  <c r="J33" i="4"/>
  <c r="J35" i="4" s="1"/>
  <c r="J36" i="4" s="1"/>
  <c r="L18" i="4"/>
  <c r="L21" i="4" s="1"/>
  <c r="AA43" i="9"/>
  <c r="AA45" i="9" s="1"/>
  <c r="AA43" i="6"/>
  <c r="AA45" i="6" s="1"/>
  <c r="AA36" i="4"/>
  <c r="Z36" i="4"/>
  <c r="AA43" i="3"/>
  <c r="AA45" i="3" s="1"/>
  <c r="N49" i="9"/>
  <c r="N29" i="9"/>
  <c r="T25" i="9"/>
  <c r="AA43" i="10"/>
  <c r="AA45" i="10" s="1"/>
  <c r="R59" i="3"/>
  <c r="R56" i="3"/>
  <c r="L59" i="3"/>
  <c r="L56" i="3"/>
  <c r="R33" i="4"/>
  <c r="R35" i="4" s="1"/>
  <c r="R36" i="4" s="1"/>
  <c r="R18" i="4"/>
  <c r="J43" i="6"/>
  <c r="J46" i="6"/>
  <c r="J47" i="6" s="1"/>
  <c r="T21" i="8"/>
  <c r="N26" i="8"/>
  <c r="T26" i="8" s="1"/>
  <c r="N25" i="8"/>
  <c r="AA43" i="5"/>
  <c r="AA45" i="5" s="1"/>
  <c r="N36" i="3"/>
  <c r="T36" i="3" s="1"/>
  <c r="T35" i="3"/>
  <c r="E45" i="9"/>
  <c r="E44" i="9" s="1"/>
  <c r="X26" i="12" s="1"/>
  <c r="D45" i="9"/>
  <c r="D44" i="9" s="1"/>
  <c r="W26" i="12" s="1"/>
  <c r="T42" i="9"/>
  <c r="N43" i="9"/>
  <c r="T43" i="9" s="1"/>
  <c r="N46" i="9"/>
  <c r="J49" i="2"/>
  <c r="J55" i="2" s="1"/>
  <c r="J29" i="2"/>
  <c r="R49" i="8"/>
  <c r="R55" i="8" s="1"/>
  <c r="R29" i="8"/>
  <c r="R47" i="10"/>
  <c r="T47" i="10" s="1"/>
  <c r="S26" i="11" s="1"/>
  <c r="T46" i="10"/>
  <c r="O26" i="11" s="1"/>
  <c r="L49" i="9"/>
  <c r="L55" i="9" s="1"/>
  <c r="L29" i="9"/>
  <c r="J26" i="6"/>
  <c r="J25" i="6"/>
  <c r="N36" i="5"/>
  <c r="T36" i="5" s="1"/>
  <c r="T35" i="5"/>
  <c r="L26" i="8"/>
  <c r="L25" i="8"/>
  <c r="N42" i="8"/>
  <c r="T39" i="8"/>
  <c r="L46" i="8"/>
  <c r="L47" i="8" s="1"/>
  <c r="L43" i="8"/>
  <c r="C41" i="4"/>
  <c r="G9" i="1"/>
  <c r="P25" i="10"/>
  <c r="P26" i="10"/>
  <c r="T26" i="10" s="1"/>
  <c r="E51" i="10" s="1"/>
  <c r="AA26" i="11" s="1"/>
  <c r="N29" i="6"/>
  <c r="T25" i="6"/>
  <c r="N49" i="6"/>
  <c r="J59" i="3"/>
  <c r="J56" i="3"/>
  <c r="P46" i="10"/>
  <c r="P47" i="10" s="1"/>
  <c r="P43" i="10"/>
  <c r="T43" i="10" s="1"/>
  <c r="T39" i="10"/>
  <c r="N25" i="3"/>
  <c r="N26" i="3"/>
  <c r="T26" i="3" s="1"/>
  <c r="T21" i="3"/>
  <c r="T26" i="6"/>
  <c r="R49" i="9"/>
  <c r="R55" i="9" s="1"/>
  <c r="R29" i="9"/>
  <c r="P59" i="8"/>
  <c r="P56" i="8"/>
  <c r="N25" i="7"/>
  <c r="N26" i="7"/>
  <c r="T26" i="7" s="1"/>
  <c r="T21" i="7"/>
  <c r="C45" i="10"/>
  <c r="C44" i="10" s="1"/>
  <c r="V24" i="12" s="1"/>
  <c r="E63" i="10"/>
  <c r="N59" i="10"/>
  <c r="E47" i="10" s="1"/>
  <c r="N56" i="10"/>
  <c r="AA43" i="2"/>
  <c r="AA45" i="2" s="1"/>
  <c r="C40" i="2"/>
  <c r="L13" i="11"/>
  <c r="F5" i="1"/>
  <c r="E40" i="2"/>
  <c r="D40" i="2"/>
  <c r="E45" i="6"/>
  <c r="E44" i="6" s="1"/>
  <c r="X27" i="12" s="1"/>
  <c r="D45" i="6"/>
  <c r="D44" i="6" s="1"/>
  <c r="W27" i="12" s="1"/>
  <c r="T42" i="6"/>
  <c r="N46" i="6"/>
  <c r="N43" i="6"/>
  <c r="T43" i="6" s="1"/>
  <c r="J29" i="9"/>
  <c r="J49" i="9"/>
  <c r="J55" i="9" s="1"/>
  <c r="E71" i="5"/>
  <c r="D46" i="5"/>
  <c r="AC25" i="12" s="1"/>
  <c r="L29" i="7"/>
  <c r="L49" i="7"/>
  <c r="L55" i="7" s="1"/>
  <c r="J59" i="7"/>
  <c r="J56" i="7"/>
  <c r="P46" i="5"/>
  <c r="P47" i="5" s="1"/>
  <c r="P43" i="5"/>
  <c r="R49" i="2"/>
  <c r="R55" i="2" s="1"/>
  <c r="R29" i="2"/>
  <c r="P26" i="5"/>
  <c r="P25" i="5"/>
  <c r="T64" i="4"/>
  <c r="R29" i="10"/>
  <c r="R49" i="10"/>
  <c r="N36" i="8"/>
  <c r="T36" i="8" s="1"/>
  <c r="T35" i="8"/>
  <c r="L29" i="6"/>
  <c r="L49" i="6"/>
  <c r="L55" i="6" s="1"/>
  <c r="R26" i="5"/>
  <c r="R25" i="5"/>
  <c r="T21" i="5"/>
  <c r="N25" i="2"/>
  <c r="N26" i="2"/>
  <c r="T21" i="2"/>
  <c r="N42" i="2"/>
  <c r="T39" i="2"/>
  <c r="P25" i="3"/>
  <c r="P26" i="3"/>
  <c r="T26" i="9"/>
  <c r="L49" i="2"/>
  <c r="L55" i="2" s="1"/>
  <c r="L29" i="2"/>
  <c r="P33" i="4"/>
  <c r="P35" i="4" s="1"/>
  <c r="P36" i="4" s="1"/>
  <c r="P18" i="4"/>
  <c r="T39" i="3"/>
  <c r="N42" i="3"/>
  <c r="T15" i="4"/>
  <c r="N18" i="4"/>
  <c r="N33" i="4"/>
  <c r="J26" i="8"/>
  <c r="J25" i="8"/>
  <c r="E72" i="5"/>
  <c r="E46" i="5"/>
  <c r="AD25" i="12" s="1"/>
  <c r="P49" i="9"/>
  <c r="P55" i="9" s="1"/>
  <c r="P29" i="9"/>
  <c r="J46" i="8"/>
  <c r="J47" i="8" s="1"/>
  <c r="J43" i="8"/>
  <c r="N36" i="10"/>
  <c r="T36" i="10" s="1"/>
  <c r="R26" i="11" s="1"/>
  <c r="T35" i="10"/>
  <c r="P29" i="6"/>
  <c r="P49" i="6"/>
  <c r="P55" i="6" s="1"/>
  <c r="R42" i="5"/>
  <c r="T39" i="5"/>
  <c r="J39" i="4"/>
  <c r="J42" i="4" s="1"/>
  <c r="J21" i="4"/>
  <c r="T45" i="4"/>
  <c r="R59" i="6"/>
  <c r="R56" i="6"/>
  <c r="P46" i="3"/>
  <c r="P47" i="3" s="1"/>
  <c r="P43" i="3"/>
  <c r="T39" i="7"/>
  <c r="N42" i="7"/>
  <c r="AM12" i="14" l="1" a="1"/>
  <c r="AM12" i="14" s="1"/>
  <c r="AN12" i="14" a="1"/>
  <c r="AN12" i="14" s="1"/>
  <c r="L15" i="12"/>
  <c r="L20" i="12" s="1"/>
  <c r="O8" i="14" a="1"/>
  <c r="O8" i="14" s="1"/>
  <c r="L43" i="11"/>
  <c r="AA32" i="11"/>
  <c r="AA33" i="11"/>
  <c r="O32" i="11"/>
  <c r="O33" i="11"/>
  <c r="S33" i="11"/>
  <c r="S32" i="11"/>
  <c r="Y24" i="12"/>
  <c r="R32" i="11"/>
  <c r="R33" i="11"/>
  <c r="L23" i="11"/>
  <c r="L40" i="11"/>
  <c r="L22" i="11"/>
  <c r="F9" i="1"/>
  <c r="L45" i="11"/>
  <c r="E40" i="4"/>
  <c r="P15" i="12" s="1"/>
  <c r="C40" i="4"/>
  <c r="N15" i="12" s="1"/>
  <c r="L41" i="11"/>
  <c r="L44" i="11"/>
  <c r="L46" i="11"/>
  <c r="D40" i="4"/>
  <c r="O15" i="12" s="1"/>
  <c r="W31" i="12"/>
  <c r="P31" i="12"/>
  <c r="O31" i="12"/>
  <c r="P30" i="12"/>
  <c r="N31" i="12"/>
  <c r="W30" i="12"/>
  <c r="O30" i="12"/>
  <c r="N30" i="12"/>
  <c r="L39" i="4"/>
  <c r="L42" i="4" s="1"/>
  <c r="L43" i="4" s="1"/>
  <c r="E45" i="2"/>
  <c r="E44" i="2" s="1"/>
  <c r="N46" i="2"/>
  <c r="T42" i="2"/>
  <c r="N43" i="2"/>
  <c r="T43" i="2" s="1"/>
  <c r="D45" i="2"/>
  <c r="D44" i="2" s="1"/>
  <c r="N55" i="6"/>
  <c r="T49" i="6"/>
  <c r="T29" i="6"/>
  <c r="L25" i="4"/>
  <c r="L26" i="4"/>
  <c r="T42" i="3"/>
  <c r="N43" i="3"/>
  <c r="T43" i="3" s="1"/>
  <c r="N46" i="3"/>
  <c r="D45" i="3"/>
  <c r="D44" i="3" s="1"/>
  <c r="W16" i="12" s="1"/>
  <c r="E45" i="3"/>
  <c r="E44" i="3" s="1"/>
  <c r="X16" i="12" s="1"/>
  <c r="P21" i="4"/>
  <c r="P39" i="4"/>
  <c r="P42" i="4" s="1"/>
  <c r="J56" i="9"/>
  <c r="J59" i="9"/>
  <c r="L49" i="8"/>
  <c r="L55" i="8" s="1"/>
  <c r="L29" i="8"/>
  <c r="C43" i="10"/>
  <c r="C42" i="10" s="1"/>
  <c r="R24" i="12" s="1"/>
  <c r="E61" i="10"/>
  <c r="AG26" i="11" s="1"/>
  <c r="E60" i="10"/>
  <c r="AD26" i="11" s="1"/>
  <c r="E59" i="10"/>
  <c r="AA24" i="12" s="1"/>
  <c r="AA30" i="12" s="1"/>
  <c r="E62" i="10"/>
  <c r="AH26" i="11" s="1"/>
  <c r="T25" i="8"/>
  <c r="N29" i="8"/>
  <c r="T29" i="8" s="1"/>
  <c r="N49" i="8"/>
  <c r="R59" i="8"/>
  <c r="R56" i="8"/>
  <c r="L59" i="7"/>
  <c r="L56" i="7"/>
  <c r="P29" i="10"/>
  <c r="T29" i="10" s="1"/>
  <c r="P49" i="10"/>
  <c r="P55" i="10" s="1"/>
  <c r="R39" i="4"/>
  <c r="R42" i="4" s="1"/>
  <c r="R21" i="4"/>
  <c r="L59" i="2"/>
  <c r="L56" i="2"/>
  <c r="T25" i="10"/>
  <c r="P49" i="3"/>
  <c r="P55" i="3" s="1"/>
  <c r="P29" i="3"/>
  <c r="R55" i="10"/>
  <c r="T49" i="10"/>
  <c r="E43" i="6"/>
  <c r="D68" i="6"/>
  <c r="T46" i="6"/>
  <c r="D43" i="6"/>
  <c r="N47" i="6"/>
  <c r="T47" i="6" s="1"/>
  <c r="D69" i="6"/>
  <c r="N29" i="7"/>
  <c r="T29" i="7" s="1"/>
  <c r="T25" i="7"/>
  <c r="N49" i="7"/>
  <c r="N46" i="8"/>
  <c r="E45" i="8"/>
  <c r="E44" i="8" s="1"/>
  <c r="X17" i="12" s="1"/>
  <c r="D45" i="8"/>
  <c r="D44" i="8" s="1"/>
  <c r="W17" i="12" s="1"/>
  <c r="N43" i="8"/>
  <c r="T43" i="8" s="1"/>
  <c r="T42" i="8"/>
  <c r="J59" i="2"/>
  <c r="J56" i="2"/>
  <c r="D69" i="9"/>
  <c r="T46" i="9"/>
  <c r="D43" i="9"/>
  <c r="D68" i="9"/>
  <c r="E43" i="9"/>
  <c r="N47" i="9"/>
  <c r="T47" i="9" s="1"/>
  <c r="R59" i="9"/>
  <c r="R56" i="9"/>
  <c r="N49" i="2"/>
  <c r="T25" i="2"/>
  <c r="N29" i="2"/>
  <c r="T29" i="2" s="1"/>
  <c r="P49" i="5"/>
  <c r="P55" i="5" s="1"/>
  <c r="P29" i="5"/>
  <c r="C45" i="9"/>
  <c r="C44" i="9" s="1"/>
  <c r="V26" i="12" s="1"/>
  <c r="E63" i="9"/>
  <c r="E51" i="9"/>
  <c r="P59" i="9"/>
  <c r="P56" i="9"/>
  <c r="R49" i="5"/>
  <c r="R29" i="5"/>
  <c r="T29" i="5" s="1"/>
  <c r="T25" i="5"/>
  <c r="R59" i="2"/>
  <c r="R56" i="2"/>
  <c r="J49" i="8"/>
  <c r="J55" i="8" s="1"/>
  <c r="J29" i="8"/>
  <c r="T25" i="3"/>
  <c r="N49" i="3"/>
  <c r="N29" i="3"/>
  <c r="J46" i="4"/>
  <c r="J47" i="4" s="1"/>
  <c r="J43" i="4"/>
  <c r="R46" i="5"/>
  <c r="R43" i="5"/>
  <c r="T43" i="5" s="1"/>
  <c r="T42" i="5"/>
  <c r="N39" i="4"/>
  <c r="T18" i="4"/>
  <c r="N21" i="4"/>
  <c r="E69" i="10"/>
  <c r="E68" i="10"/>
  <c r="D47" i="10"/>
  <c r="N55" i="9"/>
  <c r="T49" i="9"/>
  <c r="E63" i="6"/>
  <c r="E51" i="6"/>
  <c r="C45" i="6"/>
  <c r="C44" i="6" s="1"/>
  <c r="V27" i="12" s="1"/>
  <c r="N43" i="7"/>
  <c r="T43" i="7" s="1"/>
  <c r="N46" i="7"/>
  <c r="T42" i="7"/>
  <c r="E45" i="7"/>
  <c r="E44" i="7" s="1"/>
  <c r="X14" i="12" s="1"/>
  <c r="D45" i="7"/>
  <c r="D44" i="7" s="1"/>
  <c r="W14" i="12" s="1"/>
  <c r="N54" i="2"/>
  <c r="T54" i="2" s="1"/>
  <c r="T26" i="2"/>
  <c r="J29" i="6"/>
  <c r="J49" i="6"/>
  <c r="J55" i="6" s="1"/>
  <c r="T26" i="5"/>
  <c r="L56" i="9"/>
  <c r="L59" i="9"/>
  <c r="J25" i="4"/>
  <c r="J26" i="4"/>
  <c r="N35" i="4"/>
  <c r="T33" i="4"/>
  <c r="T29" i="9"/>
  <c r="P56" i="6"/>
  <c r="P59" i="6"/>
  <c r="L59" i="6"/>
  <c r="L56" i="6"/>
  <c r="O43" i="12" l="1"/>
  <c r="AG8" i="14" a="1"/>
  <c r="AG8" i="14" s="1"/>
  <c r="P41" i="12"/>
  <c r="AH8" i="14" a="1"/>
  <c r="AH8" i="14" s="1"/>
  <c r="N42" i="12"/>
  <c r="AF8" i="14" a="1"/>
  <c r="AF8" i="14" s="1"/>
  <c r="L37" i="12"/>
  <c r="L43" i="12"/>
  <c r="L42" i="12"/>
  <c r="L21" i="12"/>
  <c r="L38" i="12"/>
  <c r="L40" i="12"/>
  <c r="L41" i="12"/>
  <c r="O40" i="12"/>
  <c r="P40" i="12"/>
  <c r="P38" i="12"/>
  <c r="P43" i="12"/>
  <c r="P21" i="12"/>
  <c r="P37" i="12"/>
  <c r="O42" i="12"/>
  <c r="P20" i="12"/>
  <c r="P42" i="12"/>
  <c r="AH33" i="11"/>
  <c r="AH32" i="11"/>
  <c r="AG32" i="11"/>
  <c r="AG33" i="11"/>
  <c r="AA31" i="12"/>
  <c r="AD32" i="11"/>
  <c r="AD33" i="11"/>
  <c r="Y31" i="12"/>
  <c r="Y30" i="12"/>
  <c r="O21" i="12"/>
  <c r="N40" i="12"/>
  <c r="N41" i="12"/>
  <c r="N43" i="12"/>
  <c r="O20" i="12"/>
  <c r="N21" i="12"/>
  <c r="O38" i="12"/>
  <c r="N37" i="12"/>
  <c r="N20" i="12"/>
  <c r="N38" i="12"/>
  <c r="O37" i="12"/>
  <c r="O41" i="12"/>
  <c r="L46" i="4"/>
  <c r="L47" i="4" s="1"/>
  <c r="E63" i="7"/>
  <c r="E51" i="7"/>
  <c r="C45" i="7"/>
  <c r="C44" i="7" s="1"/>
  <c r="V14" i="12" s="1"/>
  <c r="R55" i="5"/>
  <c r="T49" i="5"/>
  <c r="E59" i="6"/>
  <c r="E60" i="6"/>
  <c r="C43" i="6"/>
  <c r="C42" i="6" s="1"/>
  <c r="R27" i="12" s="1"/>
  <c r="E62" i="6"/>
  <c r="E61" i="6"/>
  <c r="E71" i="10"/>
  <c r="D46" i="10"/>
  <c r="AC24" i="12" s="1"/>
  <c r="P59" i="5"/>
  <c r="P56" i="5"/>
  <c r="R56" i="10"/>
  <c r="T56" i="10" s="1"/>
  <c r="T26" i="11" s="1"/>
  <c r="R59" i="10"/>
  <c r="T55" i="10"/>
  <c r="P26" i="11" s="1"/>
  <c r="P46" i="4"/>
  <c r="P47" i="4" s="1"/>
  <c r="P43" i="4"/>
  <c r="P25" i="4"/>
  <c r="P26" i="4"/>
  <c r="E72" i="10"/>
  <c r="E46" i="10"/>
  <c r="AD24" i="12" s="1"/>
  <c r="N55" i="2"/>
  <c r="T49" i="2"/>
  <c r="P59" i="3"/>
  <c r="P56" i="3"/>
  <c r="D69" i="7"/>
  <c r="D68" i="7"/>
  <c r="N47" i="7"/>
  <c r="T47" i="7" s="1"/>
  <c r="T46" i="7"/>
  <c r="D43" i="7"/>
  <c r="E43" i="7"/>
  <c r="D71" i="6"/>
  <c r="D42" i="6"/>
  <c r="S27" i="12" s="1"/>
  <c r="D68" i="3"/>
  <c r="E43" i="3"/>
  <c r="D43" i="3"/>
  <c r="N47" i="3"/>
  <c r="T47" i="3" s="1"/>
  <c r="T46" i="3"/>
  <c r="D69" i="3"/>
  <c r="C45" i="5"/>
  <c r="C44" i="5" s="1"/>
  <c r="V25" i="12" s="1"/>
  <c r="AL12" i="14" s="1" a="1"/>
  <c r="AL12" i="14" s="1"/>
  <c r="E63" i="5"/>
  <c r="E51" i="5"/>
  <c r="E63" i="3"/>
  <c r="E51" i="3"/>
  <c r="C45" i="3"/>
  <c r="C44" i="3" s="1"/>
  <c r="V16" i="12" s="1"/>
  <c r="J49" i="4"/>
  <c r="J55" i="4" s="1"/>
  <c r="J29" i="4"/>
  <c r="D71" i="9"/>
  <c r="D42" i="9"/>
  <c r="S26" i="12" s="1"/>
  <c r="L29" i="4"/>
  <c r="L49" i="4"/>
  <c r="L55" i="4" s="1"/>
  <c r="E60" i="9"/>
  <c r="E62" i="9"/>
  <c r="E61" i="9"/>
  <c r="E59" i="9"/>
  <c r="C43" i="9"/>
  <c r="C42" i="9" s="1"/>
  <c r="R26" i="12" s="1"/>
  <c r="N55" i="3"/>
  <c r="T49" i="3"/>
  <c r="T55" i="3" s="1"/>
  <c r="C45" i="8"/>
  <c r="C44" i="8" s="1"/>
  <c r="V17" i="12" s="1"/>
  <c r="E63" i="8"/>
  <c r="E51" i="8"/>
  <c r="J56" i="8"/>
  <c r="J59" i="8"/>
  <c r="N47" i="2"/>
  <c r="T47" i="2" s="1"/>
  <c r="S13" i="11" s="1"/>
  <c r="D68" i="2"/>
  <c r="X13" i="11" s="1"/>
  <c r="T46" i="2"/>
  <c r="D69" i="2"/>
  <c r="E43" i="2"/>
  <c r="D43" i="2"/>
  <c r="N56" i="9"/>
  <c r="T56" i="9" s="1"/>
  <c r="N59" i="9"/>
  <c r="T55" i="9"/>
  <c r="D72" i="6"/>
  <c r="E42" i="6"/>
  <c r="T21" i="4"/>
  <c r="N25" i="4"/>
  <c r="N26" i="4"/>
  <c r="T39" i="4"/>
  <c r="N42" i="4"/>
  <c r="N36" i="4"/>
  <c r="T36" i="4" s="1"/>
  <c r="R17" i="11" s="1"/>
  <c r="S8" i="14" s="1" a="1"/>
  <c r="S8" i="14" s="1"/>
  <c r="T35" i="4"/>
  <c r="R25" i="4"/>
  <c r="R26" i="4"/>
  <c r="R43" i="4"/>
  <c r="R46" i="4"/>
  <c r="R47" i="4" s="1"/>
  <c r="R47" i="5"/>
  <c r="T47" i="5" s="1"/>
  <c r="T46" i="5"/>
  <c r="P59" i="10"/>
  <c r="P56" i="10"/>
  <c r="N56" i="6"/>
  <c r="T56" i="6" s="1"/>
  <c r="T55" i="6"/>
  <c r="N59" i="6"/>
  <c r="N55" i="7"/>
  <c r="T49" i="7"/>
  <c r="L56" i="8"/>
  <c r="L59" i="8"/>
  <c r="D72" i="9"/>
  <c r="E42" i="9"/>
  <c r="T29" i="3"/>
  <c r="J56" i="6"/>
  <c r="J59" i="6"/>
  <c r="E63" i="2"/>
  <c r="C45" i="2"/>
  <c r="C44" i="2" s="1"/>
  <c r="E51" i="2"/>
  <c r="AA13" i="11" s="1"/>
  <c r="T49" i="8"/>
  <c r="N55" i="8"/>
  <c r="D69" i="8"/>
  <c r="E43" i="8"/>
  <c r="D43" i="8"/>
  <c r="N47" i="8"/>
  <c r="T47" i="8" s="1"/>
  <c r="D68" i="8"/>
  <c r="T46" i="8"/>
  <c r="AJ12" i="14" l="1" a="1"/>
  <c r="P32" i="11"/>
  <c r="P33" i="11"/>
  <c r="T33" i="11"/>
  <c r="T32" i="11"/>
  <c r="T27" i="12"/>
  <c r="T26" i="12"/>
  <c r="AK12" i="14" s="1" a="1"/>
  <c r="AK12" i="14" s="1"/>
  <c r="V31" i="12"/>
  <c r="V30" i="12"/>
  <c r="S30" i="12"/>
  <c r="S31" i="12"/>
  <c r="R45" i="11"/>
  <c r="R44" i="11"/>
  <c r="R46" i="11"/>
  <c r="R43" i="11"/>
  <c r="R23" i="11"/>
  <c r="R41" i="11"/>
  <c r="R40" i="11"/>
  <c r="R22" i="11"/>
  <c r="T26" i="4"/>
  <c r="E53" i="9"/>
  <c r="E52" i="9"/>
  <c r="T59" i="9"/>
  <c r="C47" i="9" s="1"/>
  <c r="C46" i="9" s="1"/>
  <c r="AB26" i="12" s="1"/>
  <c r="E69" i="9"/>
  <c r="E68" i="9"/>
  <c r="D47" i="9"/>
  <c r="E47" i="9"/>
  <c r="E52" i="10"/>
  <c r="AB26" i="11" s="1"/>
  <c r="E53" i="10"/>
  <c r="T59" i="10"/>
  <c r="C47" i="10" s="1"/>
  <c r="C46" i="10" s="1"/>
  <c r="AB24" i="12" s="1"/>
  <c r="D72" i="8"/>
  <c r="E42" i="8"/>
  <c r="T17" i="12" s="1"/>
  <c r="L56" i="4"/>
  <c r="L59" i="4"/>
  <c r="N59" i="2"/>
  <c r="T55" i="2"/>
  <c r="N56" i="2"/>
  <c r="T56" i="2" s="1"/>
  <c r="T13" i="11" s="1"/>
  <c r="D72" i="2"/>
  <c r="E42" i="2"/>
  <c r="N59" i="7"/>
  <c r="T55" i="7"/>
  <c r="N56" i="7"/>
  <c r="E52" i="6"/>
  <c r="E53" i="6"/>
  <c r="N59" i="3"/>
  <c r="N56" i="3"/>
  <c r="T56" i="3" s="1"/>
  <c r="C43" i="7"/>
  <c r="C42" i="7" s="1"/>
  <c r="R14" i="12" s="1"/>
  <c r="E62" i="7"/>
  <c r="E61" i="7"/>
  <c r="E60" i="7"/>
  <c r="E59" i="7"/>
  <c r="R49" i="4"/>
  <c r="R55" i="4" s="1"/>
  <c r="R29" i="4"/>
  <c r="N46" i="4"/>
  <c r="E45" i="4"/>
  <c r="E44" i="4" s="1"/>
  <c r="X15" i="12" s="1"/>
  <c r="AN8" i="14" s="1" a="1"/>
  <c r="AN8" i="14" s="1"/>
  <c r="D45" i="4"/>
  <c r="D44" i="4" s="1"/>
  <c r="W15" i="12" s="1"/>
  <c r="AM8" i="14" s="1" a="1"/>
  <c r="AM8" i="14" s="1"/>
  <c r="T42" i="4"/>
  <c r="N43" i="4"/>
  <c r="T43" i="4" s="1"/>
  <c r="P49" i="4"/>
  <c r="P55" i="4" s="1"/>
  <c r="P29" i="4"/>
  <c r="E62" i="3"/>
  <c r="E59" i="3"/>
  <c r="C43" i="3"/>
  <c r="C42" i="3" s="1"/>
  <c r="R16" i="12" s="1"/>
  <c r="E61" i="3"/>
  <c r="E60" i="3"/>
  <c r="T59" i="6"/>
  <c r="C47" i="6" s="1"/>
  <c r="C46" i="6" s="1"/>
  <c r="AB27" i="12" s="1"/>
  <c r="E69" i="6"/>
  <c r="D47" i="6"/>
  <c r="E68" i="6"/>
  <c r="E47" i="6"/>
  <c r="E59" i="5"/>
  <c r="E60" i="5"/>
  <c r="E61" i="5"/>
  <c r="C43" i="5"/>
  <c r="C42" i="5" s="1"/>
  <c r="R25" i="12" s="1"/>
  <c r="E62" i="5"/>
  <c r="D72" i="7"/>
  <c r="E42" i="7"/>
  <c r="T14" i="12" s="1"/>
  <c r="D71" i="7"/>
  <c r="D42" i="7"/>
  <c r="S14" i="12" s="1"/>
  <c r="D71" i="8"/>
  <c r="D42" i="8"/>
  <c r="S17" i="12" s="1"/>
  <c r="N56" i="8"/>
  <c r="T56" i="8" s="1"/>
  <c r="T55" i="8"/>
  <c r="N59" i="8"/>
  <c r="N29" i="4"/>
  <c r="N49" i="4"/>
  <c r="T25" i="4"/>
  <c r="J59" i="4"/>
  <c r="J56" i="4"/>
  <c r="D71" i="2"/>
  <c r="Y13" i="11" s="1"/>
  <c r="D42" i="2"/>
  <c r="C43" i="2"/>
  <c r="C42" i="2" s="1"/>
  <c r="O13" i="11"/>
  <c r="E61" i="2"/>
  <c r="AG13" i="11" s="1"/>
  <c r="E60" i="2"/>
  <c r="AD13" i="11" s="1"/>
  <c r="E62" i="2"/>
  <c r="AH13" i="11" s="1"/>
  <c r="E59" i="2"/>
  <c r="D71" i="3"/>
  <c r="D42" i="3"/>
  <c r="S16" i="12" s="1"/>
  <c r="D72" i="3"/>
  <c r="E42" i="3"/>
  <c r="T16" i="12" s="1"/>
  <c r="E52" i="3"/>
  <c r="E53" i="3"/>
  <c r="R59" i="5"/>
  <c r="T59" i="5" s="1"/>
  <c r="C47" i="5" s="1"/>
  <c r="C46" i="5" s="1"/>
  <c r="AB25" i="12" s="1"/>
  <c r="R56" i="5"/>
  <c r="T56" i="5" s="1"/>
  <c r="T55" i="5"/>
  <c r="E61" i="8"/>
  <c r="E60" i="8"/>
  <c r="E59" i="8"/>
  <c r="C43" i="8"/>
  <c r="C42" i="8" s="1"/>
  <c r="R17" i="12" s="1"/>
  <c r="E62" i="8"/>
  <c r="AJ12" i="14" l="1"/>
  <c r="P21" i="13" s="1" a="1"/>
  <c r="P21" i="13" s="1"/>
  <c r="P24" i="13" a="1"/>
  <c r="P24" i="13" s="1"/>
  <c r="P22" i="13" a="1"/>
  <c r="P22" i="13" s="1"/>
  <c r="P23" i="13" a="1"/>
  <c r="P23" i="13" s="1"/>
  <c r="R31" i="12"/>
  <c r="AI12" i="14" a="1"/>
  <c r="AI12" i="14" s="1"/>
  <c r="AP12" i="14" a="1"/>
  <c r="AP12" i="14" s="1"/>
  <c r="AB33" i="11"/>
  <c r="AB32" i="11"/>
  <c r="AB30" i="12"/>
  <c r="AB31" i="12"/>
  <c r="R30" i="12"/>
  <c r="W43" i="12"/>
  <c r="W37" i="12"/>
  <c r="W21" i="12"/>
  <c r="W41" i="12"/>
  <c r="W20" i="12"/>
  <c r="W38" i="12"/>
  <c r="W40" i="12"/>
  <c r="W42" i="12"/>
  <c r="X31" i="12"/>
  <c r="X30" i="12"/>
  <c r="X43" i="12"/>
  <c r="X41" i="12"/>
  <c r="X42" i="12"/>
  <c r="X21" i="12"/>
  <c r="X40" i="12"/>
  <c r="X37" i="12"/>
  <c r="X38" i="12"/>
  <c r="X20" i="12"/>
  <c r="T31" i="12"/>
  <c r="T30" i="12"/>
  <c r="E72" i="6"/>
  <c r="E46" i="6"/>
  <c r="AD27" i="12" s="1"/>
  <c r="T56" i="7"/>
  <c r="E52" i="7"/>
  <c r="E53" i="7"/>
  <c r="T59" i="7"/>
  <c r="C47" i="7" s="1"/>
  <c r="C46" i="7" s="1"/>
  <c r="AB14" i="12" s="1"/>
  <c r="E52" i="2"/>
  <c r="AB13" i="11" s="1"/>
  <c r="P13" i="11"/>
  <c r="E53" i="2"/>
  <c r="E68" i="7"/>
  <c r="D47" i="7"/>
  <c r="E47" i="7"/>
  <c r="E69" i="7"/>
  <c r="E47" i="8"/>
  <c r="T59" i="8"/>
  <c r="C47" i="8" s="1"/>
  <c r="C46" i="8" s="1"/>
  <c r="AB17" i="12" s="1"/>
  <c r="D47" i="8"/>
  <c r="E69" i="8"/>
  <c r="E68" i="8"/>
  <c r="E53" i="8"/>
  <c r="E52" i="8"/>
  <c r="E71" i="9"/>
  <c r="D46" i="9"/>
  <c r="AC26" i="12" s="1"/>
  <c r="E68" i="2"/>
  <c r="E47" i="2"/>
  <c r="D47" i="2"/>
  <c r="T59" i="2"/>
  <c r="C47" i="2" s="1"/>
  <c r="C46" i="2" s="1"/>
  <c r="E69" i="2"/>
  <c r="T29" i="4"/>
  <c r="E68" i="3"/>
  <c r="D47" i="3"/>
  <c r="T59" i="3"/>
  <c r="C47" i="3" s="1"/>
  <c r="C46" i="3" s="1"/>
  <c r="AB16" i="12" s="1"/>
  <c r="E69" i="3"/>
  <c r="E47" i="3"/>
  <c r="E71" i="6"/>
  <c r="D46" i="6"/>
  <c r="AC27" i="12" s="1"/>
  <c r="P56" i="4"/>
  <c r="P59" i="4"/>
  <c r="T49" i="4"/>
  <c r="N55" i="4"/>
  <c r="C45" i="4"/>
  <c r="C44" i="4" s="1"/>
  <c r="V15" i="12" s="1"/>
  <c r="AL8" i="14" s="1" a="1"/>
  <c r="AL8" i="14" s="1"/>
  <c r="E51" i="4"/>
  <c r="AA17" i="11" s="1"/>
  <c r="Z8" i="14" s="1" a="1"/>
  <c r="Z8" i="14" s="1"/>
  <c r="E63" i="4"/>
  <c r="E72" i="9"/>
  <c r="E46" i="9"/>
  <c r="AD26" i="12" s="1"/>
  <c r="E43" i="4"/>
  <c r="D68" i="4"/>
  <c r="X17" i="11" s="1"/>
  <c r="X8" i="14" s="1" a="1"/>
  <c r="X8" i="14" s="1"/>
  <c r="D43" i="4"/>
  <c r="N47" i="4"/>
  <c r="T47" i="4" s="1"/>
  <c r="S17" i="11" s="1"/>
  <c r="T8" i="14" s="1" a="1"/>
  <c r="T8" i="14" s="1"/>
  <c r="D69" i="4"/>
  <c r="T46" i="4"/>
  <c r="O17" i="11" s="1"/>
  <c r="Q8" i="14" s="1" a="1"/>
  <c r="Q8" i="14" s="1"/>
  <c r="R56" i="4"/>
  <c r="R59" i="4"/>
  <c r="E52" i="5"/>
  <c r="E53" i="5"/>
  <c r="AQ12" i="14" l="1" a="1"/>
  <c r="AQ12" i="14" s="1"/>
  <c r="AR12" i="14" a="1"/>
  <c r="AR12" i="14" s="1"/>
  <c r="AC31" i="12"/>
  <c r="AC30" i="12"/>
  <c r="V43" i="12"/>
  <c r="V42" i="12"/>
  <c r="V38" i="12"/>
  <c r="V40" i="12"/>
  <c r="V41" i="12"/>
  <c r="V21" i="12"/>
  <c r="V20" i="12"/>
  <c r="V37" i="12"/>
  <c r="X23" i="11"/>
  <c r="X44" i="11"/>
  <c r="X45" i="11"/>
  <c r="X40" i="11"/>
  <c r="X22" i="11"/>
  <c r="X41" i="11"/>
  <c r="X43" i="11"/>
  <c r="X46" i="11"/>
  <c r="AA23" i="11"/>
  <c r="AA22" i="11"/>
  <c r="AA46" i="11"/>
  <c r="AA41" i="11"/>
  <c r="AA45" i="11"/>
  <c r="AA43" i="11"/>
  <c r="AA40" i="11"/>
  <c r="AA44" i="11"/>
  <c r="Y15" i="12"/>
  <c r="S23" i="11"/>
  <c r="S41" i="11"/>
  <c r="S46" i="11"/>
  <c r="S44" i="11"/>
  <c r="S22" i="11"/>
  <c r="S45" i="11"/>
  <c r="S43" i="11"/>
  <c r="S40" i="11"/>
  <c r="O43" i="11"/>
  <c r="O40" i="11"/>
  <c r="O22" i="11"/>
  <c r="O44" i="11"/>
  <c r="O23" i="11"/>
  <c r="O45" i="11"/>
  <c r="O46" i="11"/>
  <c r="O41" i="11"/>
  <c r="E72" i="2"/>
  <c r="E46" i="2"/>
  <c r="E71" i="8"/>
  <c r="D46" i="8"/>
  <c r="AC17" i="12" s="1"/>
  <c r="D72" i="4"/>
  <c r="E42" i="4"/>
  <c r="T15" i="12" s="1"/>
  <c r="AK8" i="14" s="1" a="1"/>
  <c r="AK8" i="14" s="1"/>
  <c r="E72" i="8"/>
  <c r="E46" i="8"/>
  <c r="AD17" i="12" s="1"/>
  <c r="E72" i="7"/>
  <c r="E46" i="7"/>
  <c r="AD14" i="12" s="1"/>
  <c r="E71" i="2"/>
  <c r="D46" i="2"/>
  <c r="T55" i="4"/>
  <c r="P17" i="11" s="1"/>
  <c r="R8" i="14" s="1" a="1"/>
  <c r="R8" i="14" s="1"/>
  <c r="N56" i="4"/>
  <c r="T56" i="4" s="1"/>
  <c r="T17" i="11" s="1"/>
  <c r="U8" i="14" s="1" a="1"/>
  <c r="N59" i="4"/>
  <c r="D46" i="3"/>
  <c r="AC16" i="12" s="1"/>
  <c r="E71" i="3"/>
  <c r="E61" i="4"/>
  <c r="AG17" i="11" s="1"/>
  <c r="AD8" i="14" s="1" a="1"/>
  <c r="AD8" i="14" s="1"/>
  <c r="C43" i="4"/>
  <c r="C42" i="4" s="1"/>
  <c r="R15" i="12" s="1"/>
  <c r="AI8" i="14" s="1" a="1"/>
  <c r="AI8" i="14" s="1"/>
  <c r="E62" i="4"/>
  <c r="AH17" i="11" s="1"/>
  <c r="AE8" i="14" s="1" a="1"/>
  <c r="AE8" i="14" s="1"/>
  <c r="E60" i="4"/>
  <c r="AD17" i="11" s="1"/>
  <c r="AB8" i="14" s="1" a="1"/>
  <c r="AB8" i="14" s="1"/>
  <c r="E59" i="4"/>
  <c r="AA15" i="12" s="1"/>
  <c r="AO8" i="14" s="1" a="1"/>
  <c r="AO8" i="14" s="1"/>
  <c r="D71" i="4"/>
  <c r="Y17" i="11" s="1"/>
  <c r="Y8" i="14" s="1" a="1"/>
  <c r="Y8" i="14" s="1"/>
  <c r="D42" i="4"/>
  <c r="S15" i="12" s="1"/>
  <c r="AJ8" i="14" s="1" a="1"/>
  <c r="AJ8" i="14" s="1"/>
  <c r="E71" i="7"/>
  <c r="D46" i="7"/>
  <c r="AC14" i="12" s="1"/>
  <c r="E72" i="3"/>
  <c r="E46" i="3"/>
  <c r="AD16" i="12" s="1"/>
  <c r="U8" i="14" l="1"/>
  <c r="AA21" i="12"/>
  <c r="AA37" i="12"/>
  <c r="AA42" i="12"/>
  <c r="AA40" i="12"/>
  <c r="AA43" i="12"/>
  <c r="AA38" i="12"/>
  <c r="AA41" i="12"/>
  <c r="AA20" i="12"/>
  <c r="AD31" i="12"/>
  <c r="AD30" i="12"/>
  <c r="Y44" i="11"/>
  <c r="Y22" i="11"/>
  <c r="Y46" i="11"/>
  <c r="Y41" i="11"/>
  <c r="Y23" i="11"/>
  <c r="Y40" i="11"/>
  <c r="Y43" i="11"/>
  <c r="Y45" i="11"/>
  <c r="S21" i="12"/>
  <c r="T41" i="11"/>
  <c r="T45" i="11"/>
  <c r="T43" i="11"/>
  <c r="T44" i="11"/>
  <c r="T46" i="11"/>
  <c r="T23" i="11"/>
  <c r="T40" i="11"/>
  <c r="T22" i="11"/>
  <c r="Y38" i="12"/>
  <c r="Y42" i="12"/>
  <c r="Y21" i="12"/>
  <c r="Y37" i="12"/>
  <c r="Y43" i="12"/>
  <c r="Y41" i="12"/>
  <c r="Y20" i="12"/>
  <c r="Y40" i="12"/>
  <c r="P40" i="11"/>
  <c r="P43" i="11"/>
  <c r="P23" i="11"/>
  <c r="P45" i="11"/>
  <c r="P22" i="11"/>
  <c r="P46" i="11"/>
  <c r="P44" i="11"/>
  <c r="P41" i="11"/>
  <c r="T41" i="12"/>
  <c r="T37" i="12"/>
  <c r="T40" i="12"/>
  <c r="T20" i="12"/>
  <c r="T42" i="12"/>
  <c r="T38" i="12"/>
  <c r="T43" i="12"/>
  <c r="T21" i="12"/>
  <c r="R38" i="12"/>
  <c r="R40" i="12"/>
  <c r="R41" i="12"/>
  <c r="R20" i="12"/>
  <c r="R42" i="12"/>
  <c r="R21" i="12"/>
  <c r="R37" i="12"/>
  <c r="R43" i="12"/>
  <c r="S38" i="12"/>
  <c r="S20" i="12"/>
  <c r="S41" i="12"/>
  <c r="S43" i="12"/>
  <c r="S37" i="12"/>
  <c r="S40" i="12"/>
  <c r="S42" i="12"/>
  <c r="AG45" i="11"/>
  <c r="AG40" i="11"/>
  <c r="AG23" i="11"/>
  <c r="AG44" i="11"/>
  <c r="AG41" i="11"/>
  <c r="AG22" i="11"/>
  <c r="AG43" i="11"/>
  <c r="AG46" i="11"/>
  <c r="AH46" i="11"/>
  <c r="AH41" i="11"/>
  <c r="AH40" i="11"/>
  <c r="AH22" i="11"/>
  <c r="AH45" i="11"/>
  <c r="AH44" i="11"/>
  <c r="AH43" i="11"/>
  <c r="AH23" i="11"/>
  <c r="AD46" i="11"/>
  <c r="AD22" i="11"/>
  <c r="AD40" i="11"/>
  <c r="AD41" i="11"/>
  <c r="AD44" i="11"/>
  <c r="AD45" i="11"/>
  <c r="AD43" i="11"/>
  <c r="AD23" i="11"/>
  <c r="E68" i="4"/>
  <c r="T59" i="4"/>
  <c r="C47" i="4" s="1"/>
  <c r="C46" i="4" s="1"/>
  <c r="AB15" i="12" s="1"/>
  <c r="AP8" i="14" s="1" a="1"/>
  <c r="AP8" i="14" s="1"/>
  <c r="D47" i="4"/>
  <c r="E69" i="4"/>
  <c r="E47" i="4"/>
  <c r="E52" i="4"/>
  <c r="AB17" i="11" s="1"/>
  <c r="AA8" i="14" s="1" a="1"/>
  <c r="AA8" i="14" s="1"/>
  <c r="E53" i="4"/>
  <c r="P19" i="13" l="1" a="1"/>
  <c r="P19" i="13" s="1"/>
  <c r="P20" i="13" a="1"/>
  <c r="P20" i="13" s="1"/>
  <c r="P18" i="13" a="1"/>
  <c r="P18" i="13" s="1"/>
  <c r="P17" i="13" a="1"/>
  <c r="P17" i="13" s="1"/>
  <c r="AB41" i="12"/>
  <c r="AB38" i="12"/>
  <c r="AB43" i="12"/>
  <c r="AB21" i="12"/>
  <c r="AB20" i="12"/>
  <c r="AB40" i="12"/>
  <c r="AB37" i="12"/>
  <c r="AB42" i="12"/>
  <c r="AB23" i="11"/>
  <c r="AB40" i="11"/>
  <c r="AB22" i="11"/>
  <c r="AB45" i="11"/>
  <c r="AB46" i="11"/>
  <c r="AB43" i="11"/>
  <c r="AB44" i="11"/>
  <c r="AB41" i="11"/>
  <c r="E72" i="4"/>
  <c r="E46" i="4"/>
  <c r="AD15" i="12" s="1"/>
  <c r="AR8" i="14" s="1" a="1"/>
  <c r="AR8" i="14" s="1"/>
  <c r="D46" i="4"/>
  <c r="AC15" i="12" s="1"/>
  <c r="AQ8" i="14" s="1" a="1"/>
  <c r="AQ8" i="14" s="1"/>
  <c r="E71" i="4"/>
  <c r="P29" i="13" l="1"/>
  <c r="P27" i="13"/>
  <c r="P28" i="13"/>
  <c r="P31" i="13"/>
  <c r="P30" i="13"/>
  <c r="P32" i="13"/>
  <c r="P33" i="13"/>
  <c r="AC37" i="12"/>
  <c r="AC38" i="12"/>
  <c r="AC20" i="12"/>
  <c r="AC41" i="12"/>
  <c r="AC42" i="12"/>
  <c r="AC21" i="12"/>
  <c r="AC43" i="12"/>
  <c r="AC40" i="12"/>
  <c r="AD37" i="12" l="1"/>
  <c r="AD21" i="12"/>
  <c r="AD38" i="12"/>
  <c r="AD43" i="12"/>
  <c r="AD42" i="12"/>
  <c r="AD41" i="12"/>
  <c r="AD20" i="12"/>
  <c r="AD40" i="1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tc={1C086FD6-785A-4D11-AB3F-54308D8E4644}</author>
    <author>tc={6D207221-3C18-4C6D-A5EA-F4646B25F8AA}</author>
    <author>tc={EE4D4B1A-2FCA-463E-B4EB-05E22AAD06AB}</author>
  </authors>
  <commentList>
    <comment ref="R16" authorId="0" shapeId="0" xr:uid="{1C086FD6-785A-4D11-AB3F-54308D8E4644}">
      <text>
        <t>[Threaded comment]
Your version of Excel allows you to read this threaded comment; however, any edits to it will get removed if the file is opened in a newer version of Excel. Learn more: https://go.microsoft.com/fwlink/?linkid=870924
Comment:
     from the Presenters’ Notes for the HY25 Results Presentation</t>
      </text>
    </comment>
    <comment ref="E28" authorId="1" shapeId="0" xr:uid="{6D207221-3C18-4C6D-A5EA-F4646B25F8AA}">
      <text>
        <t>[Threaded comment]
Your version of Excel allows you to read this threaded comment; however, any edits to it will get removed if the file is opened in a newer version of Excel. Learn more: https://go.microsoft.com/fwlink/?linkid=870924
Comment:
    Divide by 1 million to make it compatible to the standardised unit (million $) in this excel file</t>
      </text>
    </comment>
    <comment ref="P28" authorId="2" shapeId="0" xr:uid="{EE4D4B1A-2FCA-463E-B4EB-05E22AAD06AB}">
      <text>
        <t>[Threaded comment]
Your version of Excel allows you to read this threaded comment; however, any edits to it will get removed if the file is opened in a newer version of Excel. Learn more: https://go.microsoft.com/fwlink/?linkid=870924
Comment:
    Subtle adjustment to match the HY24 reported result</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tc={691D5429-1122-40E2-8E7C-15F5C9285C3F}</author>
  </authors>
  <commentList>
    <comment ref="D47" authorId="0" shapeId="0" xr:uid="{691D5429-1122-40E2-8E7C-15F5C9285C3F}">
      <text>
        <t>[Threaded comment]
Your version of Excel allows you to read this threaded comment; however, any edits to it will get removed if the file is opened in a newer version of Excel. Learn more: https://go.microsoft.com/fwlink/?linkid=870924
Comment:
    I used the windsorised mean (bring the &gt;4000% growth rate back to the previous growth rate being 525%</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tc={7E009913-195B-45E3-B860-19D700BF777A}</author>
    <author>tc={48551091-9583-4941-B084-DED4B884DA9F}</author>
  </authors>
  <commentList>
    <comment ref="D45" authorId="0" shapeId="0" xr:uid="{7E009913-195B-45E3-B860-19D700BF777A}">
      <text>
        <t>[Threaded comment]
Your version of Excel allows you to read this threaded comment; however, any edits to it will get removed if the file is opened in a newer version of Excel. Learn more: https://go.microsoft.com/fwlink/?linkid=870924
Comment:
    Using windsorised mean to reduce the exaggeration of Covid-19</t>
      </text>
    </comment>
    <comment ref="D47" authorId="1" shapeId="0" xr:uid="{48551091-9583-4941-B084-DED4B884DA9F}">
      <text>
        <t xml:space="preserve">[Threaded comment]
Your version of Excel allows you to read this threaded comment; however, any edits to it will get removed if the file is opened in a newer version of Excel. Learn more: https://go.microsoft.com/fwlink/?linkid=870924
Comment:
    Using windsorised mean to reduce the exaggeration of Covid-19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tc={4C7FFEF9-F20D-417A-9696-C98D4DACB939}</author>
  </authors>
  <commentList>
    <comment ref="B36" authorId="0" shapeId="0" xr:uid="{4C7FFEF9-F20D-417A-9696-C98D4DACB939}">
      <text>
        <t>[Threaded comment]
Your version of Excel allows you to read this threaded comment; however, any edits to it will get removed if the file is opened in a newer version of Excel. Learn more: https://go.microsoft.com/fwlink/?linkid=870924
Comment:
    Used CAGR for growth rates of newly listed company</t>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0">
    <bk>
      <extLst>
        <ext uri="{3e2802c4-a4d2-4d8b-9148-e3be6c30e623}">
          <xlrd:rvb i="2"/>
        </ext>
      </extLst>
    </bk>
    <bk>
      <extLst>
        <ext uri="{3e2802c4-a4d2-4d8b-9148-e3be6c30e623}">
          <xlrd:rvb i="5"/>
        </ext>
      </extLst>
    </bk>
    <bk>
      <extLst>
        <ext uri="{3e2802c4-a4d2-4d8b-9148-e3be6c30e623}">
          <xlrd:rvb i="8"/>
        </ext>
      </extLst>
    </bk>
    <bk>
      <extLst>
        <ext uri="{3e2802c4-a4d2-4d8b-9148-e3be6c30e623}">
          <xlrd:rvb i="10"/>
        </ext>
      </extLst>
    </bk>
    <bk>
      <extLst>
        <ext uri="{3e2802c4-a4d2-4d8b-9148-e3be6c30e623}">
          <xlrd:rvb i="13"/>
        </ext>
      </extLst>
    </bk>
    <bk>
      <extLst>
        <ext uri="{3e2802c4-a4d2-4d8b-9148-e3be6c30e623}">
          <xlrd:rvb i="16"/>
        </ext>
      </extLst>
    </bk>
    <bk>
      <extLst>
        <ext uri="{3e2802c4-a4d2-4d8b-9148-e3be6c30e623}">
          <xlrd:rvb i="19"/>
        </ext>
      </extLst>
    </bk>
    <bk>
      <extLst>
        <ext uri="{3e2802c4-a4d2-4d8b-9148-e3be6c30e623}">
          <xlrd:rvb i="22"/>
        </ext>
      </extLst>
    </bk>
    <bk>
      <extLst>
        <ext uri="{3e2802c4-a4d2-4d8b-9148-e3be6c30e623}">
          <xlrd:rvb i="25"/>
        </ext>
      </extLst>
    </bk>
    <bk>
      <extLst>
        <ext uri="{3e2802c4-a4d2-4d8b-9148-e3be6c30e623}">
          <xlrd:rvb i="28"/>
        </ext>
      </extLst>
    </bk>
  </futureMetadata>
  <cellMetadata count="1">
    <bk>
      <rc t="1" v="0"/>
    </bk>
  </cellMetadata>
  <valueMetadata count="10">
    <bk>
      <rc t="2" v="0"/>
    </bk>
    <bk>
      <rc t="2" v="1"/>
    </bk>
    <bk>
      <rc t="2" v="2"/>
    </bk>
    <bk>
      <rc t="2" v="3"/>
    </bk>
    <bk>
      <rc t="2" v="4"/>
    </bk>
    <bk>
      <rc t="2" v="5"/>
    </bk>
    <bk>
      <rc t="2" v="6"/>
    </bk>
    <bk>
      <rc t="2" v="7"/>
    </bk>
    <bk>
      <rc t="2" v="8"/>
    </bk>
    <bk>
      <rc t="2" v="9"/>
    </bk>
  </valueMetadata>
</metadata>
</file>

<file path=xl/sharedStrings.xml><?xml version="1.0" encoding="utf-8"?>
<sst xmlns="http://schemas.openxmlformats.org/spreadsheetml/2006/main" count="2127" uniqueCount="341">
  <si>
    <t>Business Information</t>
  </si>
  <si>
    <t>Equity</t>
  </si>
  <si>
    <t>Enterprise</t>
  </si>
  <si>
    <t>LTM</t>
  </si>
  <si>
    <t>Company</t>
  </si>
  <si>
    <t>Ticker</t>
  </si>
  <si>
    <t>Business Description Summary</t>
  </si>
  <si>
    <t>Value</t>
  </si>
  <si>
    <t>Sales</t>
  </si>
  <si>
    <t>SGH Limited (Base Companies)</t>
  </si>
  <si>
    <t>SGH</t>
  </si>
  <si>
    <r>
      <rPr>
        <b/>
        <sz val="10"/>
        <color theme="1"/>
        <rFont val="Aptos Narrow"/>
        <family val="2"/>
        <scheme val="minor"/>
      </rPr>
      <t>SGH Ltd</t>
    </r>
    <r>
      <rPr>
        <sz val="10"/>
        <color theme="1"/>
        <rFont val="Aptos Narrow"/>
        <family val="2"/>
        <scheme val="minor"/>
      </rPr>
      <t xml:space="preserve"> is an Australian diversified operating company, with market leading businesses across industrial services, energy and media. In industrial services, SGH owns </t>
    </r>
    <r>
      <rPr>
        <b/>
        <sz val="10"/>
        <color theme="1"/>
        <rFont val="Aptos Narrow"/>
        <family val="2"/>
        <scheme val="minor"/>
      </rPr>
      <t>WesTrac</t>
    </r>
    <r>
      <rPr>
        <sz val="10"/>
        <color theme="1"/>
        <rFont val="Aptos Narrow"/>
        <family val="2"/>
        <scheme val="minor"/>
      </rPr>
      <t xml:space="preserve">, </t>
    </r>
    <r>
      <rPr>
        <b/>
        <sz val="10"/>
        <color theme="1"/>
        <rFont val="Aptos Narrow"/>
        <family val="2"/>
        <scheme val="minor"/>
      </rPr>
      <t>Boral</t>
    </r>
    <r>
      <rPr>
        <sz val="10"/>
        <color theme="1"/>
        <rFont val="Aptos Narrow"/>
        <family val="2"/>
        <scheme val="minor"/>
      </rPr>
      <t xml:space="preserve">, </t>
    </r>
    <r>
      <rPr>
        <b/>
        <sz val="10"/>
        <color theme="1"/>
        <rFont val="Aptos Narrow"/>
        <family val="2"/>
        <scheme val="minor"/>
      </rPr>
      <t>Coates</t>
    </r>
    <r>
      <rPr>
        <sz val="10"/>
        <color theme="1"/>
        <rFont val="Aptos Narrow"/>
        <family val="2"/>
        <scheme val="minor"/>
      </rPr>
      <t xml:space="preserve"> and </t>
    </r>
    <r>
      <rPr>
        <b/>
        <sz val="10"/>
        <color theme="1"/>
        <rFont val="Aptos Narrow"/>
        <family val="2"/>
        <scheme val="minor"/>
      </rPr>
      <t>Allight.</t>
    </r>
  </si>
  <si>
    <t>MAAS Group Holdings</t>
  </si>
  <si>
    <t>MGH</t>
  </si>
  <si>
    <t>A vertically integrated regional construction materials company. Involved in quarry products, mobile crushing, civil construction, and real estate development. Active in both domestic and international markets.</t>
  </si>
  <si>
    <t>Fletcher Building Ltd</t>
  </si>
  <si>
    <t>FBU</t>
  </si>
  <si>
    <t>A NZ-headquartered building materials giant with operations across Australia and NZ. Owns cement (Golden Bay), aggregates, and concrete plants. Vertically integrated from raw materials to building products.</t>
  </si>
  <si>
    <t>Wagners Holdings Co.</t>
  </si>
  <si>
    <t>WGN</t>
  </si>
  <si>
    <t>Queensland-based construction materials company. Focused on cement, concrete, aggregates, and mobile crushing. Known for Earth Friendly Concrete® and innovation in low-carbon materials.</t>
  </si>
  <si>
    <t>Macmahon Holding Ltd.</t>
  </si>
  <si>
    <t>MAH</t>
  </si>
  <si>
    <t>An Australian mining services contractor headquartered in Perth, providing surface and underground mining, equipment maintenance, and civil construction services. Macmahon generates revenue through long-term contracts focused on mine development and production support.</t>
  </si>
  <si>
    <t>Orica Ltd</t>
  </si>
  <si>
    <t>ORI</t>
  </si>
  <si>
    <t>Global leader in explosives and blasting systems. Provides end-to-end mining and quarrying blast solutions to improve productivity and safety across sites. Strong R&amp;D and tech capabilities.</t>
  </si>
  <si>
    <t>MLG Oz Ltd</t>
  </si>
  <si>
    <t>MLG</t>
  </si>
  <si>
    <t>Mining logistics and haulage company. Offers bulk material handling, on-site crushing, and integrated supply chain support to quarries and mines across WA and NT.</t>
  </si>
  <si>
    <t>NRW Holdings Ltd.</t>
  </si>
  <si>
    <t>NWH</t>
  </si>
  <si>
    <t>Major civil and mining contractor. Provides drill-and-blast, bulk earthworks, load and haul, and infrastructure delivery. Has direct exposure to quarry operation support and mine development.</t>
  </si>
  <si>
    <t>Emeco Holdings Ltd.</t>
  </si>
  <si>
    <t>EHL</t>
  </si>
  <si>
    <t>Specialist in heavy equipment hire and asset management. Supplies large mining and construction fleets, with exposure to quarry clients via rental and maintenance services.</t>
  </si>
  <si>
    <t>Business Description</t>
  </si>
  <si>
    <t>Input page</t>
  </si>
  <si>
    <t>($ in millions, except per share data)</t>
  </si>
  <si>
    <t>General Information</t>
  </si>
  <si>
    <t>Reported Income Statement</t>
  </si>
  <si>
    <t>Balance Sheet Data</t>
  </si>
  <si>
    <t>Company Name</t>
  </si>
  <si>
    <t>Fiscal Year Ending June 30</t>
  </si>
  <si>
    <t>Prior</t>
  </si>
  <si>
    <t>Current</t>
  </si>
  <si>
    <t>2024A</t>
  </si>
  <si>
    <t>Stub</t>
  </si>
  <si>
    <t>Cash and Cash Equivalents</t>
  </si>
  <si>
    <t>Stock Exchange</t>
  </si>
  <si>
    <t>2022A</t>
  </si>
  <si>
    <t>2023A</t>
  </si>
  <si>
    <t>Accounts Receivable</t>
  </si>
  <si>
    <t>Fiscal Year Ending</t>
  </si>
  <si>
    <t>Inventories</t>
  </si>
  <si>
    <t>Most Recent Quarterly DPS</t>
  </si>
  <si>
    <t>COGS</t>
  </si>
  <si>
    <t>Prepaids and Other Current Assets</t>
  </si>
  <si>
    <t>Moody's Corporate Rating</t>
  </si>
  <si>
    <t>Baa2</t>
  </si>
  <si>
    <r>
      <t xml:space="preserve">    </t>
    </r>
    <r>
      <rPr>
        <b/>
        <sz val="8.5"/>
        <color theme="1"/>
        <rFont val="Quire Sans"/>
        <family val="2"/>
      </rPr>
      <t>Gross Profit</t>
    </r>
  </si>
  <si>
    <r>
      <t xml:space="preserve">    </t>
    </r>
    <r>
      <rPr>
        <b/>
        <sz val="8.5"/>
        <color theme="1"/>
        <rFont val="Quire Sans"/>
        <family val="2"/>
      </rPr>
      <t>Total Current Assets</t>
    </r>
  </si>
  <si>
    <t>Predicted Beta</t>
  </si>
  <si>
    <t>0.68 (0.74)</t>
  </si>
  <si>
    <t>SG&amp;A</t>
  </si>
  <si>
    <t>NA</t>
  </si>
  <si>
    <t>Marginal Tax Rate (%)</t>
  </si>
  <si>
    <t>Other Expense / (Income)</t>
  </si>
  <si>
    <t>Property, Plant and Equipment, net</t>
  </si>
  <si>
    <r>
      <t xml:space="preserve">    </t>
    </r>
    <r>
      <rPr>
        <b/>
        <sz val="8.5"/>
        <color theme="1"/>
        <rFont val="Quire Sans"/>
        <family val="2"/>
      </rPr>
      <t>EBIT</t>
    </r>
  </si>
  <si>
    <t>Goodwill and Intangible Assets</t>
  </si>
  <si>
    <t>Selected Market Data</t>
  </si>
  <si>
    <t>Interest Expense</t>
  </si>
  <si>
    <t>Other Assets</t>
  </si>
  <si>
    <t>Current Price</t>
  </si>
  <si>
    <r>
      <t xml:space="preserve">    </t>
    </r>
    <r>
      <rPr>
        <b/>
        <sz val="8.5"/>
        <color theme="1"/>
        <rFont val="Quire Sans"/>
        <family val="2"/>
      </rPr>
      <t>Pre-tax Income</t>
    </r>
  </si>
  <si>
    <r>
      <t xml:space="preserve">    </t>
    </r>
    <r>
      <rPr>
        <b/>
        <sz val="8.5"/>
        <color theme="1"/>
        <rFont val="Quire Sans"/>
        <family val="2"/>
      </rPr>
      <t>Total Assets</t>
    </r>
  </si>
  <si>
    <t xml:space="preserve">      % of 52-week High</t>
  </si>
  <si>
    <t>Income Taxes</t>
  </si>
  <si>
    <t>52-week High Price</t>
  </si>
  <si>
    <t>Noncontrolling Interest</t>
  </si>
  <si>
    <t>Accounts Payable</t>
  </si>
  <si>
    <t>52-week Low Price</t>
  </si>
  <si>
    <t>Preferred Dividends</t>
  </si>
  <si>
    <t>Short-term Debt</t>
  </si>
  <si>
    <t>Dividend Per Share (MRQ)</t>
  </si>
  <si>
    <r>
      <t xml:space="preserve">    </t>
    </r>
    <r>
      <rPr>
        <b/>
        <sz val="8.5"/>
        <color theme="1"/>
        <rFont val="Quire Sans"/>
        <family val="2"/>
      </rPr>
      <t>Net Income</t>
    </r>
  </si>
  <si>
    <t>Accrued &amp; Other Current Liabilities</t>
  </si>
  <si>
    <t xml:space="preserve">    Effective Tax Rate</t>
  </si>
  <si>
    <r>
      <t xml:space="preserve">    </t>
    </r>
    <r>
      <rPr>
        <b/>
        <sz val="8.5"/>
        <color theme="1"/>
        <rFont val="Quire Sans"/>
        <family val="2"/>
      </rPr>
      <t>Total Current Liabilities</t>
    </r>
  </si>
  <si>
    <t>Fully Diluted Shares Outstanding</t>
  </si>
  <si>
    <t xml:space="preserve">       Equity Value</t>
  </si>
  <si>
    <t>Weighted Avg. Diluted Shares</t>
  </si>
  <si>
    <t>Long-term Debt</t>
  </si>
  <si>
    <t>Diluted EPS</t>
  </si>
  <si>
    <t>Other Long-Term Liabilities</t>
  </si>
  <si>
    <t>Plus: Total Debt</t>
  </si>
  <si>
    <t xml:space="preserve">    Total Liabilities</t>
  </si>
  <si>
    <t>Plus: Preferred Stock</t>
  </si>
  <si>
    <t>Plus: Noncontrolling interest</t>
  </si>
  <si>
    <t>Adjusted Income Statement</t>
  </si>
  <si>
    <t>Noncontrolling interest</t>
  </si>
  <si>
    <t>Less: Cash and Cash Equivalent</t>
  </si>
  <si>
    <t>Reported Gross Profit</t>
  </si>
  <si>
    <t>Preferred Stock</t>
  </si>
  <si>
    <t xml:space="preserve">       Enterprise Value</t>
  </si>
  <si>
    <t>Non-recurring items in COGS</t>
  </si>
  <si>
    <t>Shareholders' Equity</t>
  </si>
  <si>
    <r>
      <t xml:space="preserve">    </t>
    </r>
    <r>
      <rPr>
        <b/>
        <sz val="8.5"/>
        <color theme="1"/>
        <rFont val="Quire Sans"/>
        <family val="2"/>
      </rPr>
      <t>Adj. Gross Profit</t>
    </r>
  </si>
  <si>
    <r>
      <t xml:space="preserve">    </t>
    </r>
    <r>
      <rPr>
        <b/>
        <sz val="8.5"/>
        <color theme="1"/>
        <rFont val="Quire Sans"/>
        <family val="2"/>
      </rPr>
      <t>Total Liabilities and Equity</t>
    </r>
  </si>
  <si>
    <t>Trading Multiples</t>
  </si>
  <si>
    <t xml:space="preserve">    % margin</t>
  </si>
  <si>
    <t>Balance Check (Asset - Liabilities and Equity)</t>
  </si>
  <si>
    <t>NFY</t>
  </si>
  <si>
    <t>NFY+1</t>
  </si>
  <si>
    <t>2025E</t>
  </si>
  <si>
    <t>2026E</t>
  </si>
  <si>
    <t>Reported EBIT</t>
  </si>
  <si>
    <t>Calculation of Fully Diluted Shares Outstanding</t>
  </si>
  <si>
    <t>EV/Sales</t>
  </si>
  <si>
    <t>Basic Shares Outstanding</t>
  </si>
  <si>
    <t xml:space="preserve">   Metric</t>
  </si>
  <si>
    <t>Other Non-recurring Items</t>
  </si>
  <si>
    <t>Plus: Shares from In-the-money Options</t>
  </si>
  <si>
    <t>EV/EBITDA</t>
  </si>
  <si>
    <r>
      <t xml:space="preserve">    </t>
    </r>
    <r>
      <rPr>
        <b/>
        <sz val="8.5"/>
        <color theme="1"/>
        <rFont val="Quire Sans"/>
        <family val="2"/>
      </rPr>
      <t>Adjusted EBIT</t>
    </r>
  </si>
  <si>
    <t>Less: Shares Repurchased</t>
  </si>
  <si>
    <r>
      <t xml:space="preserve">    </t>
    </r>
    <r>
      <rPr>
        <b/>
        <sz val="8.5"/>
        <color theme="1"/>
        <rFont val="Quire Sans"/>
        <family val="2"/>
      </rPr>
      <t>Net New Shares from Options</t>
    </r>
  </si>
  <si>
    <t xml:space="preserve">EV/EBIT </t>
  </si>
  <si>
    <t>Plus: Shares from Convertible Securities</t>
  </si>
  <si>
    <t>Depreciation &amp; Amortization</t>
  </si>
  <si>
    <t xml:space="preserve">    Fully Diluted Shares Outstanding</t>
  </si>
  <si>
    <t>P/E</t>
  </si>
  <si>
    <r>
      <t xml:space="preserve">    </t>
    </r>
    <r>
      <rPr>
        <b/>
        <sz val="8.5"/>
        <color theme="1"/>
        <rFont val="Quire Sans"/>
        <family val="2"/>
      </rPr>
      <t>Adjusted EBITDA</t>
    </r>
  </si>
  <si>
    <t>Options/Warrants</t>
  </si>
  <si>
    <t>Number of</t>
  </si>
  <si>
    <t>Exercise</t>
  </si>
  <si>
    <t xml:space="preserve">In-the-Money </t>
  </si>
  <si>
    <t>LTM Return on Investment Ratios</t>
  </si>
  <si>
    <t>Reported Net Income</t>
  </si>
  <si>
    <t>Tranche</t>
  </si>
  <si>
    <t>Shares</t>
  </si>
  <si>
    <t>Price</t>
  </si>
  <si>
    <t>Proceeds</t>
  </si>
  <si>
    <t>Return on Invested Capital</t>
  </si>
  <si>
    <t>Non-recurring Items in COGS</t>
  </si>
  <si>
    <t>Tranche 1</t>
  </si>
  <si>
    <t>Return on Equity</t>
  </si>
  <si>
    <t>Tranche 2</t>
  </si>
  <si>
    <t>Return on Assets</t>
  </si>
  <si>
    <t>Non-operating Non-rec. Items</t>
  </si>
  <si>
    <t>Tranche 3</t>
  </si>
  <si>
    <t>Implied Annual Dividend Yield</t>
  </si>
  <si>
    <t>Tax Adjustment</t>
  </si>
  <si>
    <t>Tranche 4</t>
  </si>
  <si>
    <r>
      <t xml:space="preserve">    </t>
    </r>
    <r>
      <rPr>
        <b/>
        <sz val="8.5"/>
        <color theme="1"/>
        <rFont val="Quire Sans"/>
        <family val="2"/>
      </rPr>
      <t>Adjusted Net Income</t>
    </r>
  </si>
  <si>
    <t>Tranche 5</t>
  </si>
  <si>
    <t>LTM Credit Statistics</t>
  </si>
  <si>
    <t xml:space="preserve">    Total</t>
  </si>
  <si>
    <t>Debt/Total Capitalization (%)</t>
  </si>
  <si>
    <t>Convertible Securities</t>
  </si>
  <si>
    <t>Total Debt/ EBITDA</t>
  </si>
  <si>
    <t>Adjusted Diluted EPS</t>
  </si>
  <si>
    <t>Conversion</t>
  </si>
  <si>
    <t>New</t>
  </si>
  <si>
    <t>Net Debt/ EBITDA</t>
  </si>
  <si>
    <t>Amount</t>
  </si>
  <si>
    <t>Ratio</t>
  </si>
  <si>
    <t>EBITDA/Interest Expense</t>
  </si>
  <si>
    <t>Issue 1</t>
  </si>
  <si>
    <t>(EBITDA - capex)/Interest Expense</t>
  </si>
  <si>
    <t>Cash Flow Statement Data</t>
  </si>
  <si>
    <t>Issue 2</t>
  </si>
  <si>
    <t>EBIT/Interest Expense</t>
  </si>
  <si>
    <t>Issue 3</t>
  </si>
  <si>
    <t xml:space="preserve">   % sales</t>
  </si>
  <si>
    <t>Issue 4</t>
  </si>
  <si>
    <t>Growth Rates</t>
  </si>
  <si>
    <t>Capital Expenditures</t>
  </si>
  <si>
    <t>Issue 5</t>
  </si>
  <si>
    <t>EBITDA</t>
  </si>
  <si>
    <t>EPS</t>
  </si>
  <si>
    <r>
      <t xml:space="preserve">    </t>
    </r>
    <r>
      <rPr>
        <b/>
        <sz val="8.5"/>
        <color theme="1"/>
        <rFont val="Quire Sans"/>
        <family val="2"/>
      </rPr>
      <t>Total</t>
    </r>
  </si>
  <si>
    <t>Historical</t>
  </si>
  <si>
    <t>1-Year</t>
  </si>
  <si>
    <t>2-Year CAGR</t>
  </si>
  <si>
    <t>Notes</t>
  </si>
  <si>
    <t>Estimated</t>
  </si>
  <si>
    <t>(1) SGH operates across industrial services, equipment rental, energy, and media, with core holdings in WesTrac (Caterpillar dealer), Coates, and Seven West Media.</t>
  </si>
  <si>
    <t>(2) It reported strong underlying EBIT growth, driven by WesTrac’s performance and increased infrastructure demand.</t>
  </si>
  <si>
    <t>(3) SGH maintains a disciplined capital management strategy, including dividend payments and strategic investments.</t>
  </si>
  <si>
    <r>
      <t xml:space="preserve">Long-term </t>
    </r>
    <r>
      <rPr>
        <i/>
        <sz val="8.5"/>
        <color theme="1"/>
        <rFont val="Quire Sans"/>
        <family val="2"/>
      </rPr>
      <t>(collected by Simply Wall St)</t>
    </r>
    <r>
      <rPr>
        <sz val="8.5"/>
        <color theme="1"/>
        <rFont val="Quire Sans"/>
        <family val="2"/>
      </rPr>
      <t>:</t>
    </r>
  </si>
  <si>
    <t>(4) The group emphasizes operational efficiency and margin expansion, supported by ongoing cost control and asset utilisation improvements.</t>
  </si>
  <si>
    <t>[to come]</t>
  </si>
  <si>
    <t>ASX</t>
  </si>
  <si>
    <t>0.79 (0.74)</t>
  </si>
  <si>
    <t>Calculation of Fully Diluted Shares Outstanding (optional - if not reported)</t>
  </si>
  <si>
    <t xml:space="preserve">-       </t>
  </si>
  <si>
    <t>Debt/Total Capitalization</t>
  </si>
  <si>
    <t>(1) Revenue remained stable at A$458.5M, showing resilience but limited topline growth.</t>
  </si>
  <si>
    <t>(2) Construction Materials EBITDA rose 24% YoY, driven by recent quarry and concrete acquisitions.</t>
  </si>
  <si>
    <t>(3) Civil Construction &amp; Hire EBITDA dropped 47% due to project delays and weather disruptions</t>
  </si>
  <si>
    <t>(4) Maintained profitability with A$32.1M NPAT and a 3.5c fully franked interim dividend</t>
  </si>
  <si>
    <t>Fletcher Building Limited</t>
  </si>
  <si>
    <t>Exchange Rate (NZD/AUD):</t>
  </si>
  <si>
    <t>Baa3</t>
  </si>
  <si>
    <t>1.02 (0.74)</t>
  </si>
  <si>
    <t>Implied Annual Dividend Per Share</t>
  </si>
  <si>
    <r>
      <rPr>
        <b/>
        <sz val="8.5"/>
        <color theme="1"/>
        <rFont val="Quire Sans"/>
        <family val="2"/>
      </rPr>
      <t>(1) Financials:</t>
    </r>
    <r>
      <rPr>
        <sz val="8.5"/>
        <color theme="1"/>
        <rFont val="Quire Sans"/>
        <family val="2"/>
      </rPr>
      <t xml:space="preserve"> Reported net loss after tax of NZ$134M; EBIT before significant items fell to NZ$167M; revenue declined 7% to NZ$3.58B.</t>
    </r>
  </si>
  <si>
    <r>
      <rPr>
        <b/>
        <sz val="8.5"/>
        <color theme="1"/>
        <rFont val="Quire Sans"/>
        <family val="2"/>
      </rPr>
      <t>(2) Capital Raise</t>
    </r>
    <r>
      <rPr>
        <sz val="8.5"/>
        <color theme="1"/>
        <rFont val="Quire Sans"/>
        <family val="2"/>
      </rPr>
      <t>: Raised NZ$700M to reduce debt; lowered net debt to NZ$1.1B and leverage to 1.4x.</t>
    </r>
  </si>
  <si>
    <r>
      <rPr>
        <b/>
        <sz val="8.5"/>
        <color theme="1"/>
        <rFont val="Quire Sans"/>
        <family val="2"/>
      </rPr>
      <t>(3) Sustainability</t>
    </r>
    <r>
      <rPr>
        <sz val="8.5"/>
        <color theme="1"/>
        <rFont val="Quire Sans"/>
        <family val="2"/>
      </rPr>
      <t>: Achieved 55% coal substitution at Golden Bay; group CO₂ emissions down 21% since FY18.</t>
    </r>
  </si>
  <si>
    <r>
      <rPr>
        <b/>
        <sz val="8.5"/>
        <color theme="1"/>
        <rFont val="Quire Sans"/>
        <family val="2"/>
      </rPr>
      <t>(4)</t>
    </r>
    <r>
      <rPr>
        <sz val="8.5"/>
        <color theme="1"/>
        <rFont val="Quire Sans"/>
        <family val="2"/>
      </rPr>
      <t xml:space="preserve"> </t>
    </r>
    <r>
      <rPr>
        <b/>
        <sz val="8.5"/>
        <color theme="1"/>
        <rFont val="Quire Sans"/>
        <family val="2"/>
      </rPr>
      <t>Operations</t>
    </r>
    <r>
      <rPr>
        <sz val="8.5"/>
        <color theme="1"/>
        <rFont val="Quire Sans"/>
        <family val="2"/>
      </rPr>
      <t>: Construction revenue rose 16%; residential revenue dropped 32% amid NZ housing market weakness.</t>
    </r>
  </si>
  <si>
    <t>Wagners Holding Comp Ltd.</t>
  </si>
  <si>
    <t>1.18 (0.99)</t>
  </si>
  <si>
    <t>- inconsistently dividend-paying company</t>
  </si>
  <si>
    <r>
      <t xml:space="preserve">(1) </t>
    </r>
    <r>
      <rPr>
        <b/>
        <sz val="8.5"/>
        <color theme="1"/>
        <rFont val="Quire Sans"/>
        <family val="2"/>
      </rPr>
      <t>Diversified Business Segments:</t>
    </r>
    <r>
      <rPr>
        <sz val="8.5"/>
        <color theme="1"/>
        <rFont val="Quire Sans"/>
        <family val="2"/>
      </rPr>
      <t xml:space="preserve"> Operates through CMS, Project Services, Composite Fibre Technology, and Earth Friendly Concrete, focusing on both traditional and sustainable construction solutions.</t>
    </r>
  </si>
  <si>
    <r>
      <t xml:space="preserve">(2) </t>
    </r>
    <r>
      <rPr>
        <b/>
        <sz val="8.5"/>
        <color theme="1"/>
        <rFont val="Quire Sans"/>
        <family val="2"/>
      </rPr>
      <t>Strong FY24 Performance</t>
    </r>
    <r>
      <rPr>
        <sz val="8.5"/>
        <color theme="1"/>
        <rFont val="Quire Sans"/>
        <family val="2"/>
      </rPr>
      <t>: Reported AUD 481.64M in revenue (↑1.3%) and AUD 10.28M in net income (↑229.2%), driven by margin expansion and operational improvements.</t>
    </r>
  </si>
  <si>
    <r>
      <t xml:space="preserve">(3) </t>
    </r>
    <r>
      <rPr>
        <b/>
        <sz val="8.5"/>
        <color theme="1"/>
        <rFont val="Quire Sans"/>
        <family val="2"/>
      </rPr>
      <t>Sustainability Focus</t>
    </r>
    <r>
      <rPr>
        <sz val="8.5"/>
        <color theme="1"/>
        <rFont val="Quire Sans"/>
        <family val="2"/>
      </rPr>
      <t>: Continues investing in low-carbon building materials like CFT and Earth Friendly Concrete, aligning with ESG trends.</t>
    </r>
  </si>
  <si>
    <r>
      <t xml:space="preserve">(4) </t>
    </r>
    <r>
      <rPr>
        <b/>
        <sz val="8.5"/>
        <color theme="1"/>
        <rFont val="Quire Sans"/>
        <family val="2"/>
      </rPr>
      <t>Market Growth</t>
    </r>
    <r>
      <rPr>
        <sz val="8.5"/>
        <color theme="1"/>
        <rFont val="Quire Sans"/>
        <family val="2"/>
      </rPr>
      <t>: Achieved 95% stock return over five years, supported by geographic expansion and demand for sustainable infrastructure solutions.</t>
    </r>
  </si>
  <si>
    <t>1.11 (0.99)</t>
  </si>
  <si>
    <r>
      <t xml:space="preserve">(1) </t>
    </r>
    <r>
      <rPr>
        <b/>
        <sz val="8.5"/>
        <color theme="1"/>
        <rFont val="Quire Sans"/>
        <family val="2"/>
      </rPr>
      <t>Diversified Mining Services</t>
    </r>
    <r>
      <rPr>
        <sz val="8.5"/>
        <color theme="1"/>
        <rFont val="Quire Sans"/>
        <family val="2"/>
      </rPr>
      <t>: Macmahon offers comprehensive mining and civil infrastructure services, including surface and underground mining, civil construction, and resources engineering, operating across Australia and Southeast Asia</t>
    </r>
  </si>
  <si>
    <r>
      <t>(2)</t>
    </r>
    <r>
      <rPr>
        <b/>
        <sz val="8.5"/>
        <color theme="1"/>
        <rFont val="Quire Sans"/>
        <family val="2"/>
      </rPr>
      <t xml:space="preserve"> Strong Financial Performance</t>
    </r>
    <r>
      <rPr>
        <sz val="8.5"/>
        <color theme="1"/>
        <rFont val="Quire Sans"/>
        <family val="2"/>
      </rPr>
      <t>: In FY24, the company reported record revenue of AUD 2.0 billion, underlying EBITDA of AUD 351.7 million, and underlying EBIT(A) of AUD 140.3 million, supported by an order book of AUD 4.6 billion</t>
    </r>
  </si>
  <si>
    <r>
      <t xml:space="preserve">(3) </t>
    </r>
    <r>
      <rPr>
        <b/>
        <sz val="8.5"/>
        <color theme="1"/>
        <rFont val="Quire Sans"/>
        <family val="2"/>
      </rPr>
      <t>Strategic Expansion</t>
    </r>
    <r>
      <rPr>
        <sz val="8.5"/>
        <color theme="1"/>
        <rFont val="Quire Sans"/>
        <family val="2"/>
      </rPr>
      <t>: In August 2024, Macmahon re-entered the construction sector by acquiring Decmil, enhancing its capabilities in infrastructure projects</t>
    </r>
  </si>
  <si>
    <r>
      <t xml:space="preserve">(4) </t>
    </r>
    <r>
      <rPr>
        <b/>
        <sz val="8.5"/>
        <color theme="1"/>
        <rFont val="Quire Sans"/>
        <family val="2"/>
      </rPr>
      <t>Financial Health</t>
    </r>
    <r>
      <rPr>
        <sz val="8.5"/>
        <color theme="1"/>
        <rFont val="Quire Sans"/>
        <family val="2"/>
      </rPr>
      <t>: As of December 2024, Macmahon held AUD 321.8 million in debt and AUD 221.8 million in cash, resulting in a net debt of approximately AUD 100 million. The company's D/E ratio stood at 48.1%, indicating a moderate leverage position.</t>
    </r>
  </si>
  <si>
    <t>1.00 (0.99)</t>
  </si>
  <si>
    <r>
      <t xml:space="preserve">(1) </t>
    </r>
    <r>
      <rPr>
        <b/>
        <sz val="8.5"/>
        <color theme="1"/>
        <rFont val="Quire Sans"/>
        <family val="2"/>
      </rPr>
      <t>Strong FY24 Financial Performance</t>
    </r>
    <r>
      <rPr>
        <sz val="8.5"/>
        <color theme="1"/>
        <rFont val="Quire Sans"/>
        <family val="2"/>
      </rPr>
      <t>: Orica reported a 77% increase in net profit to AUD 525 million and a 15% rise in EBIT to AUD 806 million, driven by premium products and digital solutions.</t>
    </r>
  </si>
  <si>
    <r>
      <t xml:space="preserve">(2) </t>
    </r>
    <r>
      <rPr>
        <b/>
        <sz val="8.5"/>
        <color theme="1"/>
        <rFont val="Quire Sans"/>
        <family val="2"/>
      </rPr>
      <t>Strategic Acquisitions and Digital Expansion:</t>
    </r>
    <r>
      <rPr>
        <sz val="8.5"/>
        <color theme="1"/>
        <rFont val="Quire Sans"/>
        <family val="2"/>
      </rPr>
      <t xml:space="preserve"> The company acquired Terra Insights and Cyanco to bolster its digital solutions and specialty mining chemicals, aiming to balance earnings between blasting and non-blasting services.</t>
    </r>
  </si>
  <si>
    <r>
      <t>(3)</t>
    </r>
    <r>
      <rPr>
        <b/>
        <sz val="8.5"/>
        <color theme="1"/>
        <rFont val="Quire Sans"/>
        <family val="2"/>
      </rPr>
      <t xml:space="preserve"> Sustainability Initiatives</t>
    </r>
    <r>
      <rPr>
        <sz val="8.5"/>
        <color theme="1"/>
        <rFont val="Quire Sans"/>
        <family val="2"/>
      </rPr>
      <t>: Orica targets a 30% reduction in scope 1 and 2 emissions by FY26 and at least 45% by 2030, implementing technologies like nitrous oxide reduction at its nitric acid plants.</t>
    </r>
  </si>
  <si>
    <r>
      <t xml:space="preserve">(4) </t>
    </r>
    <r>
      <rPr>
        <b/>
        <sz val="8.5"/>
        <color theme="1"/>
        <rFont val="Quire Sans"/>
        <family val="2"/>
      </rPr>
      <t>Capital Management Strategy</t>
    </r>
    <r>
      <rPr>
        <sz val="8.5"/>
        <color theme="1"/>
        <rFont val="Quire Sans"/>
        <family val="2"/>
      </rPr>
      <t>: In March 2025, Orica announced a $400 million on-market share buy-back, reflecting confidence in its financial strength and commitment to shareholder returns.</t>
    </r>
  </si>
  <si>
    <t>0.80 (0.74)</t>
  </si>
  <si>
    <t>(1) Diversified mining and civil contractor with strong exposure to HME-intensive projects.</t>
  </si>
  <si>
    <t>(2) Acquired BGC Contracting to expand fleet scale and end-to-end mine service capability.</t>
  </si>
  <si>
    <t>(3) Focused on margin recovery and disciplined capital management amid rising tender activity.</t>
  </si>
  <si>
    <t>(4) Positioned for growth through infrastructure, resources, and defense-related civil contracts.</t>
  </si>
  <si>
    <t>MLG OZ Ltd.</t>
  </si>
  <si>
    <t>1.58 (0.99)</t>
  </si>
  <si>
    <t>(1) Provides integrated logistics, crushing, and bulk haulage services to mining operators.</t>
  </si>
  <si>
    <t>(2) Relies heavily on large HME fleet with contracts tied to Western Australia operations</t>
  </si>
  <si>
    <t>(3) Revenue driven by long-term agreements with clients like BHP and Mineral Resources.</t>
  </si>
  <si>
    <t>(4) Capital efficiency and equipment utilization are key metrics for investor outlook.</t>
  </si>
  <si>
    <t>Ba3</t>
  </si>
  <si>
    <t>1.15 (0.74)</t>
  </si>
  <si>
    <t>(1) Specializes in renting and maintaining HME to mining companies across Australia.</t>
  </si>
  <si>
    <t>(2) Business model is capex-heavy but benefits from recurring rental income and refurbishment.</t>
  </si>
  <si>
    <t>(3) Completed Matilda Equipment acquisition to enhance fleet diversity and geographic reach.</t>
  </si>
  <si>
    <t>(4) Leverages data-driven asset monitoring to improve productivity and reduce downtime</t>
  </si>
  <si>
    <t>SGH LIMITED (XASX:SGH)</t>
  </si>
  <si>
    <t>Benchmarking Analysis - Financial Statistics and Ratios, Page 1</t>
  </si>
  <si>
    <t>Market Valuation</t>
  </si>
  <si>
    <t>Return on Investment</t>
  </si>
  <si>
    <t>Gross</t>
  </si>
  <si>
    <t>Net</t>
  </si>
  <si>
    <t>Net Debt /</t>
  </si>
  <si>
    <t>Debt /</t>
  </si>
  <si>
    <t>EBITDA /</t>
  </si>
  <si>
    <t>(EBITDA -</t>
  </si>
  <si>
    <t xml:space="preserve">Net  </t>
  </si>
  <si>
    <t>Profit</t>
  </si>
  <si>
    <t>Income</t>
  </si>
  <si>
    <t>Hist.</t>
  </si>
  <si>
    <t>Est.</t>
  </si>
  <si>
    <t>ROIC</t>
  </si>
  <si>
    <t>ROE</t>
  </si>
  <si>
    <t>Tot. Cap.</t>
  </si>
  <si>
    <t>Int. Exp.</t>
  </si>
  <si>
    <t>- Cpx)/ Int.</t>
  </si>
  <si>
    <t>FYE</t>
  </si>
  <si>
    <t>Moody's</t>
  </si>
  <si>
    <t>(%)</t>
  </si>
  <si>
    <t>(x)</t>
  </si>
  <si>
    <t>Segment 1: Large-cap Companies</t>
  </si>
  <si>
    <t>Mean</t>
  </si>
  <si>
    <t>Median</t>
  </si>
  <si>
    <t>Segment 2: Mid-cap &amp; Small-cap Companies</t>
  </si>
  <si>
    <t>: Middle 50% performers</t>
  </si>
  <si>
    <t xml:space="preserve">: Top 25% performers </t>
  </si>
  <si>
    <t xml:space="preserve">: Bottom 25% performers </t>
  </si>
  <si>
    <t>Overall</t>
  </si>
  <si>
    <t>High</t>
  </si>
  <si>
    <t>75th percentile</t>
  </si>
  <si>
    <t>25th percentile</t>
  </si>
  <si>
    <t>Low</t>
  </si>
  <si>
    <t>*Note 1: The estimated 1-year metrics are derived using an outlier-trimmed average of all available historical data from 1990 to improve reliability and reduce distortion from one-off events.</t>
  </si>
  <si>
    <t>*Note 2: The raw financial data (and P/E ratio) for the ratios and multiples calculation are collected from the Morningstar Database - mannualy cross-checked with company's annual reports</t>
  </si>
  <si>
    <t>Comparable Companies Analysis - Trading Multiples, Page 2</t>
  </si>
  <si>
    <t xml:space="preserve">% of </t>
  </si>
  <si>
    <t>Enterprise Value /</t>
  </si>
  <si>
    <t>Total</t>
  </si>
  <si>
    <t>Price /</t>
  </si>
  <si>
    <t>LT</t>
  </si>
  <si>
    <t>Share</t>
  </si>
  <si>
    <t>52-wk.</t>
  </si>
  <si>
    <t>EBIT</t>
  </si>
  <si>
    <t>Margin</t>
  </si>
  <si>
    <t>Growth</t>
  </si>
  <si>
    <t>(Simply Wall St)</t>
  </si>
  <si>
    <t>: Top 25% Performers</t>
  </si>
  <si>
    <t>: Middle 50% Performers</t>
  </si>
  <si>
    <t>: Bottom 25% Performers</t>
  </si>
  <si>
    <r>
      <t>*Note:</t>
    </r>
    <r>
      <rPr>
        <sz val="11"/>
        <color theme="1"/>
        <rFont val="Aptos Narrow"/>
        <family val="2"/>
        <scheme val="minor"/>
      </rPr>
      <t xml:space="preserve"> The expected growth rate used in this estimation is based on the average of five years of historical data. For newly listed companies, the compound annual growth rate (CAGR) is applied due to limited data availability.</t>
    </r>
  </si>
  <si>
    <t>LTM Financial Statistics</t>
  </si>
  <si>
    <t>LTM Profitability Margins</t>
  </si>
  <si>
    <t>LTM Leverage Ratios</t>
  </si>
  <si>
    <t>LTM Coverage Ratios</t>
  </si>
  <si>
    <t>Outcome Visual Summary</t>
  </si>
  <si>
    <t xml:space="preserve">Comparable Companies Ratios &amp; Multiples </t>
  </si>
  <si>
    <t>Equity Value</t>
  </si>
  <si>
    <t>Enterprise Value</t>
  </si>
  <si>
    <t>LTM Sales</t>
  </si>
  <si>
    <t>LTM EBITDA</t>
  </si>
  <si>
    <t>Data</t>
  </si>
  <si>
    <t>LTM Net Income</t>
  </si>
  <si>
    <t>LTM Gross Profit Margin</t>
  </si>
  <si>
    <t>LTM EBITDA Margin</t>
  </si>
  <si>
    <t>LTM Net Profit Margin</t>
  </si>
  <si>
    <t>Sales Growth Rate Hist. 1 year</t>
  </si>
  <si>
    <t>Sales Growth Rate Est. 1 year</t>
  </si>
  <si>
    <t>EBITDA Growth Rate Hist. 1 year</t>
  </si>
  <si>
    <t>EBITDA Growth Rate Est. 1 year</t>
  </si>
  <si>
    <t>Debt/Total Capitalisation</t>
  </si>
  <si>
    <t>(EBITDA-Capex)/Interest Expense</t>
  </si>
  <si>
    <t>Current Share Price</t>
  </si>
  <si>
    <t>% of 52-week High</t>
  </si>
  <si>
    <t>2024A EV/Sales</t>
  </si>
  <si>
    <t>2025E EV/Sales</t>
  </si>
  <si>
    <t>2026E EV/Sales</t>
  </si>
  <si>
    <t>2024A EV/EBITDA</t>
  </si>
  <si>
    <t>2025E EV/EBITDA</t>
  </si>
  <si>
    <t>2026E EV/EBITDA</t>
  </si>
  <si>
    <t>2025E EV/EBIT</t>
  </si>
  <si>
    <t>2026E EV/EBIT</t>
  </si>
  <si>
    <t>2024A EV/EBIT</t>
  </si>
  <si>
    <t>2024A PER</t>
  </si>
  <si>
    <t>2025E PER</t>
  </si>
  <si>
    <t>2026E PER</t>
  </si>
  <si>
    <t>Long-term EPS Growth</t>
  </si>
  <si>
    <t>Max</t>
  </si>
  <si>
    <t>75th Percentile</t>
  </si>
  <si>
    <t>25th Percentile</t>
  </si>
  <si>
    <t>Min</t>
  </si>
  <si>
    <t>Standard Deviation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</si>
</sst>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4" formatCode="_(&quot;$&quot;* #,##0.00_);_(&quot;$&quot;* \(#,##0.00\);_(&quot;$&quot;* &quot;-&quot;??_);_(@_)"/>
    <numFmt numFmtId="164" formatCode="_-[$$-C09]* #,##0.00_-;\-[$$-C09]* #,##0.00_-;_-[$$-C09]* &quot;-&quot;??_-;_-@_-"/>
    <numFmt numFmtId="165" formatCode="[$$-C09]#,##0.00;\-[$$-C09]#,##0.00"/>
    <numFmt numFmtId="166" formatCode="0.0%"/>
    <numFmt numFmtId="167" formatCode="#,##0.0"/>
    <numFmt numFmtId="168" formatCode="[$$-C09]#,##0.000;\-[$$-C09]#,##0.000"/>
    <numFmt numFmtId="169" formatCode="#,##0.000"/>
    <numFmt numFmtId="170" formatCode="0.000"/>
    <numFmt numFmtId="171" formatCode="#.##\x"/>
    <numFmt numFmtId="172" formatCode="[$$-C09]#,##0.00"/>
    <numFmt numFmtId="173" formatCode="0.##\x"/>
    <numFmt numFmtId="174" formatCode="#.00\x"/>
    <numFmt numFmtId="175" formatCode="_-[$$-C09]* #,##0_-;\-[$$-C09]* #,##0_-;_-[$$-C09]* &quot;-&quot;_-;_-@_-"/>
    <numFmt numFmtId="176" formatCode="0.00\x"/>
    <numFmt numFmtId="177" formatCode="_-[$$-C09]* #,##0.00_-;\-[$$-C09]* #,##0.00_-;_-[$$-C09]* &quot;-&quot;_-;_-@_-"/>
    <numFmt numFmtId="180" formatCode="&quot;$&quot;#,##0.00"/>
  </numFmts>
  <fonts count="31" x14ac:knownFonts="1">
    <font>
      <sz val="11"/>
      <color theme="1"/>
      <name val="Aptos Narrow"/>
      <family val="2"/>
      <scheme val="minor"/>
    </font>
    <font>
      <sz val="11"/>
      <color theme="1"/>
      <name val="Aptos Narrow"/>
      <family val="2"/>
      <scheme val="minor"/>
    </font>
    <font>
      <b/>
      <sz val="11"/>
      <color theme="1"/>
      <name val="Aptos Narrow"/>
      <family val="2"/>
      <scheme val="minor"/>
    </font>
    <font>
      <u/>
      <sz val="11"/>
      <color theme="10"/>
      <name val="Aptos Narrow"/>
      <family val="2"/>
      <scheme val="minor"/>
    </font>
    <font>
      <b/>
      <sz val="8.5"/>
      <color theme="0"/>
      <name val="Quire Sans"/>
      <family val="2"/>
    </font>
    <font>
      <sz val="8.5"/>
      <color theme="1"/>
      <name val="Quire Sans"/>
      <family val="2"/>
    </font>
    <font>
      <b/>
      <sz val="10"/>
      <color theme="1"/>
      <name val="Quire Sans"/>
      <family val="2"/>
    </font>
    <font>
      <u/>
      <sz val="11"/>
      <color theme="4" tint="-0.499984740745262"/>
      <name val="Aptos Narrow"/>
      <family val="2"/>
      <scheme val="minor"/>
    </font>
    <font>
      <sz val="10"/>
      <color theme="1"/>
      <name val="Aptos Narrow"/>
      <family val="2"/>
      <scheme val="minor"/>
    </font>
    <font>
      <b/>
      <sz val="10"/>
      <color theme="1"/>
      <name val="Aptos Narrow"/>
      <family val="2"/>
      <scheme val="minor"/>
    </font>
    <font>
      <sz val="11"/>
      <color theme="1"/>
      <name val="Quire Sans"/>
      <family val="2"/>
    </font>
    <font>
      <b/>
      <sz val="22"/>
      <color theme="0"/>
      <name val="Quire Sans"/>
      <family val="2"/>
    </font>
    <font>
      <sz val="22"/>
      <color theme="1"/>
      <name val="Quire Sans"/>
      <family val="2"/>
    </font>
    <font>
      <sz val="9"/>
      <color theme="0"/>
      <name val="Quire Sans"/>
      <family val="2"/>
    </font>
    <font>
      <sz val="9"/>
      <color theme="1"/>
      <name val="Quire Sans"/>
      <family val="2"/>
    </font>
    <font>
      <b/>
      <sz val="12"/>
      <color theme="0"/>
      <name val="Quire Sans"/>
      <family val="2"/>
    </font>
    <font>
      <sz val="12"/>
      <color theme="1"/>
      <name val="Quire Sans"/>
      <family val="2"/>
    </font>
    <font>
      <sz val="11"/>
      <color theme="0"/>
      <name val="Quire Sans"/>
      <family val="2"/>
    </font>
    <font>
      <b/>
      <sz val="8.5"/>
      <color theme="1"/>
      <name val="Quire Sans"/>
      <family val="2"/>
    </font>
    <font>
      <i/>
      <sz val="8.5"/>
      <color theme="1"/>
      <name val="Quire Sans"/>
      <family val="2"/>
    </font>
    <font>
      <b/>
      <sz val="9"/>
      <color theme="0"/>
      <name val="Quire Sans"/>
      <family val="2"/>
    </font>
    <font>
      <sz val="8.5"/>
      <color rgb="FF8D6E63"/>
      <name val="Quire Sans"/>
      <family val="2"/>
    </font>
    <font>
      <sz val="16"/>
      <color theme="1"/>
      <name val="Aptos Narrow"/>
      <family val="2"/>
      <scheme val="minor"/>
    </font>
    <font>
      <b/>
      <sz val="16"/>
      <color theme="1"/>
      <name val="Aptos Narrow"/>
      <family val="2"/>
      <scheme val="minor"/>
    </font>
    <font>
      <b/>
      <sz val="14"/>
      <color theme="0"/>
      <name val="Aptos Narrow"/>
      <family val="2"/>
      <scheme val="minor"/>
    </font>
    <font>
      <sz val="14"/>
      <color theme="1"/>
      <name val="Aptos Narrow"/>
      <family val="2"/>
      <scheme val="minor"/>
    </font>
    <font>
      <b/>
      <sz val="14"/>
      <color theme="1"/>
      <name val="Aptos Narrow"/>
      <family val="2"/>
      <scheme val="minor"/>
    </font>
    <font>
      <i/>
      <sz val="11"/>
      <color theme="1"/>
      <name val="Aptos Narrow"/>
      <family val="2"/>
      <scheme val="minor"/>
    </font>
    <font>
      <i/>
      <sz val="8"/>
      <color theme="1"/>
      <name val="Aptos Narrow"/>
      <family val="2"/>
      <scheme val="minor"/>
    </font>
    <font>
      <sz val="9"/>
      <color theme="1"/>
      <name val="Aptos Narrow"/>
      <family val="2"/>
      <scheme val="minor"/>
    </font>
    <font>
      <b/>
      <sz val="11"/>
      <color theme="0"/>
      <name val="Quire Sans"/>
      <family val="2"/>
    </font>
  </fonts>
  <fills count="7">
    <fill>
      <patternFill patternType="none"/>
    </fill>
    <fill>
      <patternFill patternType="gray125"/>
    </fill>
    <fill>
      <patternFill patternType="solid">
        <fgColor rgb="FF8D6E63"/>
        <bgColor indexed="64"/>
      </patternFill>
    </fill>
    <fill>
      <patternFill patternType="solid">
        <fgColor rgb="FFBCAAA4"/>
        <bgColor indexed="64"/>
      </patternFill>
    </fill>
    <fill>
      <patternFill patternType="solid">
        <fgColor rgb="FFD7CCC8"/>
        <bgColor indexed="64"/>
      </patternFill>
    </fill>
    <fill>
      <patternFill patternType="solid">
        <fgColor rgb="FF6D4C41"/>
        <bgColor indexed="64"/>
      </patternFill>
    </fill>
    <fill>
      <patternFill patternType="solid">
        <fgColor theme="3" tint="9.9978637043366805E-2"/>
        <bgColor indexed="64"/>
      </patternFill>
    </fill>
  </fills>
  <borders count="35">
    <border>
      <left/>
      <right/>
      <top/>
      <bottom/>
      <diagonal/>
    </border>
    <border>
      <left/>
      <right/>
      <top/>
      <bottom style="medium">
        <color theme="0"/>
      </bottom>
      <diagonal/>
    </border>
    <border>
      <left/>
      <right/>
      <top/>
      <bottom style="mediumDashed">
        <color auto="1"/>
      </bottom>
      <diagonal/>
    </border>
    <border>
      <left style="mediumDashed">
        <color auto="1"/>
      </left>
      <right/>
      <top style="mediumDashed">
        <color auto="1"/>
      </top>
      <bottom/>
      <diagonal/>
    </border>
    <border>
      <left/>
      <right/>
      <top style="mediumDashed">
        <color auto="1"/>
      </top>
      <bottom/>
      <diagonal/>
    </border>
    <border>
      <left/>
      <right style="mediumDashed">
        <color auto="1"/>
      </right>
      <top style="mediumDashed">
        <color auto="1"/>
      </top>
      <bottom/>
      <diagonal/>
    </border>
    <border>
      <left style="mediumDashed">
        <color auto="1"/>
      </left>
      <right/>
      <top/>
      <bottom/>
      <diagonal/>
    </border>
    <border>
      <left/>
      <right style="mediumDashed">
        <color auto="1"/>
      </right>
      <top/>
      <bottom/>
      <diagonal/>
    </border>
    <border>
      <left style="mediumDashed">
        <color auto="1"/>
      </left>
      <right/>
      <top/>
      <bottom style="mediumDashed">
        <color auto="1"/>
      </bottom>
      <diagonal/>
    </border>
    <border>
      <left/>
      <right style="mediumDashed">
        <color auto="1"/>
      </right>
      <top/>
      <bottom style="mediumDashed">
        <color auto="1"/>
      </bottom>
      <diagonal/>
    </border>
    <border diagonalUp="1">
      <left style="mediumDashed">
        <color auto="1"/>
      </left>
      <right/>
      <top style="mediumDashed">
        <color auto="1"/>
      </top>
      <bottom/>
      <diagonal style="dotted">
        <color auto="1"/>
      </diagonal>
    </border>
    <border diagonalUp="1">
      <left/>
      <right/>
      <top style="mediumDashed">
        <color auto="1"/>
      </top>
      <bottom/>
      <diagonal style="dotted">
        <color auto="1"/>
      </diagonal>
    </border>
    <border diagonalUp="1">
      <left/>
      <right style="mediumDashed">
        <color auto="1"/>
      </right>
      <top style="mediumDashed">
        <color auto="1"/>
      </top>
      <bottom/>
      <diagonal style="dotted">
        <color auto="1"/>
      </diagonal>
    </border>
    <border diagonalUp="1">
      <left style="mediumDashed">
        <color auto="1"/>
      </left>
      <right/>
      <top/>
      <bottom/>
      <diagonal style="dotted">
        <color auto="1"/>
      </diagonal>
    </border>
    <border diagonalUp="1">
      <left/>
      <right/>
      <top/>
      <bottom/>
      <diagonal style="dotted">
        <color auto="1"/>
      </diagonal>
    </border>
    <border diagonalUp="1">
      <left/>
      <right style="mediumDashed">
        <color auto="1"/>
      </right>
      <top/>
      <bottom/>
      <diagonal style="dotted">
        <color auto="1"/>
      </diagonal>
    </border>
    <border diagonalUp="1">
      <left style="mediumDashed">
        <color auto="1"/>
      </left>
      <right/>
      <top/>
      <bottom style="mediumDashed">
        <color auto="1"/>
      </bottom>
      <diagonal style="dotted">
        <color auto="1"/>
      </diagonal>
    </border>
    <border diagonalUp="1">
      <left/>
      <right/>
      <top/>
      <bottom style="mediumDashed">
        <color auto="1"/>
      </bottom>
      <diagonal style="dotted">
        <color auto="1"/>
      </diagonal>
    </border>
    <border diagonalUp="1">
      <left/>
      <right style="mediumDashed">
        <color auto="1"/>
      </right>
      <top/>
      <bottom style="mediumDashed">
        <color auto="1"/>
      </bottom>
      <diagonal style="dotted">
        <color auto="1"/>
      </diagonal>
    </border>
    <border>
      <left style="thick">
        <color auto="1"/>
      </left>
      <right/>
      <top style="thick">
        <color auto="1"/>
      </top>
      <bottom/>
      <diagonal/>
    </border>
    <border>
      <left/>
      <right/>
      <top style="thick">
        <color auto="1"/>
      </top>
      <bottom/>
      <diagonal/>
    </border>
    <border>
      <left/>
      <right style="mediumDashed">
        <color auto="1"/>
      </right>
      <top style="thick">
        <color auto="1"/>
      </top>
      <bottom/>
      <diagonal/>
    </border>
    <border>
      <left/>
      <right style="thick">
        <color auto="1"/>
      </right>
      <top style="thick">
        <color auto="1"/>
      </top>
      <bottom/>
      <diagonal/>
    </border>
    <border>
      <left style="thick">
        <color auto="1"/>
      </left>
      <right/>
      <top/>
      <bottom style="thick">
        <color auto="1"/>
      </bottom>
      <diagonal/>
    </border>
    <border>
      <left/>
      <right/>
      <top/>
      <bottom style="thick">
        <color auto="1"/>
      </bottom>
      <diagonal/>
    </border>
    <border>
      <left/>
      <right style="mediumDashed">
        <color auto="1"/>
      </right>
      <top/>
      <bottom style="thick">
        <color auto="1"/>
      </bottom>
      <diagonal/>
    </border>
    <border>
      <left/>
      <right style="thick">
        <color auto="1"/>
      </right>
      <top/>
      <bottom style="thick">
        <color auto="1"/>
      </bottom>
      <diagonal/>
    </border>
    <border>
      <left style="thick">
        <color auto="1"/>
      </left>
      <right/>
      <top/>
      <bottom/>
      <diagonal/>
    </border>
    <border>
      <left/>
      <right style="thick">
        <color auto="1"/>
      </right>
      <top/>
      <bottom/>
      <diagonal/>
    </border>
    <border>
      <left style="medium">
        <color auto="1"/>
      </left>
      <right/>
      <top style="medium">
        <color auto="1"/>
      </top>
      <bottom/>
      <diagonal/>
    </border>
    <border>
      <left/>
      <right style="medium">
        <color auto="1"/>
      </right>
      <top style="medium">
        <color auto="1"/>
      </top>
      <bottom/>
      <diagonal/>
    </border>
    <border>
      <left style="medium">
        <color auto="1"/>
      </left>
      <right/>
      <top/>
      <bottom style="medium">
        <color auto="1"/>
      </bottom>
      <diagonal/>
    </border>
    <border>
      <left/>
      <right style="medium">
        <color auto="1"/>
      </right>
      <top/>
      <bottom style="medium">
        <color auto="1"/>
      </bottom>
      <diagonal/>
    </border>
    <border>
      <left style="medium">
        <color auto="1"/>
      </left>
      <right/>
      <top/>
      <bottom/>
      <diagonal/>
    </border>
    <border>
      <left/>
      <right style="medium">
        <color auto="1"/>
      </right>
      <top/>
      <bottom/>
      <diagonal/>
    </border>
  </borders>
  <cellStyleXfs count="4">
    <xf numFmtId="0" fontId="0" fillId="0" borderId="0"/>
    <xf numFmtId="44" fontId="1" fillId="0" borderId="0" applyFont="0" applyFill="0" applyBorder="0" applyAlignment="0" applyProtection="0"/>
    <xf numFmtId="9" fontId="1" fillId="0" borderId="0" applyFont="0" applyFill="0" applyBorder="0" applyAlignment="0" applyProtection="0"/>
    <xf numFmtId="0" fontId="3" fillId="0" borderId="0" applyNumberFormat="0" applyFill="0" applyBorder="0" applyAlignment="0" applyProtection="0"/>
  </cellStyleXfs>
  <cellXfs count="337">
    <xf numFmtId="0" fontId="0" fillId="0" borderId="0" xfId="0"/>
    <xf numFmtId="0" fontId="4" fillId="2" borderId="0" xfId="0" applyFont="1" applyFill="1" applyAlignment="1">
      <alignment horizontal="left" vertical="center"/>
    </xf>
    <xf numFmtId="0" fontId="5" fillId="2" borderId="0" xfId="0" applyFont="1" applyFill="1" applyAlignment="1">
      <alignment horizontal="left" vertical="top"/>
    </xf>
    <xf numFmtId="0" fontId="6" fillId="3" borderId="0" xfId="0" applyFont="1" applyFill="1" applyAlignment="1">
      <alignment horizontal="center" vertical="center"/>
    </xf>
    <xf numFmtId="0" fontId="10" fillId="0" borderId="0" xfId="0" applyFont="1"/>
    <xf numFmtId="0" fontId="10" fillId="5" borderId="0" xfId="0" applyFont="1" applyFill="1"/>
    <xf numFmtId="0" fontId="13" fillId="5" borderId="0" xfId="0" applyFont="1" applyFill="1"/>
    <xf numFmtId="0" fontId="17" fillId="5" borderId="0" xfId="0" applyFont="1" applyFill="1"/>
    <xf numFmtId="0" fontId="4" fillId="2" borderId="1" xfId="0" applyFont="1" applyFill="1" applyBorder="1" applyAlignment="1">
      <alignment horizontal="left" vertical="center"/>
    </xf>
    <xf numFmtId="0" fontId="5" fillId="2" borderId="1" xfId="0" applyFont="1" applyFill="1" applyBorder="1" applyAlignment="1">
      <alignment horizontal="left" vertical="top"/>
    </xf>
    <xf numFmtId="0" fontId="5" fillId="0" borderId="0" xfId="0" applyFont="1" applyAlignment="1">
      <alignment horizontal="left" vertical="top"/>
    </xf>
    <xf numFmtId="0" fontId="5" fillId="3" borderId="0" xfId="0" applyFont="1" applyFill="1" applyAlignment="1">
      <alignment horizontal="right" vertical="top"/>
    </xf>
    <xf numFmtId="0" fontId="5" fillId="4" borderId="0" xfId="0" applyFont="1" applyFill="1" applyAlignment="1">
      <alignment horizontal="left" vertical="top"/>
    </xf>
    <xf numFmtId="0" fontId="18" fillId="4" borderId="0" xfId="0" applyFont="1" applyFill="1" applyAlignment="1">
      <alignment horizontal="center" vertical="top"/>
    </xf>
    <xf numFmtId="14" fontId="18" fillId="4" borderId="0" xfId="0" applyNumberFormat="1" applyFont="1" applyFill="1" applyAlignment="1">
      <alignment horizontal="center" vertical="top"/>
    </xf>
    <xf numFmtId="164" fontId="5" fillId="0" borderId="0" xfId="0" applyNumberFormat="1" applyFont="1" applyAlignment="1">
      <alignment horizontal="left" vertical="top"/>
    </xf>
    <xf numFmtId="4" fontId="5" fillId="3" borderId="0" xfId="0" quotePrefix="1" applyNumberFormat="1" applyFont="1" applyFill="1" applyAlignment="1">
      <alignment horizontal="right" vertical="top"/>
    </xf>
    <xf numFmtId="16" fontId="5" fillId="3" borderId="0" xfId="0" applyNumberFormat="1" applyFont="1" applyFill="1" applyAlignment="1">
      <alignment horizontal="right" vertical="top"/>
    </xf>
    <xf numFmtId="0" fontId="18" fillId="4" borderId="0" xfId="0" applyFont="1" applyFill="1" applyAlignment="1">
      <alignment horizontal="left" vertical="top"/>
    </xf>
    <xf numFmtId="165" fontId="5" fillId="3" borderId="0" xfId="1" quotePrefix="1" applyNumberFormat="1" applyFont="1" applyFill="1" applyAlignment="1">
      <alignment horizontal="right" vertical="top"/>
    </xf>
    <xf numFmtId="4" fontId="5" fillId="4" borderId="0" xfId="0" applyNumberFormat="1" applyFont="1" applyFill="1" applyAlignment="1">
      <alignment horizontal="right" vertical="top"/>
    </xf>
    <xf numFmtId="2" fontId="5" fillId="3" borderId="0" xfId="0" applyNumberFormat="1" applyFont="1" applyFill="1" applyAlignment="1">
      <alignment horizontal="right" vertical="top"/>
    </xf>
    <xf numFmtId="166" fontId="5" fillId="3" borderId="0" xfId="0" applyNumberFormat="1" applyFont="1" applyFill="1" applyAlignment="1">
      <alignment horizontal="right" vertical="top"/>
    </xf>
    <xf numFmtId="14" fontId="5" fillId="3" borderId="0" xfId="0" applyNumberFormat="1" applyFont="1" applyFill="1" applyAlignment="1">
      <alignment horizontal="right" vertical="top"/>
    </xf>
    <xf numFmtId="164" fontId="5" fillId="3" borderId="0" xfId="0" quotePrefix="1" applyNumberFormat="1" applyFont="1" applyFill="1" applyAlignment="1">
      <alignment horizontal="right" vertical="top"/>
    </xf>
    <xf numFmtId="0" fontId="5" fillId="4" borderId="0" xfId="0" applyFont="1" applyFill="1" applyAlignment="1">
      <alignment horizontal="right" vertical="top"/>
    </xf>
    <xf numFmtId="10" fontId="5" fillId="4" borderId="0" xfId="2" applyNumberFormat="1" applyFont="1" applyFill="1" applyAlignment="1">
      <alignment horizontal="right" vertical="top"/>
    </xf>
    <xf numFmtId="165" fontId="5" fillId="3" borderId="0" xfId="0" quotePrefix="1" applyNumberFormat="1" applyFont="1" applyFill="1" applyAlignment="1">
      <alignment horizontal="right" vertical="top"/>
    </xf>
    <xf numFmtId="10" fontId="5" fillId="0" borderId="0" xfId="2" applyNumberFormat="1" applyFont="1" applyAlignment="1">
      <alignment horizontal="left" vertical="top"/>
    </xf>
    <xf numFmtId="0" fontId="5" fillId="4" borderId="0" xfId="0" applyFont="1" applyFill="1" applyAlignment="1">
      <alignment vertical="top"/>
    </xf>
    <xf numFmtId="167" fontId="5" fillId="4" borderId="0" xfId="0" applyNumberFormat="1" applyFont="1" applyFill="1" applyAlignment="1">
      <alignment horizontal="right" vertical="top"/>
    </xf>
    <xf numFmtId="3" fontId="5" fillId="3" borderId="0" xfId="0" quotePrefix="1" applyNumberFormat="1" applyFont="1" applyFill="1" applyAlignment="1">
      <alignment horizontal="right" vertical="top"/>
    </xf>
    <xf numFmtId="3" fontId="5" fillId="4" borderId="0" xfId="0" applyNumberFormat="1" applyFont="1" applyFill="1" applyAlignment="1">
      <alignment horizontal="right" vertical="top"/>
    </xf>
    <xf numFmtId="0" fontId="18" fillId="4" borderId="0" xfId="0" applyFont="1" applyFill="1" applyAlignment="1">
      <alignment horizontal="center" vertical="center"/>
    </xf>
    <xf numFmtId="0" fontId="5" fillId="3" borderId="0" xfId="0" applyFont="1" applyFill="1" applyAlignment="1">
      <alignment horizontal="left" vertical="top"/>
    </xf>
    <xf numFmtId="0" fontId="5" fillId="3" borderId="0" xfId="0" quotePrefix="1" applyFont="1" applyFill="1" applyAlignment="1">
      <alignment horizontal="right" vertical="top"/>
    </xf>
    <xf numFmtId="0" fontId="18" fillId="4" borderId="0" xfId="0" applyFont="1" applyFill="1" applyAlignment="1">
      <alignment horizontal="right" vertical="top"/>
    </xf>
    <xf numFmtId="2" fontId="5" fillId="4" borderId="0" xfId="0" applyNumberFormat="1" applyFont="1" applyFill="1" applyAlignment="1">
      <alignment horizontal="right" vertical="top"/>
    </xf>
    <xf numFmtId="167" fontId="5" fillId="3" borderId="0" xfId="0" quotePrefix="1" applyNumberFormat="1" applyFont="1" applyFill="1" applyAlignment="1">
      <alignment horizontal="right" vertical="top"/>
    </xf>
    <xf numFmtId="0" fontId="5" fillId="4" borderId="4" xfId="0" applyFont="1" applyFill="1" applyBorder="1" applyAlignment="1">
      <alignment horizontal="right" vertical="top"/>
    </xf>
    <xf numFmtId="10" fontId="5" fillId="3" borderId="0" xfId="0" quotePrefix="1" applyNumberFormat="1" applyFont="1" applyFill="1" applyAlignment="1">
      <alignment horizontal="right" vertical="top"/>
    </xf>
    <xf numFmtId="0" fontId="10" fillId="0" borderId="0" xfId="0" applyFont="1" applyAlignment="1">
      <alignment horizontal="left" vertical="top"/>
    </xf>
    <xf numFmtId="168" fontId="5" fillId="3" borderId="0" xfId="1" quotePrefix="1" applyNumberFormat="1" applyFont="1" applyFill="1" applyAlignment="1">
      <alignment horizontal="right" vertical="top"/>
    </xf>
    <xf numFmtId="168" fontId="5" fillId="3" borderId="0" xfId="0" quotePrefix="1" applyNumberFormat="1" applyFont="1" applyFill="1" applyAlignment="1">
      <alignment horizontal="right" vertical="top"/>
    </xf>
    <xf numFmtId="169" fontId="5" fillId="3" borderId="0" xfId="0" quotePrefix="1" applyNumberFormat="1" applyFont="1" applyFill="1" applyAlignment="1">
      <alignment horizontal="right" vertical="top"/>
    </xf>
    <xf numFmtId="167" fontId="18" fillId="4" borderId="0" xfId="0" applyNumberFormat="1" applyFont="1" applyFill="1" applyAlignment="1">
      <alignment horizontal="right" vertical="top"/>
    </xf>
    <xf numFmtId="0" fontId="20" fillId="5" borderId="0" xfId="0" applyFont="1" applyFill="1"/>
    <xf numFmtId="0" fontId="5" fillId="4" borderId="0" xfId="0" applyFont="1" applyFill="1" applyAlignment="1">
      <alignment horizontal="right" vertical="top" wrapText="1"/>
    </xf>
    <xf numFmtId="170" fontId="5" fillId="3" borderId="0" xfId="1" quotePrefix="1" applyNumberFormat="1" applyFont="1" applyFill="1" applyAlignment="1">
      <alignment horizontal="right" vertical="top"/>
    </xf>
    <xf numFmtId="0" fontId="21" fillId="2" borderId="0" xfId="0" applyFont="1" applyFill="1" applyAlignment="1">
      <alignment horizontal="left" vertical="top"/>
    </xf>
    <xf numFmtId="0" fontId="5" fillId="0" borderId="0" xfId="0" quotePrefix="1" applyFont="1" applyAlignment="1">
      <alignment horizontal="left" vertical="top"/>
    </xf>
    <xf numFmtId="0" fontId="21" fillId="2" borderId="1" xfId="0" applyFont="1" applyFill="1" applyBorder="1" applyAlignment="1">
      <alignment horizontal="left" vertical="top"/>
    </xf>
    <xf numFmtId="0" fontId="21" fillId="0" borderId="0" xfId="0" applyFont="1" applyAlignment="1">
      <alignment horizontal="left" vertical="top"/>
    </xf>
    <xf numFmtId="4" fontId="0" fillId="0" borderId="0" xfId="0" applyNumberFormat="1"/>
    <xf numFmtId="4" fontId="10" fillId="5" borderId="0" xfId="0" applyNumberFormat="1" applyFont="1" applyFill="1"/>
    <xf numFmtId="0" fontId="22" fillId="0" borderId="0" xfId="0" applyFont="1"/>
    <xf numFmtId="4" fontId="22" fillId="0" borderId="0" xfId="0" applyNumberFormat="1" applyFont="1"/>
    <xf numFmtId="0" fontId="23" fillId="0" borderId="0" xfId="0" applyFont="1" applyAlignment="1">
      <alignment horizontal="center"/>
    </xf>
    <xf numFmtId="0" fontId="23" fillId="0" borderId="0" xfId="0" applyFont="1"/>
    <xf numFmtId="0" fontId="2" fillId="0" borderId="0" xfId="0" applyFont="1" applyAlignment="1">
      <alignment horizontal="center"/>
    </xf>
    <xf numFmtId="4" fontId="23" fillId="0" borderId="0" xfId="0" applyNumberFormat="1" applyFont="1" applyAlignment="1">
      <alignment horizontal="center"/>
    </xf>
    <xf numFmtId="0" fontId="23" fillId="0" borderId="0" xfId="0" quotePrefix="1" applyFont="1" applyAlignment="1">
      <alignment horizontal="center"/>
    </xf>
    <xf numFmtId="0" fontId="2" fillId="0" borderId="0" xfId="0" applyFont="1"/>
    <xf numFmtId="16" fontId="2" fillId="0" borderId="0" xfId="0" applyNumberFormat="1" applyFont="1" applyAlignment="1">
      <alignment horizontal="center"/>
    </xf>
    <xf numFmtId="4" fontId="2" fillId="0" borderId="0" xfId="0" applyNumberFormat="1" applyFont="1" applyAlignment="1">
      <alignment horizontal="center"/>
    </xf>
    <xf numFmtId="10" fontId="2" fillId="0" borderId="0" xfId="0" applyNumberFormat="1" applyFont="1" applyAlignment="1">
      <alignment horizontal="center"/>
    </xf>
    <xf numFmtId="10" fontId="2" fillId="0" borderId="0" xfId="2" applyNumberFormat="1" applyFont="1" applyAlignment="1">
      <alignment horizontal="center"/>
    </xf>
    <xf numFmtId="171" fontId="2" fillId="0" borderId="0" xfId="0" applyNumberFormat="1" applyFont="1" applyAlignment="1">
      <alignment horizontal="center"/>
    </xf>
    <xf numFmtId="0" fontId="25" fillId="4" borderId="0" xfId="0" applyFont="1" applyFill="1" applyAlignment="1">
      <alignment horizontal="center"/>
    </xf>
    <xf numFmtId="16" fontId="25" fillId="4" borderId="0" xfId="0" applyNumberFormat="1" applyFont="1" applyFill="1" applyAlignment="1">
      <alignment horizontal="center"/>
    </xf>
    <xf numFmtId="0" fontId="25" fillId="4" borderId="7" xfId="0" applyFont="1" applyFill="1" applyBorder="1" applyAlignment="1">
      <alignment horizontal="center"/>
    </xf>
    <xf numFmtId="172" fontId="25" fillId="4" borderId="0" xfId="0" applyNumberFormat="1" applyFont="1" applyFill="1" applyAlignment="1">
      <alignment horizontal="right"/>
    </xf>
    <xf numFmtId="172" fontId="25" fillId="4" borderId="7" xfId="0" applyNumberFormat="1" applyFont="1" applyFill="1" applyBorder="1" applyAlignment="1">
      <alignment horizontal="right"/>
    </xf>
    <xf numFmtId="172" fontId="25" fillId="4" borderId="0" xfId="1" applyNumberFormat="1" applyFont="1" applyFill="1" applyAlignment="1">
      <alignment horizontal="right"/>
    </xf>
    <xf numFmtId="172" fontId="25" fillId="4" borderId="7" xfId="1" applyNumberFormat="1" applyFont="1" applyFill="1" applyBorder="1" applyAlignment="1">
      <alignment horizontal="right"/>
    </xf>
    <xf numFmtId="10" fontId="25" fillId="4" borderId="0" xfId="2" applyNumberFormat="1" applyFont="1" applyFill="1" applyAlignment="1">
      <alignment horizontal="right"/>
    </xf>
    <xf numFmtId="10" fontId="25" fillId="4" borderId="7" xfId="2" applyNumberFormat="1" applyFont="1" applyFill="1" applyBorder="1" applyAlignment="1">
      <alignment horizontal="right"/>
    </xf>
    <xf numFmtId="0" fontId="25" fillId="4" borderId="0" xfId="0" applyFont="1" applyFill="1" applyAlignment="1">
      <alignment horizontal="right"/>
    </xf>
    <xf numFmtId="171" fontId="25" fillId="4" borderId="0" xfId="0" applyNumberFormat="1" applyFont="1" applyFill="1" applyAlignment="1">
      <alignment horizontal="right"/>
    </xf>
    <xf numFmtId="173" fontId="25" fillId="4" borderId="0" xfId="0" applyNumberFormat="1" applyFont="1" applyFill="1" applyAlignment="1">
      <alignment horizontal="right"/>
    </xf>
    <xf numFmtId="44" fontId="25" fillId="4" borderId="0" xfId="1" applyFont="1" applyFill="1" applyAlignment="1">
      <alignment horizontal="center"/>
    </xf>
    <xf numFmtId="44" fontId="25" fillId="4" borderId="7" xfId="1" applyFont="1" applyFill="1" applyBorder="1" applyAlignment="1">
      <alignment horizontal="center"/>
    </xf>
    <xf numFmtId="10" fontId="25" fillId="4" borderId="0" xfId="2" applyNumberFormat="1" applyFont="1" applyFill="1" applyAlignment="1">
      <alignment horizontal="center"/>
    </xf>
    <xf numFmtId="10" fontId="25" fillId="4" borderId="7" xfId="2" applyNumberFormat="1" applyFont="1" applyFill="1" applyBorder="1" applyAlignment="1">
      <alignment horizontal="center"/>
    </xf>
    <xf numFmtId="171" fontId="25" fillId="4" borderId="0" xfId="0" applyNumberFormat="1" applyFont="1" applyFill="1" applyAlignment="1">
      <alignment horizontal="center"/>
    </xf>
    <xf numFmtId="0" fontId="26" fillId="3" borderId="19" xfId="0" applyFont="1" applyFill="1" applyBorder="1"/>
    <xf numFmtId="0" fontId="26" fillId="3" borderId="20" xfId="0" applyFont="1" applyFill="1" applyBorder="1"/>
    <xf numFmtId="0" fontId="26" fillId="3" borderId="20" xfId="0" applyFont="1" applyFill="1" applyBorder="1" applyAlignment="1">
      <alignment horizontal="center"/>
    </xf>
    <xf numFmtId="0" fontId="26" fillId="3" borderId="21" xfId="0" applyFont="1" applyFill="1" applyBorder="1" applyAlignment="1">
      <alignment horizontal="center"/>
    </xf>
    <xf numFmtId="172" fontId="26" fillId="3" borderId="20" xfId="0" applyNumberFormat="1" applyFont="1" applyFill="1" applyBorder="1" applyAlignment="1">
      <alignment horizontal="right"/>
    </xf>
    <xf numFmtId="164" fontId="26" fillId="3" borderId="21" xfId="0" applyNumberFormat="1" applyFont="1" applyFill="1" applyBorder="1" applyAlignment="1">
      <alignment horizontal="center"/>
    </xf>
    <xf numFmtId="44" fontId="26" fillId="3" borderId="20" xfId="1" applyFont="1" applyFill="1" applyBorder="1" applyAlignment="1">
      <alignment horizontal="center"/>
    </xf>
    <xf numFmtId="44" fontId="26" fillId="3" borderId="21" xfId="1" applyFont="1" applyFill="1" applyBorder="1" applyAlignment="1">
      <alignment horizontal="center"/>
    </xf>
    <xf numFmtId="10" fontId="26" fillId="3" borderId="20" xfId="2" applyNumberFormat="1" applyFont="1" applyFill="1" applyBorder="1" applyAlignment="1">
      <alignment horizontal="center"/>
    </xf>
    <xf numFmtId="10" fontId="26" fillId="3" borderId="21" xfId="2" applyNumberFormat="1" applyFont="1" applyFill="1" applyBorder="1" applyAlignment="1">
      <alignment horizontal="center"/>
    </xf>
    <xf numFmtId="171" fontId="26" fillId="3" borderId="20" xfId="0" applyNumberFormat="1" applyFont="1" applyFill="1" applyBorder="1" applyAlignment="1">
      <alignment horizontal="center"/>
    </xf>
    <xf numFmtId="171" fontId="26" fillId="3" borderId="22" xfId="0" applyNumberFormat="1" applyFont="1" applyFill="1" applyBorder="1" applyAlignment="1">
      <alignment horizontal="center"/>
    </xf>
    <xf numFmtId="0" fontId="26" fillId="3" borderId="23" xfId="0" applyFont="1" applyFill="1" applyBorder="1"/>
    <xf numFmtId="0" fontId="26" fillId="3" borderId="24" xfId="0" applyFont="1" applyFill="1" applyBorder="1"/>
    <xf numFmtId="0" fontId="26" fillId="3" borderId="24" xfId="0" applyFont="1" applyFill="1" applyBorder="1" applyAlignment="1">
      <alignment horizontal="center"/>
    </xf>
    <xf numFmtId="0" fontId="26" fillId="3" borderId="25" xfId="0" applyFont="1" applyFill="1" applyBorder="1" applyAlignment="1">
      <alignment horizontal="center"/>
    </xf>
    <xf numFmtId="172" fontId="26" fillId="3" borderId="24" xfId="0" applyNumberFormat="1" applyFont="1" applyFill="1" applyBorder="1" applyAlignment="1">
      <alignment horizontal="right"/>
    </xf>
    <xf numFmtId="164" fontId="26" fillId="3" borderId="25" xfId="0" applyNumberFormat="1" applyFont="1" applyFill="1" applyBorder="1" applyAlignment="1">
      <alignment horizontal="center"/>
    </xf>
    <xf numFmtId="44" fontId="26" fillId="3" borderId="24" xfId="1" applyFont="1" applyFill="1" applyBorder="1" applyAlignment="1">
      <alignment horizontal="center"/>
    </xf>
    <xf numFmtId="44" fontId="26" fillId="3" borderId="25" xfId="1" applyFont="1" applyFill="1" applyBorder="1" applyAlignment="1">
      <alignment horizontal="center"/>
    </xf>
    <xf numFmtId="10" fontId="26" fillId="3" borderId="24" xfId="2" applyNumberFormat="1" applyFont="1" applyFill="1" applyBorder="1" applyAlignment="1">
      <alignment horizontal="center"/>
    </xf>
    <xf numFmtId="10" fontId="26" fillId="3" borderId="25" xfId="2" applyNumberFormat="1" applyFont="1" applyFill="1" applyBorder="1" applyAlignment="1">
      <alignment horizontal="center"/>
    </xf>
    <xf numFmtId="171" fontId="26" fillId="3" borderId="24" xfId="0" applyNumberFormat="1" applyFont="1" applyFill="1" applyBorder="1" applyAlignment="1">
      <alignment horizontal="center"/>
    </xf>
    <xf numFmtId="174" fontId="26" fillId="3" borderId="26" xfId="0" applyNumberFormat="1" applyFont="1" applyFill="1" applyBorder="1" applyAlignment="1">
      <alignment horizontal="center"/>
    </xf>
    <xf numFmtId="0" fontId="25" fillId="0" borderId="0" xfId="0" applyFont="1"/>
    <xf numFmtId="0" fontId="25" fillId="0" borderId="7" xfId="0" applyFont="1" applyBorder="1"/>
    <xf numFmtId="4" fontId="25" fillId="0" borderId="0" xfId="0" applyNumberFormat="1" applyFont="1"/>
    <xf numFmtId="4" fontId="25" fillId="0" borderId="7" xfId="0" applyNumberFormat="1" applyFont="1" applyBorder="1"/>
    <xf numFmtId="175" fontId="25" fillId="4" borderId="0" xfId="0" applyNumberFormat="1" applyFont="1" applyFill="1" applyAlignment="1">
      <alignment horizontal="center"/>
    </xf>
    <xf numFmtId="164" fontId="25" fillId="4" borderId="7" xfId="0" applyNumberFormat="1" applyFont="1" applyFill="1" applyBorder="1" applyAlignment="1">
      <alignment horizontal="center"/>
    </xf>
    <xf numFmtId="175" fontId="26" fillId="3" borderId="20" xfId="0" applyNumberFormat="1" applyFont="1" applyFill="1" applyBorder="1" applyAlignment="1">
      <alignment horizontal="center"/>
    </xf>
    <xf numFmtId="175" fontId="26" fillId="3" borderId="24" xfId="0" applyNumberFormat="1" applyFont="1" applyFill="1" applyBorder="1" applyAlignment="1">
      <alignment horizontal="center"/>
    </xf>
    <xf numFmtId="0" fontId="25" fillId="0" borderId="0" xfId="0" applyFont="1" applyAlignment="1">
      <alignment horizontal="center"/>
    </xf>
    <xf numFmtId="0" fontId="25" fillId="0" borderId="7" xfId="0" applyFont="1" applyBorder="1" applyAlignment="1">
      <alignment horizontal="center"/>
    </xf>
    <xf numFmtId="44" fontId="25" fillId="0" borderId="0" xfId="1" applyFont="1"/>
    <xf numFmtId="44" fontId="25" fillId="0" borderId="7" xfId="1" applyFont="1" applyBorder="1"/>
    <xf numFmtId="0" fontId="26" fillId="3" borderId="21" xfId="0" applyFont="1" applyFill="1" applyBorder="1"/>
    <xf numFmtId="0" fontId="26" fillId="3" borderId="25" xfId="0" applyFont="1" applyFill="1" applyBorder="1"/>
    <xf numFmtId="0" fontId="26" fillId="0" borderId="0" xfId="0" applyFont="1"/>
    <xf numFmtId="0" fontId="26" fillId="0" borderId="7" xfId="0" applyFont="1" applyBorder="1"/>
    <xf numFmtId="44" fontId="26" fillId="0" borderId="0" xfId="1" applyFont="1" applyAlignment="1">
      <alignment horizontal="center"/>
    </xf>
    <xf numFmtId="44" fontId="26" fillId="0" borderId="7" xfId="1" applyFont="1" applyBorder="1" applyAlignment="1">
      <alignment horizontal="center"/>
    </xf>
    <xf numFmtId="0" fontId="26" fillId="0" borderId="0" xfId="0" applyFont="1" applyAlignment="1">
      <alignment horizontal="center"/>
    </xf>
    <xf numFmtId="0" fontId="26" fillId="0" borderId="7" xfId="0" applyFont="1" applyBorder="1" applyAlignment="1">
      <alignment horizontal="center"/>
    </xf>
    <xf numFmtId="0" fontId="26" fillId="3" borderId="27" xfId="0" applyFont="1" applyFill="1" applyBorder="1"/>
    <xf numFmtId="0" fontId="26" fillId="3" borderId="0" xfId="0" applyFont="1" applyFill="1"/>
    <xf numFmtId="0" fontId="26" fillId="3" borderId="7" xfId="0" applyFont="1" applyFill="1" applyBorder="1"/>
    <xf numFmtId="175" fontId="26" fillId="3" borderId="0" xfId="0" applyNumberFormat="1" applyFont="1" applyFill="1" applyAlignment="1">
      <alignment horizontal="center"/>
    </xf>
    <xf numFmtId="164" fontId="26" fillId="3" borderId="7" xfId="0" applyNumberFormat="1" applyFont="1" applyFill="1" applyBorder="1" applyAlignment="1">
      <alignment horizontal="center"/>
    </xf>
    <xf numFmtId="0" fontId="26" fillId="3" borderId="0" xfId="0" applyFont="1" applyFill="1" applyAlignment="1">
      <alignment horizontal="center"/>
    </xf>
    <xf numFmtId="44" fontId="26" fillId="3" borderId="0" xfId="1" applyFont="1" applyFill="1" applyBorder="1" applyAlignment="1">
      <alignment horizontal="center"/>
    </xf>
    <xf numFmtId="44" fontId="26" fillId="3" borderId="7" xfId="1" applyFont="1" applyFill="1" applyBorder="1" applyAlignment="1">
      <alignment horizontal="center"/>
    </xf>
    <xf numFmtId="10" fontId="26" fillId="3" borderId="0" xfId="2" applyNumberFormat="1" applyFont="1" applyFill="1" applyBorder="1" applyAlignment="1">
      <alignment horizontal="center"/>
    </xf>
    <xf numFmtId="10" fontId="26" fillId="3" borderId="7" xfId="2" applyNumberFormat="1" applyFont="1" applyFill="1" applyBorder="1" applyAlignment="1">
      <alignment horizontal="center"/>
    </xf>
    <xf numFmtId="171" fontId="26" fillId="3" borderId="0" xfId="0" applyNumberFormat="1" applyFont="1" applyFill="1" applyAlignment="1">
      <alignment horizontal="center"/>
    </xf>
    <xf numFmtId="171" fontId="26" fillId="3" borderId="28" xfId="0" applyNumberFormat="1" applyFont="1" applyFill="1" applyBorder="1" applyAlignment="1">
      <alignment horizontal="center"/>
    </xf>
    <xf numFmtId="173" fontId="26" fillId="3" borderId="0" xfId="0" applyNumberFormat="1" applyFont="1" applyFill="1" applyAlignment="1">
      <alignment horizontal="center"/>
    </xf>
    <xf numFmtId="173" fontId="26" fillId="3" borderId="24" xfId="0" applyNumberFormat="1" applyFont="1" applyFill="1" applyBorder="1" applyAlignment="1">
      <alignment horizontal="center"/>
    </xf>
    <xf numFmtId="171" fontId="26" fillId="3" borderId="26" xfId="0" applyNumberFormat="1" applyFont="1" applyFill="1" applyBorder="1" applyAlignment="1">
      <alignment horizontal="center"/>
    </xf>
    <xf numFmtId="0" fontId="27" fillId="0" borderId="0" xfId="0" applyFont="1"/>
    <xf numFmtId="0" fontId="2" fillId="0" borderId="0" xfId="0" quotePrefix="1" applyFont="1" applyAlignment="1">
      <alignment horizontal="center"/>
    </xf>
    <xf numFmtId="0" fontId="28" fillId="0" borderId="0" xfId="0" applyFont="1" applyAlignment="1">
      <alignment horizontal="center"/>
    </xf>
    <xf numFmtId="0" fontId="29" fillId="0" borderId="0" xfId="0" applyFont="1"/>
    <xf numFmtId="0" fontId="24" fillId="2" borderId="0" xfId="0" applyFont="1" applyFill="1" applyAlignment="1">
      <alignment vertical="center"/>
    </xf>
    <xf numFmtId="0" fontId="0" fillId="4" borderId="0" xfId="0" applyFill="1" applyAlignment="1">
      <alignment horizontal="center"/>
    </xf>
    <xf numFmtId="172" fontId="0" fillId="4" borderId="0" xfId="0" applyNumberFormat="1" applyFill="1" applyAlignment="1">
      <alignment horizontal="right"/>
    </xf>
    <xf numFmtId="10" fontId="0" fillId="4" borderId="0" xfId="2" applyNumberFormat="1" applyFont="1" applyFill="1" applyAlignment="1">
      <alignment horizontal="right"/>
    </xf>
    <xf numFmtId="0" fontId="0" fillId="4" borderId="0" xfId="0" applyFill="1" applyAlignment="1">
      <alignment horizontal="right"/>
    </xf>
    <xf numFmtId="176" fontId="0" fillId="4" borderId="0" xfId="0" applyNumberFormat="1" applyFill="1" applyAlignment="1">
      <alignment horizontal="right"/>
    </xf>
    <xf numFmtId="176" fontId="0" fillId="4" borderId="7" xfId="0" applyNumberFormat="1" applyFill="1" applyBorder="1" applyAlignment="1">
      <alignment horizontal="right"/>
    </xf>
    <xf numFmtId="10" fontId="0" fillId="4" borderId="0" xfId="0" applyNumberFormat="1" applyFill="1" applyAlignment="1">
      <alignment horizontal="right"/>
    </xf>
    <xf numFmtId="0" fontId="0" fillId="4" borderId="0" xfId="0" applyFill="1"/>
    <xf numFmtId="0" fontId="0" fillId="4" borderId="7" xfId="0" applyFill="1" applyBorder="1" applyAlignment="1">
      <alignment horizontal="center"/>
    </xf>
    <xf numFmtId="176" fontId="0" fillId="4" borderId="0" xfId="0" applyNumberFormat="1" applyFill="1" applyAlignment="1">
      <alignment horizontal="center"/>
    </xf>
    <xf numFmtId="176" fontId="0" fillId="4" borderId="7" xfId="0" applyNumberFormat="1" applyFill="1" applyBorder="1" applyAlignment="1">
      <alignment horizontal="center"/>
    </xf>
    <xf numFmtId="10" fontId="0" fillId="4" borderId="0" xfId="2" applyNumberFormat="1" applyFont="1" applyFill="1" applyAlignment="1">
      <alignment horizontal="center"/>
    </xf>
    <xf numFmtId="0" fontId="2" fillId="3" borderId="19" xfId="0" applyFont="1" applyFill="1" applyBorder="1"/>
    <xf numFmtId="0" fontId="2" fillId="3" borderId="20" xfId="0" applyFont="1" applyFill="1" applyBorder="1"/>
    <xf numFmtId="0" fontId="2" fillId="3" borderId="20" xfId="0" applyFont="1" applyFill="1" applyBorder="1" applyAlignment="1">
      <alignment horizontal="center"/>
    </xf>
    <xf numFmtId="164" fontId="2" fillId="3" borderId="20" xfId="0" applyNumberFormat="1" applyFont="1" applyFill="1" applyBorder="1" applyAlignment="1">
      <alignment horizontal="center"/>
    </xf>
    <xf numFmtId="10" fontId="2" fillId="3" borderId="20" xfId="2" applyNumberFormat="1" applyFont="1" applyFill="1" applyBorder="1" applyAlignment="1">
      <alignment horizontal="center"/>
    </xf>
    <xf numFmtId="176" fontId="2" fillId="3" borderId="20" xfId="0" applyNumberFormat="1" applyFont="1" applyFill="1" applyBorder="1" applyAlignment="1">
      <alignment horizontal="center"/>
    </xf>
    <xf numFmtId="176" fontId="2" fillId="3" borderId="21" xfId="0" applyNumberFormat="1" applyFont="1" applyFill="1" applyBorder="1" applyAlignment="1">
      <alignment horizontal="center"/>
    </xf>
    <xf numFmtId="10" fontId="2" fillId="3" borderId="22" xfId="2" applyNumberFormat="1" applyFont="1" applyFill="1" applyBorder="1" applyAlignment="1">
      <alignment horizontal="center"/>
    </xf>
    <xf numFmtId="0" fontId="2" fillId="4" borderId="0" xfId="0" applyFont="1" applyFill="1"/>
    <xf numFmtId="0" fontId="2" fillId="3" borderId="23" xfId="0" applyFont="1" applyFill="1" applyBorder="1"/>
    <xf numFmtId="0" fontId="2" fillId="3" borderId="24" xfId="0" applyFont="1" applyFill="1" applyBorder="1"/>
    <xf numFmtId="0" fontId="2" fillId="3" borderId="24" xfId="0" applyFont="1" applyFill="1" applyBorder="1" applyAlignment="1">
      <alignment horizontal="center"/>
    </xf>
    <xf numFmtId="164" fontId="2" fillId="3" borderId="24" xfId="0" applyNumberFormat="1" applyFont="1" applyFill="1" applyBorder="1" applyAlignment="1">
      <alignment horizontal="center"/>
    </xf>
    <xf numFmtId="10" fontId="2" fillId="3" borderId="24" xfId="2" applyNumberFormat="1" applyFont="1" applyFill="1" applyBorder="1" applyAlignment="1">
      <alignment horizontal="center"/>
    </xf>
    <xf numFmtId="176" fontId="2" fillId="3" borderId="24" xfId="0" applyNumberFormat="1" applyFont="1" applyFill="1" applyBorder="1" applyAlignment="1">
      <alignment horizontal="center"/>
    </xf>
    <xf numFmtId="176" fontId="2" fillId="3" borderId="25" xfId="0" applyNumberFormat="1" applyFont="1" applyFill="1" applyBorder="1" applyAlignment="1">
      <alignment horizontal="center"/>
    </xf>
    <xf numFmtId="10" fontId="2" fillId="3" borderId="26" xfId="2" applyNumberFormat="1" applyFont="1" applyFill="1" applyBorder="1" applyAlignment="1">
      <alignment horizontal="center"/>
    </xf>
    <xf numFmtId="0" fontId="0" fillId="0" borderId="0" xfId="0" applyAlignment="1">
      <alignment horizontal="center"/>
    </xf>
    <xf numFmtId="0" fontId="0" fillId="0" borderId="7" xfId="0" applyBorder="1" applyAlignment="1">
      <alignment horizontal="center"/>
    </xf>
    <xf numFmtId="176" fontId="0" fillId="0" borderId="0" xfId="0" applyNumberFormat="1" applyAlignment="1">
      <alignment horizontal="center"/>
    </xf>
    <xf numFmtId="176" fontId="0" fillId="0" borderId="7" xfId="0" applyNumberFormat="1" applyBorder="1" applyAlignment="1">
      <alignment horizontal="center"/>
    </xf>
    <xf numFmtId="176" fontId="24" fillId="2" borderId="0" xfId="0" applyNumberFormat="1" applyFont="1" applyFill="1" applyAlignment="1">
      <alignment vertical="center"/>
    </xf>
    <xf numFmtId="0" fontId="0" fillId="3" borderId="22" xfId="0" applyFill="1" applyBorder="1"/>
    <xf numFmtId="0" fontId="0" fillId="3" borderId="26" xfId="0" applyFill="1" applyBorder="1"/>
    <xf numFmtId="0" fontId="0" fillId="0" borderId="0" xfId="0" applyAlignment="1">
      <alignment horizontal="right"/>
    </xf>
    <xf numFmtId="0" fontId="0" fillId="0" borderId="7" xfId="0" applyBorder="1"/>
    <xf numFmtId="171" fontId="2" fillId="3" borderId="22" xfId="0" applyNumberFormat="1" applyFont="1" applyFill="1" applyBorder="1" applyAlignment="1">
      <alignment horizontal="center"/>
    </xf>
    <xf numFmtId="0" fontId="2" fillId="3" borderId="27" xfId="0" applyFont="1" applyFill="1" applyBorder="1"/>
    <xf numFmtId="0" fontId="2" fillId="3" borderId="0" xfId="0" applyFont="1" applyFill="1"/>
    <xf numFmtId="177" fontId="2" fillId="3" borderId="0" xfId="0" applyNumberFormat="1" applyFont="1" applyFill="1" applyAlignment="1">
      <alignment horizontal="center"/>
    </xf>
    <xf numFmtId="10" fontId="2" fillId="3" borderId="0" xfId="2" applyNumberFormat="1" applyFont="1" applyFill="1" applyBorder="1" applyAlignment="1">
      <alignment horizontal="center"/>
    </xf>
    <xf numFmtId="164" fontId="2" fillId="3" borderId="0" xfId="0" applyNumberFormat="1" applyFont="1" applyFill="1" applyAlignment="1">
      <alignment horizontal="center"/>
    </xf>
    <xf numFmtId="176" fontId="2" fillId="3" borderId="0" xfId="0" applyNumberFormat="1" applyFont="1" applyFill="1" applyAlignment="1">
      <alignment horizontal="center"/>
    </xf>
    <xf numFmtId="176" fontId="2" fillId="3" borderId="7" xfId="0" applyNumberFormat="1" applyFont="1" applyFill="1" applyBorder="1" applyAlignment="1">
      <alignment horizontal="center"/>
    </xf>
    <xf numFmtId="10" fontId="2" fillId="3" borderId="28" xfId="2" applyNumberFormat="1" applyFont="1" applyFill="1" applyBorder="1" applyAlignment="1">
      <alignment horizontal="center"/>
    </xf>
    <xf numFmtId="171" fontId="2" fillId="3" borderId="28" xfId="0" applyNumberFormat="1" applyFont="1" applyFill="1" applyBorder="1" applyAlignment="1">
      <alignment horizontal="center"/>
    </xf>
    <xf numFmtId="171" fontId="2" fillId="3" borderId="26" xfId="0" applyNumberFormat="1" applyFont="1" applyFill="1" applyBorder="1" applyAlignment="1">
      <alignment horizontal="center"/>
    </xf>
    <xf numFmtId="176" fontId="25" fillId="4" borderId="0" xfId="0" applyNumberFormat="1" applyFont="1" applyFill="1" applyAlignment="1">
      <alignment horizontal="right"/>
    </xf>
    <xf numFmtId="4" fontId="8" fillId="4" borderId="0" xfId="0" applyNumberFormat="1" applyFont="1" applyFill="1" applyAlignment="1">
      <alignment horizontal="center"/>
    </xf>
    <xf numFmtId="0" fontId="8" fillId="4" borderId="0" xfId="0" applyFont="1" applyFill="1" applyAlignment="1">
      <alignment horizontal="center"/>
    </xf>
    <xf numFmtId="0" fontId="8" fillId="4" borderId="0" xfId="0" applyFont="1" applyFill="1" applyAlignment="1">
      <alignment horizontal="left" wrapText="1"/>
    </xf>
    <xf numFmtId="0" fontId="8" fillId="4" borderId="0" xfId="0" applyFont="1" applyFill="1" applyAlignment="1">
      <alignment horizontal="center" wrapText="1"/>
    </xf>
    <xf numFmtId="0" fontId="7" fillId="4" borderId="0" xfId="3" applyFont="1" applyFill="1" applyAlignment="1">
      <alignment horizontal="center"/>
    </xf>
    <xf numFmtId="0" fontId="5" fillId="4" borderId="0" xfId="0" applyFont="1" applyFill="1" applyAlignment="1">
      <alignment horizontal="right" vertical="top"/>
    </xf>
    <xf numFmtId="10" fontId="5" fillId="4" borderId="0" xfId="2" applyNumberFormat="1" applyFont="1" applyFill="1" applyAlignment="1">
      <alignment horizontal="center" vertical="top"/>
    </xf>
    <xf numFmtId="10" fontId="5" fillId="4" borderId="8" xfId="2" applyNumberFormat="1" applyFont="1" applyFill="1" applyBorder="1" applyAlignment="1">
      <alignment horizontal="center" vertical="top"/>
    </xf>
    <xf numFmtId="10" fontId="5" fillId="4" borderId="2" xfId="2" applyNumberFormat="1" applyFont="1" applyFill="1" applyBorder="1" applyAlignment="1">
      <alignment horizontal="center" vertical="top"/>
    </xf>
    <xf numFmtId="10" fontId="5" fillId="4" borderId="9" xfId="2" applyNumberFormat="1" applyFont="1" applyFill="1" applyBorder="1" applyAlignment="1">
      <alignment horizontal="center" vertical="top"/>
    </xf>
    <xf numFmtId="2" fontId="5" fillId="3" borderId="0" xfId="0" quotePrefix="1" applyNumberFormat="1" applyFont="1" applyFill="1" applyAlignment="1">
      <alignment horizontal="center" vertical="top"/>
    </xf>
    <xf numFmtId="2" fontId="5" fillId="3" borderId="0" xfId="0" applyNumberFormat="1" applyFont="1" applyFill="1" applyAlignment="1">
      <alignment horizontal="center" vertical="top"/>
    </xf>
    <xf numFmtId="2" fontId="5" fillId="3" borderId="6" xfId="0" quotePrefix="1" applyNumberFormat="1" applyFont="1" applyFill="1" applyBorder="1" applyAlignment="1">
      <alignment horizontal="center" vertical="top"/>
    </xf>
    <xf numFmtId="2" fontId="5" fillId="3" borderId="7" xfId="0" applyNumberFormat="1" applyFont="1" applyFill="1" applyBorder="1" applyAlignment="1">
      <alignment horizontal="center" vertical="top"/>
    </xf>
    <xf numFmtId="2" fontId="5" fillId="4" borderId="0" xfId="0" applyNumberFormat="1" applyFont="1" applyFill="1" applyAlignment="1">
      <alignment horizontal="center" vertical="top"/>
    </xf>
    <xf numFmtId="2" fontId="5" fillId="3" borderId="4" xfId="0" quotePrefix="1" applyNumberFormat="1" applyFont="1" applyFill="1" applyBorder="1" applyAlignment="1">
      <alignment horizontal="center" vertical="top"/>
    </xf>
    <xf numFmtId="2" fontId="5" fillId="3" borderId="5" xfId="0" applyNumberFormat="1" applyFont="1" applyFill="1" applyBorder="1" applyAlignment="1">
      <alignment horizontal="center" vertical="top"/>
    </xf>
    <xf numFmtId="10" fontId="5" fillId="4" borderId="6" xfId="2" applyNumberFormat="1" applyFont="1" applyFill="1" applyBorder="1" applyAlignment="1">
      <alignment horizontal="center" vertical="top"/>
    </xf>
    <xf numFmtId="10" fontId="5" fillId="4" borderId="7" xfId="2" applyNumberFormat="1" applyFont="1" applyFill="1" applyBorder="1" applyAlignment="1">
      <alignment horizontal="center" vertical="top"/>
    </xf>
    <xf numFmtId="2" fontId="5" fillId="4" borderId="2" xfId="0" applyNumberFormat="1" applyFont="1" applyFill="1" applyBorder="1" applyAlignment="1">
      <alignment horizontal="center" vertical="top"/>
    </xf>
    <xf numFmtId="2" fontId="5" fillId="4" borderId="9" xfId="0" applyNumberFormat="1" applyFont="1" applyFill="1" applyBorder="1" applyAlignment="1">
      <alignment horizontal="center" vertical="top"/>
    </xf>
    <xf numFmtId="0" fontId="5" fillId="4" borderId="0" xfId="0" applyFont="1" applyFill="1" applyAlignment="1">
      <alignment horizontal="left" vertical="top"/>
    </xf>
    <xf numFmtId="2" fontId="5" fillId="3" borderId="3" xfId="0" quotePrefix="1" applyNumberFormat="1" applyFont="1" applyFill="1" applyBorder="1" applyAlignment="1">
      <alignment horizontal="center" vertical="top"/>
    </xf>
    <xf numFmtId="2" fontId="5" fillId="3" borderId="4" xfId="0" applyNumberFormat="1" applyFont="1" applyFill="1" applyBorder="1" applyAlignment="1">
      <alignment horizontal="center" vertical="top"/>
    </xf>
    <xf numFmtId="2" fontId="5" fillId="4" borderId="8" xfId="0" applyNumberFormat="1" applyFont="1" applyFill="1" applyBorder="1" applyAlignment="1">
      <alignment horizontal="center" vertical="top"/>
    </xf>
    <xf numFmtId="0" fontId="5" fillId="4" borderId="0" xfId="0" applyFont="1" applyFill="1" applyAlignment="1">
      <alignment horizontal="center" vertical="top"/>
    </xf>
    <xf numFmtId="2" fontId="5" fillId="4" borderId="6" xfId="0" applyNumberFormat="1" applyFont="1" applyFill="1" applyBorder="1" applyAlignment="1">
      <alignment horizontal="center" vertical="top"/>
    </xf>
    <xf numFmtId="2" fontId="5" fillId="4" borderId="7" xfId="0" applyNumberFormat="1" applyFont="1" applyFill="1" applyBorder="1" applyAlignment="1">
      <alignment horizontal="center" vertical="top"/>
    </xf>
    <xf numFmtId="0" fontId="5" fillId="4" borderId="6" xfId="0" applyFont="1" applyFill="1" applyBorder="1" applyAlignment="1">
      <alignment horizontal="center" vertical="top"/>
    </xf>
    <xf numFmtId="0" fontId="5" fillId="4" borderId="7" xfId="0" applyFont="1" applyFill="1" applyBorder="1" applyAlignment="1">
      <alignment horizontal="center" vertical="top"/>
    </xf>
    <xf numFmtId="0" fontId="18" fillId="4" borderId="0" xfId="0" applyFont="1" applyFill="1" applyAlignment="1">
      <alignment horizontal="left" vertical="top"/>
    </xf>
    <xf numFmtId="4" fontId="5" fillId="4" borderId="0" xfId="0" applyNumberFormat="1" applyFont="1" applyFill="1" applyAlignment="1">
      <alignment horizontal="center" vertical="top"/>
    </xf>
    <xf numFmtId="4" fontId="5" fillId="4" borderId="6" xfId="0" applyNumberFormat="1" applyFont="1" applyFill="1" applyBorder="1" applyAlignment="1">
      <alignment horizontal="center" vertical="top"/>
    </xf>
    <xf numFmtId="4" fontId="5" fillId="4" borderId="7" xfId="0" applyNumberFormat="1" applyFont="1" applyFill="1" applyBorder="1" applyAlignment="1">
      <alignment horizontal="center" vertical="top"/>
    </xf>
    <xf numFmtId="4" fontId="5" fillId="3" borderId="0" xfId="0" quotePrefix="1" applyNumberFormat="1" applyFont="1" applyFill="1" applyAlignment="1">
      <alignment horizontal="center" vertical="top"/>
    </xf>
    <xf numFmtId="4" fontId="5" fillId="3" borderId="0" xfId="0" applyNumberFormat="1" applyFont="1" applyFill="1" applyAlignment="1">
      <alignment horizontal="center" vertical="top"/>
    </xf>
    <xf numFmtId="4" fontId="5" fillId="3" borderId="6" xfId="0" quotePrefix="1" applyNumberFormat="1" applyFont="1" applyFill="1" applyBorder="1" applyAlignment="1">
      <alignment horizontal="center" vertical="top"/>
    </xf>
    <xf numFmtId="4" fontId="5" fillId="3" borderId="7" xfId="0" applyNumberFormat="1" applyFont="1" applyFill="1" applyBorder="1" applyAlignment="1">
      <alignment horizontal="center" vertical="top"/>
    </xf>
    <xf numFmtId="0" fontId="19" fillId="4" borderId="0" xfId="0" applyFont="1" applyFill="1" applyAlignment="1">
      <alignment horizontal="left" vertical="top"/>
    </xf>
    <xf numFmtId="4" fontId="5" fillId="4" borderId="3" xfId="0" applyNumberFormat="1" applyFont="1" applyFill="1" applyBorder="1" applyAlignment="1">
      <alignment horizontal="center" vertical="top"/>
    </xf>
    <xf numFmtId="4" fontId="5" fillId="4" borderId="4" xfId="0" applyNumberFormat="1" applyFont="1" applyFill="1" applyBorder="1" applyAlignment="1">
      <alignment horizontal="center" vertical="top"/>
    </xf>
    <xf numFmtId="4" fontId="5" fillId="4" borderId="5" xfId="0" applyNumberFormat="1" applyFont="1" applyFill="1" applyBorder="1" applyAlignment="1">
      <alignment horizontal="center" vertical="top"/>
    </xf>
    <xf numFmtId="4" fontId="5" fillId="4" borderId="8" xfId="0" applyNumberFormat="1" applyFont="1" applyFill="1" applyBorder="1" applyAlignment="1">
      <alignment horizontal="center" vertical="top"/>
    </xf>
    <xf numFmtId="4" fontId="5" fillId="4" borderId="2" xfId="0" applyNumberFormat="1" applyFont="1" applyFill="1" applyBorder="1" applyAlignment="1">
      <alignment horizontal="center" vertical="top"/>
    </xf>
    <xf numFmtId="4" fontId="5" fillId="4" borderId="9" xfId="0" applyNumberFormat="1" applyFont="1" applyFill="1" applyBorder="1" applyAlignment="1">
      <alignment horizontal="center" vertical="top"/>
    </xf>
    <xf numFmtId="4" fontId="5" fillId="4" borderId="0" xfId="0" applyNumberFormat="1" applyFont="1" applyFill="1" applyAlignment="1">
      <alignment horizontal="right" vertical="top"/>
    </xf>
    <xf numFmtId="4" fontId="5" fillId="4" borderId="6" xfId="0" applyNumberFormat="1" applyFont="1" applyFill="1" applyBorder="1" applyAlignment="1">
      <alignment horizontal="right" vertical="top"/>
    </xf>
    <xf numFmtId="4" fontId="5" fillId="4" borderId="7" xfId="0" applyNumberFormat="1" applyFont="1" applyFill="1" applyBorder="1" applyAlignment="1">
      <alignment horizontal="right" vertical="top"/>
    </xf>
    <xf numFmtId="10" fontId="5" fillId="4" borderId="0" xfId="2" applyNumberFormat="1" applyFont="1" applyFill="1" applyAlignment="1">
      <alignment horizontal="left" vertical="top"/>
    </xf>
    <xf numFmtId="4" fontId="5" fillId="4" borderId="0" xfId="0" quotePrefix="1" applyNumberFormat="1" applyFont="1" applyFill="1" applyAlignment="1">
      <alignment horizontal="center" vertical="top"/>
    </xf>
    <xf numFmtId="0" fontId="5" fillId="4" borderId="0" xfId="0" applyFont="1" applyFill="1" applyAlignment="1">
      <alignment horizontal="left" vertical="top" wrapText="1"/>
    </xf>
    <xf numFmtId="14" fontId="18" fillId="3" borderId="2" xfId="0" applyNumberFormat="1" applyFont="1" applyFill="1" applyBorder="1" applyAlignment="1">
      <alignment horizontal="center" vertical="top"/>
    </xf>
    <xf numFmtId="0" fontId="18" fillId="3" borderId="2" xfId="0" applyFont="1" applyFill="1" applyBorder="1" applyAlignment="1">
      <alignment horizontal="center" vertical="top"/>
    </xf>
    <xf numFmtId="14" fontId="18" fillId="4" borderId="0" xfId="0" applyNumberFormat="1" applyFont="1" applyFill="1" applyAlignment="1">
      <alignment horizontal="center" vertical="top"/>
    </xf>
    <xf numFmtId="4" fontId="5" fillId="3" borderId="3" xfId="0" quotePrefix="1" applyNumberFormat="1" applyFont="1" applyFill="1" applyBorder="1" applyAlignment="1">
      <alignment horizontal="center" vertical="top"/>
    </xf>
    <xf numFmtId="4" fontId="5" fillId="3" borderId="4" xfId="0" applyNumberFormat="1" applyFont="1" applyFill="1" applyBorder="1" applyAlignment="1">
      <alignment horizontal="center" vertical="top"/>
    </xf>
    <xf numFmtId="4" fontId="5" fillId="3" borderId="4" xfId="0" quotePrefix="1" applyNumberFormat="1" applyFont="1" applyFill="1" applyBorder="1" applyAlignment="1">
      <alignment horizontal="center" vertical="top"/>
    </xf>
    <xf numFmtId="4" fontId="5" fillId="3" borderId="5" xfId="0" applyNumberFormat="1" applyFont="1" applyFill="1" applyBorder="1" applyAlignment="1">
      <alignment horizontal="center" vertical="top"/>
    </xf>
    <xf numFmtId="0" fontId="18" fillId="4" borderId="0" xfId="0" applyFont="1" applyFill="1" applyAlignment="1">
      <alignment horizontal="center"/>
    </xf>
    <xf numFmtId="0" fontId="11" fillId="5" borderId="0" xfId="0" applyFont="1" applyFill="1" applyAlignment="1">
      <alignment horizontal="left" vertical="top"/>
    </xf>
    <xf numFmtId="0" fontId="12" fillId="5" borderId="0" xfId="0" applyFont="1" applyFill="1" applyAlignment="1">
      <alignment horizontal="left" vertical="top"/>
    </xf>
    <xf numFmtId="0" fontId="14" fillId="4" borderId="0" xfId="0" applyFont="1" applyFill="1" applyAlignment="1">
      <alignment horizontal="left" vertical="top" wrapText="1"/>
    </xf>
    <xf numFmtId="0" fontId="15" fillId="5" borderId="0" xfId="0" applyFont="1" applyFill="1" applyAlignment="1">
      <alignment horizontal="left" vertical="top"/>
    </xf>
    <xf numFmtId="0" fontId="16" fillId="5" borderId="0" xfId="0" applyFont="1" applyFill="1" applyAlignment="1">
      <alignment horizontal="left" vertical="top"/>
    </xf>
    <xf numFmtId="0" fontId="5" fillId="4" borderId="0" xfId="0" applyFont="1" applyFill="1" applyAlignment="1">
      <alignment horizontal="left" vertical="center"/>
    </xf>
    <xf numFmtId="0" fontId="5" fillId="4" borderId="0" xfId="0" applyFont="1" applyFill="1" applyAlignment="1">
      <alignment horizontal="center"/>
    </xf>
    <xf numFmtId="4" fontId="5" fillId="3" borderId="7" xfId="0" quotePrefix="1" applyNumberFormat="1" applyFont="1" applyFill="1" applyBorder="1" applyAlignment="1">
      <alignment horizontal="center" vertical="top"/>
    </xf>
    <xf numFmtId="10" fontId="5" fillId="4" borderId="16" xfId="2" applyNumberFormat="1" applyFont="1" applyFill="1" applyBorder="1" applyAlignment="1">
      <alignment horizontal="center" vertical="top"/>
    </xf>
    <xf numFmtId="10" fontId="5" fillId="4" borderId="17" xfId="2" applyNumberFormat="1" applyFont="1" applyFill="1" applyBorder="1" applyAlignment="1">
      <alignment horizontal="center" vertical="top"/>
    </xf>
    <xf numFmtId="10" fontId="5" fillId="4" borderId="18" xfId="2" applyNumberFormat="1" applyFont="1" applyFill="1" applyBorder="1" applyAlignment="1">
      <alignment horizontal="center" vertical="top"/>
    </xf>
    <xf numFmtId="2" fontId="5" fillId="3" borderId="13" xfId="0" quotePrefix="1" applyNumberFormat="1" applyFont="1" applyFill="1" applyBorder="1" applyAlignment="1">
      <alignment horizontal="center" vertical="top"/>
    </xf>
    <xf numFmtId="2" fontId="5" fillId="3" borderId="14" xfId="0" applyNumberFormat="1" applyFont="1" applyFill="1" applyBorder="1" applyAlignment="1">
      <alignment horizontal="center" vertical="top"/>
    </xf>
    <xf numFmtId="2" fontId="5" fillId="3" borderId="14" xfId="0" quotePrefix="1" applyNumberFormat="1" applyFont="1" applyFill="1" applyBorder="1" applyAlignment="1">
      <alignment horizontal="center" vertical="top"/>
    </xf>
    <xf numFmtId="2" fontId="5" fillId="3" borderId="15" xfId="0" applyNumberFormat="1" applyFont="1" applyFill="1" applyBorder="1" applyAlignment="1">
      <alignment horizontal="center" vertical="top"/>
    </xf>
    <xf numFmtId="2" fontId="5" fillId="3" borderId="11" xfId="0" quotePrefix="1" applyNumberFormat="1" applyFont="1" applyFill="1" applyBorder="1" applyAlignment="1">
      <alignment horizontal="center" vertical="top"/>
    </xf>
    <xf numFmtId="2" fontId="5" fillId="3" borderId="12" xfId="0" applyNumberFormat="1" applyFont="1" applyFill="1" applyBorder="1" applyAlignment="1">
      <alignment horizontal="center" vertical="top"/>
    </xf>
    <xf numFmtId="10" fontId="5" fillId="4" borderId="13" xfId="2" applyNumberFormat="1" applyFont="1" applyFill="1" applyBorder="1" applyAlignment="1">
      <alignment horizontal="center" vertical="top"/>
    </xf>
    <xf numFmtId="10" fontId="5" fillId="4" borderId="14" xfId="2" applyNumberFormat="1" applyFont="1" applyFill="1" applyBorder="1" applyAlignment="1">
      <alignment horizontal="center" vertical="top"/>
    </xf>
    <xf numFmtId="10" fontId="5" fillId="4" borderId="15" xfId="2" applyNumberFormat="1" applyFont="1" applyFill="1" applyBorder="1" applyAlignment="1">
      <alignment horizontal="center" vertical="top"/>
    </xf>
    <xf numFmtId="2" fontId="5" fillId="4" borderId="17" xfId="0" applyNumberFormat="1" applyFont="1" applyFill="1" applyBorder="1" applyAlignment="1">
      <alignment horizontal="center" vertical="top"/>
    </xf>
    <xf numFmtId="2" fontId="5" fillId="4" borderId="18" xfId="0" applyNumberFormat="1" applyFont="1" applyFill="1" applyBorder="1" applyAlignment="1">
      <alignment horizontal="center" vertical="top"/>
    </xf>
    <xf numFmtId="2" fontId="5" fillId="3" borderId="10" xfId="0" quotePrefix="1" applyNumberFormat="1" applyFont="1" applyFill="1" applyBorder="1" applyAlignment="1">
      <alignment horizontal="center" vertical="top"/>
    </xf>
    <xf numFmtId="2" fontId="5" fillId="3" borderId="11" xfId="0" applyNumberFormat="1" applyFont="1" applyFill="1" applyBorder="1" applyAlignment="1">
      <alignment horizontal="center" vertical="top"/>
    </xf>
    <xf numFmtId="2" fontId="5" fillId="4" borderId="16" xfId="0" applyNumberFormat="1" applyFont="1" applyFill="1" applyBorder="1" applyAlignment="1">
      <alignment horizontal="center" vertical="top"/>
    </xf>
    <xf numFmtId="2" fontId="5" fillId="4" borderId="13" xfId="0" applyNumberFormat="1" applyFont="1" applyFill="1" applyBorder="1" applyAlignment="1">
      <alignment horizontal="center" vertical="top"/>
    </xf>
    <xf numFmtId="2" fontId="5" fillId="4" borderId="14" xfId="0" applyNumberFormat="1" applyFont="1" applyFill="1" applyBorder="1" applyAlignment="1">
      <alignment horizontal="center" vertical="top"/>
    </xf>
    <xf numFmtId="2" fontId="5" fillId="4" borderId="15" xfId="0" applyNumberFormat="1" applyFont="1" applyFill="1" applyBorder="1" applyAlignment="1">
      <alignment horizontal="center" vertical="top"/>
    </xf>
    <xf numFmtId="0" fontId="5" fillId="4" borderId="13" xfId="0" applyFont="1" applyFill="1" applyBorder="1" applyAlignment="1">
      <alignment horizontal="center" vertical="top"/>
    </xf>
    <xf numFmtId="0" fontId="5" fillId="4" borderId="14" xfId="0" applyFont="1" applyFill="1" applyBorder="1" applyAlignment="1">
      <alignment horizontal="center" vertical="top"/>
    </xf>
    <xf numFmtId="0" fontId="5" fillId="4" borderId="15" xfId="0" applyFont="1" applyFill="1" applyBorder="1" applyAlignment="1">
      <alignment horizontal="center" vertical="top"/>
    </xf>
    <xf numFmtId="4" fontId="5" fillId="4" borderId="13" xfId="0" applyNumberFormat="1" applyFont="1" applyFill="1" applyBorder="1" applyAlignment="1">
      <alignment horizontal="center" vertical="top"/>
    </xf>
    <xf numFmtId="4" fontId="5" fillId="4" borderId="14" xfId="0" applyNumberFormat="1" applyFont="1" applyFill="1" applyBorder="1" applyAlignment="1">
      <alignment horizontal="center" vertical="top"/>
    </xf>
    <xf numFmtId="4" fontId="5" fillId="4" borderId="15" xfId="0" applyNumberFormat="1" applyFont="1" applyFill="1" applyBorder="1" applyAlignment="1">
      <alignment horizontal="center" vertical="top"/>
    </xf>
    <xf numFmtId="4" fontId="5" fillId="3" borderId="13" xfId="0" quotePrefix="1" applyNumberFormat="1" applyFont="1" applyFill="1" applyBorder="1" applyAlignment="1">
      <alignment horizontal="center" vertical="top"/>
    </xf>
    <xf numFmtId="4" fontId="5" fillId="3" borderId="14" xfId="0" quotePrefix="1" applyNumberFormat="1" applyFont="1" applyFill="1" applyBorder="1" applyAlignment="1">
      <alignment horizontal="center" vertical="top"/>
    </xf>
    <xf numFmtId="4" fontId="5" fillId="3" borderId="15" xfId="0" applyNumberFormat="1" applyFont="1" applyFill="1" applyBorder="1" applyAlignment="1">
      <alignment horizontal="center" vertical="top"/>
    </xf>
    <xf numFmtId="4" fontId="5" fillId="3" borderId="14" xfId="0" applyNumberFormat="1" applyFont="1" applyFill="1" applyBorder="1" applyAlignment="1">
      <alignment horizontal="center" vertical="top"/>
    </xf>
    <xf numFmtId="4" fontId="5" fillId="4" borderId="10" xfId="0" applyNumberFormat="1" applyFont="1" applyFill="1" applyBorder="1" applyAlignment="1">
      <alignment horizontal="center" vertical="top"/>
    </xf>
    <xf numFmtId="4" fontId="5" fillId="4" borderId="11" xfId="0" applyNumberFormat="1" applyFont="1" applyFill="1" applyBorder="1" applyAlignment="1">
      <alignment horizontal="center" vertical="top"/>
    </xf>
    <xf numFmtId="4" fontId="5" fillId="4" borderId="12" xfId="0" applyNumberFormat="1" applyFont="1" applyFill="1" applyBorder="1" applyAlignment="1">
      <alignment horizontal="center" vertical="top"/>
    </xf>
    <xf numFmtId="4" fontId="5" fillId="4" borderId="16" xfId="0" applyNumberFormat="1" applyFont="1" applyFill="1" applyBorder="1" applyAlignment="1">
      <alignment horizontal="center" vertical="top"/>
    </xf>
    <xf numFmtId="4" fontId="5" fillId="4" borderId="17" xfId="0" applyNumberFormat="1" applyFont="1" applyFill="1" applyBorder="1" applyAlignment="1">
      <alignment horizontal="center" vertical="top"/>
    </xf>
    <xf numFmtId="4" fontId="5" fillId="4" borderId="18" xfId="0" applyNumberFormat="1" applyFont="1" applyFill="1" applyBorder="1" applyAlignment="1">
      <alignment horizontal="center" vertical="top"/>
    </xf>
    <xf numFmtId="4" fontId="5" fillId="4" borderId="13" xfId="0" applyNumberFormat="1" applyFont="1" applyFill="1" applyBorder="1" applyAlignment="1">
      <alignment horizontal="right" vertical="top"/>
    </xf>
    <xf numFmtId="4" fontId="5" fillId="4" borderId="14" xfId="0" applyNumberFormat="1" applyFont="1" applyFill="1" applyBorder="1" applyAlignment="1">
      <alignment horizontal="right" vertical="top"/>
    </xf>
    <xf numFmtId="4" fontId="5" fillId="4" borderId="15" xfId="0" applyNumberFormat="1" applyFont="1" applyFill="1" applyBorder="1" applyAlignment="1">
      <alignment horizontal="right" vertical="top"/>
    </xf>
    <xf numFmtId="4" fontId="5" fillId="3" borderId="10" xfId="0" quotePrefix="1" applyNumberFormat="1" applyFont="1" applyFill="1" applyBorder="1" applyAlignment="1">
      <alignment horizontal="center" vertical="top"/>
    </xf>
    <xf numFmtId="4" fontId="5" fillId="3" borderId="11" xfId="0" applyNumberFormat="1" applyFont="1" applyFill="1" applyBorder="1" applyAlignment="1">
      <alignment horizontal="center" vertical="top"/>
    </xf>
    <xf numFmtId="4" fontId="5" fillId="3" borderId="11" xfId="0" quotePrefix="1" applyNumberFormat="1" applyFont="1" applyFill="1" applyBorder="1" applyAlignment="1">
      <alignment horizontal="center" vertical="top"/>
    </xf>
    <xf numFmtId="4" fontId="5" fillId="3" borderId="12" xfId="0" applyNumberFormat="1" applyFont="1" applyFill="1" applyBorder="1" applyAlignment="1">
      <alignment horizontal="center" vertical="top"/>
    </xf>
    <xf numFmtId="0" fontId="25" fillId="4" borderId="0" xfId="0" applyFont="1" applyFill="1" applyAlignment="1">
      <alignment horizontal="left"/>
    </xf>
    <xf numFmtId="0" fontId="24" fillId="2" borderId="0" xfId="0" applyFont="1" applyFill="1" applyAlignment="1">
      <alignment horizontal="left" vertical="center"/>
    </xf>
    <xf numFmtId="0" fontId="23" fillId="0" borderId="0" xfId="0" applyFont="1" applyAlignment="1">
      <alignment horizontal="left"/>
    </xf>
    <xf numFmtId="0" fontId="2" fillId="0" borderId="0" xfId="0" applyFont="1" applyAlignment="1">
      <alignment horizontal="left"/>
    </xf>
    <xf numFmtId="0" fontId="4" fillId="2" borderId="0" xfId="0" applyFont="1" applyFill="1" applyAlignment="1">
      <alignment horizontal="center" vertical="center"/>
    </xf>
    <xf numFmtId="0" fontId="23" fillId="0" borderId="0" xfId="0" applyFont="1" applyAlignment="1">
      <alignment horizontal="center"/>
    </xf>
    <xf numFmtId="0" fontId="22" fillId="0" borderId="0" xfId="0" applyFont="1" applyAlignment="1">
      <alignment horizontal="center"/>
    </xf>
    <xf numFmtId="4" fontId="4" fillId="2" borderId="0" xfId="0" applyNumberFormat="1" applyFont="1" applyFill="1" applyAlignment="1">
      <alignment horizontal="center" vertical="center"/>
    </xf>
    <xf numFmtId="0" fontId="0" fillId="4" borderId="0" xfId="0" applyFill="1" applyAlignment="1">
      <alignment horizontal="left"/>
    </xf>
    <xf numFmtId="0" fontId="0" fillId="4" borderId="24" xfId="0" applyFill="1" applyBorder="1" applyAlignment="1">
      <alignment horizontal="left"/>
    </xf>
    <xf numFmtId="176" fontId="2" fillId="3" borderId="32" xfId="0" applyNumberFormat="1" applyFont="1" applyFill="1" applyBorder="1" applyAlignment="1">
      <alignment horizontal="center"/>
    </xf>
    <xf numFmtId="0" fontId="0" fillId="4" borderId="31" xfId="0" applyFill="1" applyBorder="1" applyAlignment="1">
      <alignment horizontal="right"/>
    </xf>
    <xf numFmtId="0" fontId="30" fillId="5" borderId="29" xfId="0" applyFont="1" applyFill="1" applyBorder="1" applyAlignment="1">
      <alignment horizontal="center"/>
    </xf>
    <xf numFmtId="0" fontId="30" fillId="5" borderId="30" xfId="0" applyFont="1" applyFill="1" applyBorder="1" applyAlignment="1">
      <alignment horizontal="center"/>
    </xf>
    <xf numFmtId="166" fontId="0" fillId="4" borderId="0" xfId="2" applyNumberFormat="1" applyFont="1" applyFill="1" applyAlignment="1">
      <alignment horizontal="right"/>
    </xf>
    <xf numFmtId="180" fontId="0" fillId="0" borderId="0" xfId="0" applyNumberFormat="1"/>
    <xf numFmtId="10" fontId="0" fillId="0" borderId="0" xfId="2" applyNumberFormat="1" applyFont="1"/>
    <xf numFmtId="176" fontId="0" fillId="0" borderId="0" xfId="2" applyNumberFormat="1" applyFont="1"/>
    <xf numFmtId="0" fontId="0" fillId="4" borderId="33" xfId="0" applyFill="1" applyBorder="1" applyAlignment="1">
      <alignment horizontal="right"/>
    </xf>
    <xf numFmtId="0" fontId="2" fillId="3" borderId="34" xfId="0" applyNumberFormat="1" applyFont="1" applyFill="1" applyBorder="1" applyAlignment="1">
      <alignment horizontal="center"/>
    </xf>
    <xf numFmtId="0" fontId="2" fillId="3" borderId="32" xfId="0" applyNumberFormat="1" applyFont="1" applyFill="1" applyBorder="1" applyAlignment="1">
      <alignment horizontal="center"/>
    </xf>
    <xf numFmtId="0" fontId="0" fillId="6" borderId="0" xfId="0" applyFill="1"/>
    <xf numFmtId="176" fontId="2" fillId="3" borderId="19" xfId="0" applyNumberFormat="1" applyFont="1" applyFill="1" applyBorder="1" applyAlignment="1">
      <alignment horizontal="center"/>
    </xf>
    <xf numFmtId="176" fontId="2" fillId="3" borderId="22" xfId="0" applyNumberFormat="1" applyFont="1" applyFill="1" applyBorder="1" applyAlignment="1">
      <alignment horizontal="center"/>
    </xf>
    <xf numFmtId="176" fontId="2" fillId="3" borderId="27" xfId="0" applyNumberFormat="1" applyFont="1" applyFill="1" applyBorder="1" applyAlignment="1">
      <alignment horizontal="center"/>
    </xf>
    <xf numFmtId="176" fontId="2" fillId="3" borderId="28" xfId="0" applyNumberFormat="1" applyFont="1" applyFill="1" applyBorder="1" applyAlignment="1">
      <alignment horizontal="center"/>
    </xf>
    <xf numFmtId="176" fontId="2" fillId="3" borderId="23" xfId="0" applyNumberFormat="1" applyFont="1" applyFill="1" applyBorder="1" applyAlignment="1">
      <alignment horizontal="center"/>
    </xf>
    <xf numFmtId="176" fontId="2" fillId="3" borderId="26" xfId="0" applyNumberFormat="1" applyFont="1" applyFill="1" applyBorder="1" applyAlignment="1">
      <alignment horizontal="center"/>
    </xf>
  </cellXfs>
  <cellStyles count="4">
    <cellStyle name="Currency" xfId="1" builtinId="4"/>
    <cellStyle name="Hyperlink" xfId="3" builtinId="8"/>
    <cellStyle name="Normal" xfId="0" builtinId="0"/>
    <cellStyle name="Percent" xfId="2" builtinId="5"/>
  </cellStyles>
  <dxfs count="3">
    <dxf>
      <numFmt numFmtId="180" formatCode="&quot;$&quot;#,##0.00"/>
    </dxf>
    <dxf>
      <numFmt numFmtId="14" formatCode="0.00%"/>
    </dxf>
    <dxf>
      <numFmt numFmtId="176" formatCode="0.00\x"/>
    </dxf>
  </dxfs>
  <tableStyles count="0" defaultTableStyle="TableStyleMedium2" defaultPivotStyle="PivotStyleLight16"/>
  <colors>
    <mruColors>
      <color rgb="FFD2B48C"/>
      <color rgb="FFBCAAA5"/>
      <color rgb="FF6D3D11"/>
      <color rgb="FF8C4E16"/>
      <color rgb="FFB5651D"/>
      <color rgb="FFBCAAA2"/>
      <color rgb="FFBCAAA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eetMetadata" Target="metadata.xml"/><Relationship Id="rId26" Type="http://schemas.openxmlformats.org/officeDocument/2006/relationships/calcChain" Target="calcChain.xml"/><Relationship Id="rId3" Type="http://schemas.openxmlformats.org/officeDocument/2006/relationships/worksheet" Target="worksheets/sheet3.xml"/><Relationship Id="rId21" Type="http://schemas.microsoft.com/office/2017/06/relationships/richStyles" Target="richData/rich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5"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styles" Target="styles.xml"/><Relationship Id="rId20" Type="http://schemas.microsoft.com/office/2017/06/relationships/rdRichValueStructure" Target="richData/rdrichvaluestructure.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17/06/relationships/rdRichValueTypes" Target="richData/rdRichValueTypes.xml"/><Relationship Id="rId5" Type="http://schemas.openxmlformats.org/officeDocument/2006/relationships/worksheet" Target="worksheets/sheet5.xml"/><Relationship Id="rId15" Type="http://schemas.openxmlformats.org/officeDocument/2006/relationships/theme" Target="theme/theme1.xml"/><Relationship Id="rId23" Type="http://schemas.microsoft.com/office/2017/06/relationships/rdSupportingPropertyBag" Target="richData/rdsupportingpropertybag.xml"/><Relationship Id="rId10" Type="http://schemas.openxmlformats.org/officeDocument/2006/relationships/worksheet" Target="worksheets/sheet10.xml"/><Relationship Id="rId19"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06/relationships/rdSupportingPropertyBagStructure" Target="richData/rdsupportingpropertybagstructure.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The Comparison </a:t>
            </a:r>
            <a:r>
              <a:rPr lang="en-US" baseline="0"/>
              <a:t>between Comparable Companies in Selected Ratio or Multiple</a:t>
            </a:r>
            <a:endParaRPr lang="en-US"/>
          </a:p>
        </c:rich>
      </c:tx>
      <c:layout>
        <c:manualLayout>
          <c:xMode val="edge"/>
          <c:yMode val="edge"/>
          <c:x val="0.13422821369397039"/>
          <c:y val="2.5990100023002261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4.9358841741615658E-2"/>
          <c:y val="0.13643912997613405"/>
          <c:w val="0.93084149653638437"/>
          <c:h val="0.75001685447174915"/>
        </c:manualLayout>
      </c:layout>
      <c:barChart>
        <c:barDir val="col"/>
        <c:grouping val="clustered"/>
        <c:varyColors val="0"/>
        <c:ser>
          <c:idx val="0"/>
          <c:order val="0"/>
          <c:spPr>
            <a:solidFill>
              <a:srgbClr val="BCAAA5"/>
            </a:solidFill>
            <a:ln w="19050">
              <a:solidFill>
                <a:schemeClr val="tx2">
                  <a:lumMod val="90000"/>
                  <a:lumOff val="10000"/>
                </a:schemeClr>
              </a:solidFill>
            </a:ln>
            <a:effectLst/>
          </c:spPr>
          <c:invertIfNegative val="0"/>
          <c:cat>
            <c:strRef>
              <c:f>Summary!$O$17:$O$24</c:f>
              <c:strCache>
                <c:ptCount val="8"/>
                <c:pt idx="0">
                  <c:v>ORICA LIMITED</c:v>
                </c:pt>
                <c:pt idx="1">
                  <c:v>FLETCHER BUILDING LIMITED</c:v>
                </c:pt>
                <c:pt idx="2">
                  <c:v>MAAS Group Holdings Ltd</c:v>
                </c:pt>
                <c:pt idx="3">
                  <c:v>NRW HOLDINGS LIMITED</c:v>
                </c:pt>
                <c:pt idx="4">
                  <c:v>EMECO HOLDINGS LIMITED</c:v>
                </c:pt>
                <c:pt idx="5">
                  <c:v>WAGNERS HOLDING COMPANY LTD</c:v>
                </c:pt>
                <c:pt idx="6">
                  <c:v>MLG OZ LIMITED</c:v>
                </c:pt>
                <c:pt idx="7">
                  <c:v>MACMAHON HOLDINGS LIMITED</c:v>
                </c:pt>
              </c:strCache>
            </c:strRef>
          </c:cat>
          <c:val>
            <c:numRef>
              <c:f>Summary!$P$17:$P$24</c:f>
              <c:numCache>
                <c:formatCode>General</c:formatCode>
                <c:ptCount val="8"/>
                <c:pt idx="0">
                  <c:v>0.40523046406013463</c:v>
                </c:pt>
                <c:pt idx="1">
                  <c:v>0.27265236186458408</c:v>
                </c:pt>
                <c:pt idx="2">
                  <c:v>0.51303254219003125</c:v>
                </c:pt>
                <c:pt idx="3">
                  <c:v>0.48246643242465959</c:v>
                </c:pt>
                <c:pt idx="4">
                  <c:v>0.577004355205054</c:v>
                </c:pt>
                <c:pt idx="5">
                  <c:v>0.36909363932810763</c:v>
                </c:pt>
                <c:pt idx="6">
                  <c:v>0.34388771747014008</c:v>
                </c:pt>
                <c:pt idx="7">
                  <c:v>0.73436241699706828</c:v>
                </c:pt>
              </c:numCache>
            </c:numRef>
          </c:val>
          <c:extLst>
            <c:ext xmlns:c16="http://schemas.microsoft.com/office/drawing/2014/chart" uri="{C3380CC4-5D6E-409C-BE32-E72D297353CC}">
              <c16:uniqueId val="{00000000-A090-4FFC-9401-76BD037EAD1C}"/>
            </c:ext>
          </c:extLst>
        </c:ser>
        <c:dLbls>
          <c:showLegendKey val="0"/>
          <c:showVal val="0"/>
          <c:showCatName val="0"/>
          <c:showSerName val="0"/>
          <c:showPercent val="0"/>
          <c:showBubbleSize val="0"/>
        </c:dLbls>
        <c:gapWidth val="141"/>
        <c:overlap val="55"/>
        <c:axId val="1110895920"/>
        <c:axId val="1110896400"/>
      </c:barChart>
      <c:catAx>
        <c:axId val="1110895920"/>
        <c:scaling>
          <c:orientation val="minMax"/>
        </c:scaling>
        <c:delete val="0"/>
        <c:axPos val="b"/>
        <c:numFmt formatCode="General" sourceLinked="1"/>
        <c:majorTickMark val="none"/>
        <c:minorTickMark val="none"/>
        <c:tickLblPos val="nextTo"/>
        <c:spPr>
          <a:solidFill>
            <a:srgbClr val="BCAAA5">
              <a:alpha val="50000"/>
            </a:srgbClr>
          </a:solidFill>
          <a:ln w="9525" cap="flat" cmpd="sng" algn="ctr">
            <a:solidFill>
              <a:schemeClr val="tx2">
                <a:lumMod val="90000"/>
                <a:lumOff val="10000"/>
              </a:schemeClr>
            </a:solidFill>
            <a:round/>
          </a:ln>
          <a:effectLst/>
        </c:spPr>
        <c:txPr>
          <a:bodyPr rot="0" spcFirstLastPara="1" vertOverflow="ellipsis" vert="horz" wrap="square" anchor="ctr" anchorCtr="0"/>
          <a:lstStyle/>
          <a:p>
            <a:pPr>
              <a:defRPr sz="900" b="1" i="0" u="none" strike="noStrike" kern="1200" baseline="0">
                <a:solidFill>
                  <a:schemeClr val="tx1">
                    <a:lumMod val="65000"/>
                    <a:lumOff val="35000"/>
                  </a:schemeClr>
                </a:solidFill>
                <a:latin typeface="+mn-lt"/>
                <a:ea typeface="+mn-ea"/>
                <a:cs typeface="+mn-cs"/>
              </a:defRPr>
            </a:pPr>
            <a:endParaRPr lang="en-US"/>
          </a:p>
        </c:txPr>
        <c:crossAx val="1110896400"/>
        <c:crosses val="autoZero"/>
        <c:auto val="1"/>
        <c:lblAlgn val="ctr"/>
        <c:lblOffset val="100"/>
        <c:noMultiLvlLbl val="0"/>
      </c:catAx>
      <c:valAx>
        <c:axId val="1110896400"/>
        <c:scaling>
          <c:orientation val="minMax"/>
        </c:scaling>
        <c:delete val="0"/>
        <c:axPos val="l"/>
        <c:majorGridlines>
          <c:spPr>
            <a:ln w="9525" cap="flat" cmpd="sng" algn="ctr">
              <a:solidFill>
                <a:schemeClr val="tx2">
                  <a:lumMod val="90000"/>
                  <a:lumOff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0895920"/>
        <c:crosses val="autoZero"/>
        <c:crossBetween val="between"/>
      </c:valAx>
      <c:spPr>
        <a:solidFill>
          <a:srgbClr val="D2B48C"/>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D2B48C"/>
    </a:solidFill>
    <a:ln w="19050" cap="flat" cmpd="sng" algn="ctr">
      <a:solidFill>
        <a:schemeClr val="tx2">
          <a:lumMod val="90000"/>
          <a:lumOff val="10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_xlchart.v1.2</cx:f>
      </cx:numDim>
    </cx:data>
  </cx:chartData>
  <cx:chart>
    <cx:title pos="t" align="ctr" overlay="0">
      <cx:tx>
        <cx:rich>
          <a:bodyPr spcFirstLastPara="1" vertOverflow="ellipsis" horzOverflow="overflow" wrap="square" lIns="0" tIns="0" rIns="0" bIns="0" anchor="ctr" anchorCtr="1"/>
          <a:lstStyle/>
          <a:p>
            <a:pPr algn="ctr" rtl="0">
              <a:defRPr/>
            </a:pPr>
            <a:r>
              <a:rPr lang="en-US"/>
              <a:t>Distribution of Selected Comparable Companies' Ratio or Multiple  </a:t>
            </a:r>
            <a:endParaRPr lang="en-US" sz="1400" b="0" i="0" u="none" strike="noStrike" baseline="0">
              <a:solidFill>
                <a:sysClr val="windowText" lastClr="000000">
                  <a:lumMod val="65000"/>
                  <a:lumOff val="35000"/>
                </a:sysClr>
              </a:solidFill>
              <a:latin typeface="Aptos Narrow" panose="02110004020202020204"/>
            </a:endParaRPr>
          </a:p>
        </cx:rich>
      </cx:tx>
    </cx:title>
    <cx:plotArea>
      <cx:plotAreaRegion>
        <cx:plotSurface>
          <cx:spPr>
            <a:solidFill>
              <a:srgbClr val="D2B48C"/>
            </a:solidFill>
            <a:ln>
              <a:noFill/>
            </a:ln>
          </cx:spPr>
        </cx:plotSurface>
        <cx:series layoutId="boxWhisker" uniqueId="{CE3B5B90-FDAD-484E-888A-7AB86F564FA8}">
          <cx:spPr>
            <a:solidFill>
              <a:srgbClr val="BCAAA5"/>
            </a:solidFill>
            <a:ln w="19050">
              <a:solidFill>
                <a:schemeClr val="tx2">
                  <a:lumMod val="90000"/>
                  <a:lumOff val="10000"/>
                </a:schemeClr>
              </a:solidFill>
            </a:ln>
          </cx:spPr>
          <cx:dataId val="0"/>
          <cx:layoutPr>
            <cx:visibility meanLine="0" meanMarker="1" nonoutliers="0" outliers="1"/>
            <cx:statistics quartileMethod="exclusive"/>
          </cx:layoutPr>
        </cx:series>
      </cx:plotAreaRegion>
      <cx:axis id="0" hidden="1">
        <cx:catScaling gapWidth="1.5"/>
        <cx:tickLabels/>
        <cx:spPr>
          <a:ln w="19050">
            <a:solidFill>
              <a:srgbClr val="002060"/>
            </a:solidFill>
          </a:ln>
        </cx:spPr>
      </cx:axis>
      <cx:axis id="1">
        <cx:valScaling/>
        <cx:majorGridlines>
          <cx:spPr>
            <a:ln>
              <a:solidFill>
                <a:schemeClr val="tx2">
                  <a:lumMod val="90000"/>
                  <a:lumOff val="10000"/>
                </a:schemeClr>
              </a:solidFill>
            </a:ln>
          </cx:spPr>
        </cx:majorGridlines>
        <cx:majorTickMarks type="out"/>
        <cx:tickLabels/>
        <cx:spPr>
          <a:ln w="19050" cmpd="sng">
            <a:solidFill>
              <a:srgbClr val="002060"/>
            </a:solidFill>
          </a:ln>
        </cx:spPr>
      </cx:axis>
    </cx:plotArea>
  </cx:chart>
  <cx:spPr>
    <a:solidFill>
      <a:srgbClr val="D2B48C"/>
    </a:solidFill>
    <a:ln w="19050">
      <a:solidFill>
        <a:schemeClr val="tx2">
          <a:lumMod val="90000"/>
          <a:lumOff val="10000"/>
        </a:schemeClr>
      </a:solidFill>
    </a:ln>
  </cx:spPr>
</cx:chartSpace>
</file>

<file path=xl/charts/colors1.xml><?xml version="1.0" encoding="utf-8"?>
<cs:colorStyle xmlns:cs="http://schemas.microsoft.com/office/drawing/2012/chartStyle" xmlns:a="http://schemas.openxmlformats.org/drawingml/2006/main" meth="withinLinear" id="15">
  <a:schemeClr val="accent2"/>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Drop" dropLines="10" dropStyle="combo" dx="31" fmlaLink="$O$12" fmlaRange="Data!$D$8:$D$41" noThreeD="1" sel="8"/>
</file>

<file path=xl/drawings/_rels/drawing13.xml.rels><?xml version="1.0" encoding="UTF-8" standalone="yes"?>
<Relationships xmlns="http://schemas.openxmlformats.org/package/2006/relationships"><Relationship Id="rId2" Type="http://schemas.openxmlformats.org/officeDocument/2006/relationships/chart" Target="../charts/chart1.xml"/><Relationship Id="rId1"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1</xdr:col>
      <xdr:colOff>9641</xdr:colOff>
      <xdr:row>1</xdr:row>
      <xdr:rowOff>158418</xdr:rowOff>
    </xdr:from>
    <xdr:to>
      <xdr:col>7</xdr:col>
      <xdr:colOff>41413</xdr:colOff>
      <xdr:row>1</xdr:row>
      <xdr:rowOff>158418</xdr:rowOff>
    </xdr:to>
    <xdr:cxnSp macro="">
      <xdr:nvCxnSpPr>
        <xdr:cNvPr id="2" name="Straight Connector 1">
          <a:extLst>
            <a:ext uri="{FF2B5EF4-FFF2-40B4-BE49-F238E27FC236}">
              <a16:creationId xmlns:a16="http://schemas.microsoft.com/office/drawing/2014/main" id="{1EEA92F1-BE56-426B-8A92-2B3F9840DC70}"/>
            </a:ext>
          </a:extLst>
        </xdr:cNvPr>
        <xdr:cNvCxnSpPr/>
      </xdr:nvCxnSpPr>
      <xdr:spPr>
        <a:xfrm>
          <a:off x="619241" y="342568"/>
          <a:ext cx="7346972" cy="0"/>
        </a:xfrm>
        <a:prstGeom prst="line">
          <a:avLst/>
        </a:prstGeom>
        <a:ln w="12700">
          <a:solidFill>
            <a:schemeClr val="bg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64183</xdr:colOff>
      <xdr:row>3</xdr:row>
      <xdr:rowOff>167497</xdr:rowOff>
    </xdr:from>
    <xdr:to>
      <xdr:col>1</xdr:col>
      <xdr:colOff>2102470</xdr:colOff>
      <xdr:row>3</xdr:row>
      <xdr:rowOff>167497</xdr:rowOff>
    </xdr:to>
    <xdr:cxnSp macro="">
      <xdr:nvCxnSpPr>
        <xdr:cNvPr id="3" name="Straight Connector 2">
          <a:extLst>
            <a:ext uri="{FF2B5EF4-FFF2-40B4-BE49-F238E27FC236}">
              <a16:creationId xmlns:a16="http://schemas.microsoft.com/office/drawing/2014/main" id="{42D87656-5D9B-4DE9-8B5A-B4914BB771E5}"/>
            </a:ext>
          </a:extLst>
        </xdr:cNvPr>
        <xdr:cNvCxnSpPr/>
      </xdr:nvCxnSpPr>
      <xdr:spPr>
        <a:xfrm>
          <a:off x="673783" y="719947"/>
          <a:ext cx="2038287"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61632</xdr:colOff>
      <xdr:row>3</xdr:row>
      <xdr:rowOff>167497</xdr:rowOff>
    </xdr:from>
    <xdr:to>
      <xdr:col>2</xdr:col>
      <xdr:colOff>701712</xdr:colOff>
      <xdr:row>3</xdr:row>
      <xdr:rowOff>167497</xdr:rowOff>
    </xdr:to>
    <xdr:cxnSp macro="">
      <xdr:nvCxnSpPr>
        <xdr:cNvPr id="4" name="Straight Connector 3">
          <a:extLst>
            <a:ext uri="{FF2B5EF4-FFF2-40B4-BE49-F238E27FC236}">
              <a16:creationId xmlns:a16="http://schemas.microsoft.com/office/drawing/2014/main" id="{78B5C99D-8D4D-4B99-BBE7-97B4840B32CF}"/>
            </a:ext>
          </a:extLst>
        </xdr:cNvPr>
        <xdr:cNvCxnSpPr/>
      </xdr:nvCxnSpPr>
      <xdr:spPr>
        <a:xfrm>
          <a:off x="2817532" y="719947"/>
          <a:ext cx="54483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59079</xdr:colOff>
      <xdr:row>3</xdr:row>
      <xdr:rowOff>167497</xdr:rowOff>
    </xdr:from>
    <xdr:to>
      <xdr:col>4</xdr:col>
      <xdr:colOff>6615</xdr:colOff>
      <xdr:row>3</xdr:row>
      <xdr:rowOff>167497</xdr:rowOff>
    </xdr:to>
    <xdr:cxnSp macro="">
      <xdr:nvCxnSpPr>
        <xdr:cNvPr id="5" name="Straight Connector 4">
          <a:extLst>
            <a:ext uri="{FF2B5EF4-FFF2-40B4-BE49-F238E27FC236}">
              <a16:creationId xmlns:a16="http://schemas.microsoft.com/office/drawing/2014/main" id="{E8231ACE-D3E1-4094-984E-D2D38D95C6EA}"/>
            </a:ext>
          </a:extLst>
        </xdr:cNvPr>
        <xdr:cNvCxnSpPr/>
      </xdr:nvCxnSpPr>
      <xdr:spPr>
        <a:xfrm>
          <a:off x="3424579" y="719947"/>
          <a:ext cx="2678036"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68679</xdr:colOff>
      <xdr:row>3</xdr:row>
      <xdr:rowOff>167497</xdr:rowOff>
    </xdr:from>
    <xdr:to>
      <xdr:col>4</xdr:col>
      <xdr:colOff>708759</xdr:colOff>
      <xdr:row>3</xdr:row>
      <xdr:rowOff>167497</xdr:rowOff>
    </xdr:to>
    <xdr:cxnSp macro="">
      <xdr:nvCxnSpPr>
        <xdr:cNvPr id="6" name="Straight Connector 5">
          <a:extLst>
            <a:ext uri="{FF2B5EF4-FFF2-40B4-BE49-F238E27FC236}">
              <a16:creationId xmlns:a16="http://schemas.microsoft.com/office/drawing/2014/main" id="{47EC3867-22F0-46C6-95CB-9249A21E6486}"/>
            </a:ext>
          </a:extLst>
        </xdr:cNvPr>
        <xdr:cNvCxnSpPr/>
      </xdr:nvCxnSpPr>
      <xdr:spPr>
        <a:xfrm>
          <a:off x="6164679" y="719947"/>
          <a:ext cx="5384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63090</xdr:colOff>
      <xdr:row>3</xdr:row>
      <xdr:rowOff>167497</xdr:rowOff>
    </xdr:from>
    <xdr:to>
      <xdr:col>6</xdr:col>
      <xdr:colOff>23</xdr:colOff>
      <xdr:row>3</xdr:row>
      <xdr:rowOff>167497</xdr:rowOff>
    </xdr:to>
    <xdr:cxnSp macro="">
      <xdr:nvCxnSpPr>
        <xdr:cNvPr id="7" name="Straight Connector 6">
          <a:extLst>
            <a:ext uri="{FF2B5EF4-FFF2-40B4-BE49-F238E27FC236}">
              <a16:creationId xmlns:a16="http://schemas.microsoft.com/office/drawing/2014/main" id="{6DDFBD3F-7116-44D7-8F3B-4AA801ED7792}"/>
            </a:ext>
          </a:extLst>
        </xdr:cNvPr>
        <xdr:cNvCxnSpPr/>
      </xdr:nvCxnSpPr>
      <xdr:spPr>
        <a:xfrm>
          <a:off x="6768690" y="719947"/>
          <a:ext cx="546533"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218123</xdr:colOff>
      <xdr:row>49</xdr:row>
      <xdr:rowOff>89129</xdr:rowOff>
    </xdr:from>
    <xdr:to>
      <xdr:col>14</xdr:col>
      <xdr:colOff>155057</xdr:colOff>
      <xdr:row>49</xdr:row>
      <xdr:rowOff>89129</xdr:rowOff>
    </xdr:to>
    <xdr:cxnSp macro="">
      <xdr:nvCxnSpPr>
        <xdr:cNvPr id="8" name="Straight Connector 7">
          <a:extLst>
            <a:ext uri="{FF2B5EF4-FFF2-40B4-BE49-F238E27FC236}">
              <a16:creationId xmlns:a16="http://schemas.microsoft.com/office/drawing/2014/main" id="{40D89C37-0836-4028-B6B6-449DCB487EA8}"/>
            </a:ext>
          </a:extLst>
        </xdr:cNvPr>
        <xdr:cNvCxnSpPr/>
      </xdr:nvCxnSpPr>
      <xdr:spPr>
        <a:xfrm>
          <a:off x="9144000" y="8604250"/>
          <a:ext cx="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37382</xdr:colOff>
      <xdr:row>3</xdr:row>
      <xdr:rowOff>165019</xdr:rowOff>
    </xdr:from>
    <xdr:to>
      <xdr:col>6</xdr:col>
      <xdr:colOff>582212</xdr:colOff>
      <xdr:row>3</xdr:row>
      <xdr:rowOff>165019</xdr:rowOff>
    </xdr:to>
    <xdr:cxnSp macro="">
      <xdr:nvCxnSpPr>
        <xdr:cNvPr id="9" name="Straight Connector 8">
          <a:extLst>
            <a:ext uri="{FF2B5EF4-FFF2-40B4-BE49-F238E27FC236}">
              <a16:creationId xmlns:a16="http://schemas.microsoft.com/office/drawing/2014/main" id="{545E57F9-4AC6-4DC2-AE26-4BDAB7C66227}"/>
            </a:ext>
          </a:extLst>
        </xdr:cNvPr>
        <xdr:cNvCxnSpPr/>
      </xdr:nvCxnSpPr>
      <xdr:spPr>
        <a:xfrm>
          <a:off x="7352582" y="717469"/>
          <a:ext cx="54483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64183</xdr:colOff>
      <xdr:row>3</xdr:row>
      <xdr:rowOff>167275</xdr:rowOff>
    </xdr:from>
    <xdr:to>
      <xdr:col>1</xdr:col>
      <xdr:colOff>2102470</xdr:colOff>
      <xdr:row>3</xdr:row>
      <xdr:rowOff>167275</xdr:rowOff>
    </xdr:to>
    <xdr:cxnSp macro="">
      <xdr:nvCxnSpPr>
        <xdr:cNvPr id="10" name="Straight Connector 9">
          <a:extLst>
            <a:ext uri="{FF2B5EF4-FFF2-40B4-BE49-F238E27FC236}">
              <a16:creationId xmlns:a16="http://schemas.microsoft.com/office/drawing/2014/main" id="{1B4B69C7-8F8D-4A8D-AF00-58A2DEDA6A76}"/>
            </a:ext>
          </a:extLst>
        </xdr:cNvPr>
        <xdr:cNvCxnSpPr/>
      </xdr:nvCxnSpPr>
      <xdr:spPr>
        <a:xfrm>
          <a:off x="673783" y="719725"/>
          <a:ext cx="2038287"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31750</xdr:colOff>
      <xdr:row>5</xdr:row>
      <xdr:rowOff>161587</xdr:rowOff>
    </xdr:from>
    <xdr:to>
      <xdr:col>6</xdr:col>
      <xdr:colOff>576036</xdr:colOff>
      <xdr:row>5</xdr:row>
      <xdr:rowOff>161587</xdr:rowOff>
    </xdr:to>
    <xdr:cxnSp macro="">
      <xdr:nvCxnSpPr>
        <xdr:cNvPr id="11" name="Straight Connector 10">
          <a:extLst>
            <a:ext uri="{FF2B5EF4-FFF2-40B4-BE49-F238E27FC236}">
              <a16:creationId xmlns:a16="http://schemas.microsoft.com/office/drawing/2014/main" id="{4EDFAB49-6D8F-4C72-BCD8-67A1147787AE}"/>
            </a:ext>
          </a:extLst>
        </xdr:cNvPr>
        <xdr:cNvCxnSpPr/>
      </xdr:nvCxnSpPr>
      <xdr:spPr>
        <a:xfrm>
          <a:off x="641350" y="1552237"/>
          <a:ext cx="7249886"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31750</xdr:colOff>
      <xdr:row>7</xdr:row>
      <xdr:rowOff>162910</xdr:rowOff>
    </xdr:from>
    <xdr:to>
      <xdr:col>6</xdr:col>
      <xdr:colOff>576036</xdr:colOff>
      <xdr:row>7</xdr:row>
      <xdr:rowOff>162910</xdr:rowOff>
    </xdr:to>
    <xdr:cxnSp macro="">
      <xdr:nvCxnSpPr>
        <xdr:cNvPr id="12" name="Straight Connector 11">
          <a:extLst>
            <a:ext uri="{FF2B5EF4-FFF2-40B4-BE49-F238E27FC236}">
              <a16:creationId xmlns:a16="http://schemas.microsoft.com/office/drawing/2014/main" id="{F5085266-9D87-450B-9744-E8C1734654C6}"/>
            </a:ext>
          </a:extLst>
        </xdr:cNvPr>
        <xdr:cNvCxnSpPr/>
      </xdr:nvCxnSpPr>
      <xdr:spPr>
        <a:xfrm>
          <a:off x="641350" y="2448910"/>
          <a:ext cx="7249886"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31750</xdr:colOff>
      <xdr:row>9</xdr:row>
      <xdr:rowOff>170846</xdr:rowOff>
    </xdr:from>
    <xdr:to>
      <xdr:col>6</xdr:col>
      <xdr:colOff>576036</xdr:colOff>
      <xdr:row>9</xdr:row>
      <xdr:rowOff>170846</xdr:rowOff>
    </xdr:to>
    <xdr:cxnSp macro="">
      <xdr:nvCxnSpPr>
        <xdr:cNvPr id="13" name="Straight Connector 12">
          <a:extLst>
            <a:ext uri="{FF2B5EF4-FFF2-40B4-BE49-F238E27FC236}">
              <a16:creationId xmlns:a16="http://schemas.microsoft.com/office/drawing/2014/main" id="{B609A5AF-6FC8-42E3-B718-EBA4F0B2F155}"/>
            </a:ext>
          </a:extLst>
        </xdr:cNvPr>
        <xdr:cNvCxnSpPr/>
      </xdr:nvCxnSpPr>
      <xdr:spPr>
        <a:xfrm>
          <a:off x="641350" y="3352196"/>
          <a:ext cx="7249886"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31750</xdr:colOff>
      <xdr:row>11</xdr:row>
      <xdr:rowOff>173794</xdr:rowOff>
    </xdr:from>
    <xdr:to>
      <xdr:col>6</xdr:col>
      <xdr:colOff>576036</xdr:colOff>
      <xdr:row>11</xdr:row>
      <xdr:rowOff>173794</xdr:rowOff>
    </xdr:to>
    <xdr:cxnSp macro="">
      <xdr:nvCxnSpPr>
        <xdr:cNvPr id="14" name="Straight Connector 13">
          <a:extLst>
            <a:ext uri="{FF2B5EF4-FFF2-40B4-BE49-F238E27FC236}">
              <a16:creationId xmlns:a16="http://schemas.microsoft.com/office/drawing/2014/main" id="{77C1601A-D6E0-4458-ADF2-64883F67541D}"/>
            </a:ext>
          </a:extLst>
        </xdr:cNvPr>
        <xdr:cNvCxnSpPr/>
      </xdr:nvCxnSpPr>
      <xdr:spPr>
        <a:xfrm>
          <a:off x="641350" y="4206044"/>
          <a:ext cx="7249886"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31750</xdr:colOff>
      <xdr:row>13</xdr:row>
      <xdr:rowOff>170848</xdr:rowOff>
    </xdr:from>
    <xdr:to>
      <xdr:col>6</xdr:col>
      <xdr:colOff>576036</xdr:colOff>
      <xdr:row>13</xdr:row>
      <xdr:rowOff>170848</xdr:rowOff>
    </xdr:to>
    <xdr:cxnSp macro="">
      <xdr:nvCxnSpPr>
        <xdr:cNvPr id="15" name="Straight Connector 14">
          <a:extLst>
            <a:ext uri="{FF2B5EF4-FFF2-40B4-BE49-F238E27FC236}">
              <a16:creationId xmlns:a16="http://schemas.microsoft.com/office/drawing/2014/main" id="{9BF24B6C-53E0-4862-888D-B9E5DE8B85A7}"/>
            </a:ext>
          </a:extLst>
        </xdr:cNvPr>
        <xdr:cNvCxnSpPr/>
      </xdr:nvCxnSpPr>
      <xdr:spPr>
        <a:xfrm>
          <a:off x="641350" y="5415948"/>
          <a:ext cx="7249886"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31750</xdr:colOff>
      <xdr:row>15</xdr:row>
      <xdr:rowOff>177904</xdr:rowOff>
    </xdr:from>
    <xdr:to>
      <xdr:col>6</xdr:col>
      <xdr:colOff>576036</xdr:colOff>
      <xdr:row>15</xdr:row>
      <xdr:rowOff>177904</xdr:rowOff>
    </xdr:to>
    <xdr:cxnSp macro="">
      <xdr:nvCxnSpPr>
        <xdr:cNvPr id="16" name="Straight Connector 15">
          <a:extLst>
            <a:ext uri="{FF2B5EF4-FFF2-40B4-BE49-F238E27FC236}">
              <a16:creationId xmlns:a16="http://schemas.microsoft.com/office/drawing/2014/main" id="{7628544E-DF63-4182-B0AB-22DBCFE0CE13}"/>
            </a:ext>
          </a:extLst>
        </xdr:cNvPr>
        <xdr:cNvCxnSpPr/>
      </xdr:nvCxnSpPr>
      <xdr:spPr>
        <a:xfrm>
          <a:off x="641350" y="6165954"/>
          <a:ext cx="7249886"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31750</xdr:colOff>
      <xdr:row>17</xdr:row>
      <xdr:rowOff>177904</xdr:rowOff>
    </xdr:from>
    <xdr:to>
      <xdr:col>6</xdr:col>
      <xdr:colOff>576036</xdr:colOff>
      <xdr:row>17</xdr:row>
      <xdr:rowOff>177904</xdr:rowOff>
    </xdr:to>
    <xdr:cxnSp macro="">
      <xdr:nvCxnSpPr>
        <xdr:cNvPr id="17" name="Straight Connector 16">
          <a:extLst>
            <a:ext uri="{FF2B5EF4-FFF2-40B4-BE49-F238E27FC236}">
              <a16:creationId xmlns:a16="http://schemas.microsoft.com/office/drawing/2014/main" id="{4DB5972D-D8E3-41A5-9216-0CAC3BA9E16D}"/>
            </a:ext>
          </a:extLst>
        </xdr:cNvPr>
        <xdr:cNvCxnSpPr/>
      </xdr:nvCxnSpPr>
      <xdr:spPr>
        <a:xfrm>
          <a:off x="641350" y="6870804"/>
          <a:ext cx="7249886"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31750</xdr:colOff>
      <xdr:row>21</xdr:row>
      <xdr:rowOff>170848</xdr:rowOff>
    </xdr:from>
    <xdr:to>
      <xdr:col>6</xdr:col>
      <xdr:colOff>576036</xdr:colOff>
      <xdr:row>21</xdr:row>
      <xdr:rowOff>170848</xdr:rowOff>
    </xdr:to>
    <xdr:cxnSp macro="">
      <xdr:nvCxnSpPr>
        <xdr:cNvPr id="18" name="Straight Connector 17">
          <a:extLst>
            <a:ext uri="{FF2B5EF4-FFF2-40B4-BE49-F238E27FC236}">
              <a16:creationId xmlns:a16="http://schemas.microsoft.com/office/drawing/2014/main" id="{63ACB9EB-B25C-4B98-9962-880C946C7D63}"/>
            </a:ext>
          </a:extLst>
        </xdr:cNvPr>
        <xdr:cNvCxnSpPr/>
      </xdr:nvCxnSpPr>
      <xdr:spPr>
        <a:xfrm>
          <a:off x="641350" y="8222648"/>
          <a:ext cx="7249886"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31750</xdr:colOff>
      <xdr:row>19</xdr:row>
      <xdr:rowOff>177904</xdr:rowOff>
    </xdr:from>
    <xdr:to>
      <xdr:col>6</xdr:col>
      <xdr:colOff>576036</xdr:colOff>
      <xdr:row>19</xdr:row>
      <xdr:rowOff>177904</xdr:rowOff>
    </xdr:to>
    <xdr:cxnSp macro="">
      <xdr:nvCxnSpPr>
        <xdr:cNvPr id="19" name="Straight Connector 18">
          <a:extLst>
            <a:ext uri="{FF2B5EF4-FFF2-40B4-BE49-F238E27FC236}">
              <a16:creationId xmlns:a16="http://schemas.microsoft.com/office/drawing/2014/main" id="{5448A82E-3BCA-4175-9792-B8AFCA01A4E6}"/>
            </a:ext>
          </a:extLst>
        </xdr:cNvPr>
        <xdr:cNvCxnSpPr/>
      </xdr:nvCxnSpPr>
      <xdr:spPr>
        <a:xfrm>
          <a:off x="641350" y="7537554"/>
          <a:ext cx="7249886"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4</xdr:col>
      <xdr:colOff>55843</xdr:colOff>
      <xdr:row>26</xdr:row>
      <xdr:rowOff>139492</xdr:rowOff>
    </xdr:from>
    <xdr:to>
      <xdr:col>4</xdr:col>
      <xdr:colOff>791256</xdr:colOff>
      <xdr:row>26</xdr:row>
      <xdr:rowOff>139492</xdr:rowOff>
    </xdr:to>
    <xdr:cxnSp macro="">
      <xdr:nvCxnSpPr>
        <xdr:cNvPr id="2" name="Straight Connector 1">
          <a:extLst>
            <a:ext uri="{FF2B5EF4-FFF2-40B4-BE49-F238E27FC236}">
              <a16:creationId xmlns:a16="http://schemas.microsoft.com/office/drawing/2014/main" id="{83B6963F-9EF2-44D2-BAA6-EDA028642E0B}"/>
            </a:ext>
          </a:extLst>
        </xdr:cNvPr>
        <xdr:cNvCxnSpPr/>
      </xdr:nvCxnSpPr>
      <xdr:spPr>
        <a:xfrm>
          <a:off x="2678393" y="4686092"/>
          <a:ext cx="735413"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55843</xdr:colOff>
      <xdr:row>32</xdr:row>
      <xdr:rowOff>169413</xdr:rowOff>
    </xdr:from>
    <xdr:to>
      <xdr:col>4</xdr:col>
      <xdr:colOff>748036</xdr:colOff>
      <xdr:row>32</xdr:row>
      <xdr:rowOff>169413</xdr:rowOff>
    </xdr:to>
    <xdr:cxnSp macro="">
      <xdr:nvCxnSpPr>
        <xdr:cNvPr id="3" name="Straight Connector 2">
          <a:extLst>
            <a:ext uri="{FF2B5EF4-FFF2-40B4-BE49-F238E27FC236}">
              <a16:creationId xmlns:a16="http://schemas.microsoft.com/office/drawing/2014/main" id="{504AADB2-0169-497F-A02A-5092E7C09818}"/>
            </a:ext>
          </a:extLst>
        </xdr:cNvPr>
        <xdr:cNvCxnSpPr/>
      </xdr:nvCxnSpPr>
      <xdr:spPr>
        <a:xfrm>
          <a:off x="2678393" y="5833613"/>
          <a:ext cx="692193"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55843</xdr:colOff>
      <xdr:row>33</xdr:row>
      <xdr:rowOff>167269</xdr:rowOff>
    </xdr:from>
    <xdr:to>
      <xdr:col>4</xdr:col>
      <xdr:colOff>754685</xdr:colOff>
      <xdr:row>33</xdr:row>
      <xdr:rowOff>167269</xdr:rowOff>
    </xdr:to>
    <xdr:cxnSp macro="">
      <xdr:nvCxnSpPr>
        <xdr:cNvPr id="4" name="Straight Connector 3">
          <a:extLst>
            <a:ext uri="{FF2B5EF4-FFF2-40B4-BE49-F238E27FC236}">
              <a16:creationId xmlns:a16="http://schemas.microsoft.com/office/drawing/2014/main" id="{406D7753-3D9D-484E-A16B-EAC75D9A9B1C}"/>
            </a:ext>
          </a:extLst>
        </xdr:cNvPr>
        <xdr:cNvCxnSpPr/>
      </xdr:nvCxnSpPr>
      <xdr:spPr>
        <a:xfrm>
          <a:off x="2678393" y="6015619"/>
          <a:ext cx="698842"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25099</xdr:colOff>
      <xdr:row>38</xdr:row>
      <xdr:rowOff>175830</xdr:rowOff>
    </xdr:from>
    <xdr:to>
      <xdr:col>2</xdr:col>
      <xdr:colOff>665179</xdr:colOff>
      <xdr:row>38</xdr:row>
      <xdr:rowOff>175830</xdr:rowOff>
    </xdr:to>
    <xdr:cxnSp macro="">
      <xdr:nvCxnSpPr>
        <xdr:cNvPr id="5" name="Straight Connector 4">
          <a:extLst>
            <a:ext uri="{FF2B5EF4-FFF2-40B4-BE49-F238E27FC236}">
              <a16:creationId xmlns:a16="http://schemas.microsoft.com/office/drawing/2014/main" id="{1CD1C76A-1A4E-4D55-892A-5524C383E288}"/>
            </a:ext>
          </a:extLst>
        </xdr:cNvPr>
        <xdr:cNvCxnSpPr/>
      </xdr:nvCxnSpPr>
      <xdr:spPr>
        <a:xfrm>
          <a:off x="1244299" y="6805230"/>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26112</xdr:colOff>
      <xdr:row>38</xdr:row>
      <xdr:rowOff>170983</xdr:rowOff>
    </xdr:from>
    <xdr:to>
      <xdr:col>3</xdr:col>
      <xdr:colOff>593040</xdr:colOff>
      <xdr:row>38</xdr:row>
      <xdr:rowOff>170983</xdr:rowOff>
    </xdr:to>
    <xdr:cxnSp macro="">
      <xdr:nvCxnSpPr>
        <xdr:cNvPr id="6" name="Straight Connector 5">
          <a:extLst>
            <a:ext uri="{FF2B5EF4-FFF2-40B4-BE49-F238E27FC236}">
              <a16:creationId xmlns:a16="http://schemas.microsoft.com/office/drawing/2014/main" id="{65499C09-9E66-4982-9826-A539BCE31DAD}"/>
            </a:ext>
          </a:extLst>
        </xdr:cNvPr>
        <xdr:cNvCxnSpPr/>
      </xdr:nvCxnSpPr>
      <xdr:spPr>
        <a:xfrm>
          <a:off x="1975562" y="6800383"/>
          <a:ext cx="566928"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22202</xdr:colOff>
      <xdr:row>38</xdr:row>
      <xdr:rowOff>170983</xdr:rowOff>
    </xdr:from>
    <xdr:to>
      <xdr:col>4</xdr:col>
      <xdr:colOff>764659</xdr:colOff>
      <xdr:row>38</xdr:row>
      <xdr:rowOff>170983</xdr:rowOff>
    </xdr:to>
    <xdr:cxnSp macro="">
      <xdr:nvCxnSpPr>
        <xdr:cNvPr id="7" name="Straight Connector 6">
          <a:extLst>
            <a:ext uri="{FF2B5EF4-FFF2-40B4-BE49-F238E27FC236}">
              <a16:creationId xmlns:a16="http://schemas.microsoft.com/office/drawing/2014/main" id="{093652A5-406C-4302-AB33-530DB44DED76}"/>
            </a:ext>
          </a:extLst>
        </xdr:cNvPr>
        <xdr:cNvCxnSpPr/>
      </xdr:nvCxnSpPr>
      <xdr:spPr>
        <a:xfrm>
          <a:off x="2644752" y="6800383"/>
          <a:ext cx="742457"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30719</xdr:colOff>
      <xdr:row>65</xdr:row>
      <xdr:rowOff>145082</xdr:rowOff>
    </xdr:from>
    <xdr:to>
      <xdr:col>2</xdr:col>
      <xdr:colOff>670799</xdr:colOff>
      <xdr:row>65</xdr:row>
      <xdr:rowOff>145082</xdr:rowOff>
    </xdr:to>
    <xdr:cxnSp macro="">
      <xdr:nvCxnSpPr>
        <xdr:cNvPr id="8" name="Straight Connector 7">
          <a:extLst>
            <a:ext uri="{FF2B5EF4-FFF2-40B4-BE49-F238E27FC236}">
              <a16:creationId xmlns:a16="http://schemas.microsoft.com/office/drawing/2014/main" id="{AC8826BC-2FF4-4820-B767-A55EDFCACCFB}"/>
            </a:ext>
          </a:extLst>
        </xdr:cNvPr>
        <xdr:cNvCxnSpPr/>
      </xdr:nvCxnSpPr>
      <xdr:spPr>
        <a:xfrm>
          <a:off x="1249919" y="11473482"/>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26112</xdr:colOff>
      <xdr:row>65</xdr:row>
      <xdr:rowOff>145082</xdr:rowOff>
    </xdr:from>
    <xdr:to>
      <xdr:col>3</xdr:col>
      <xdr:colOff>593040</xdr:colOff>
      <xdr:row>65</xdr:row>
      <xdr:rowOff>145082</xdr:rowOff>
    </xdr:to>
    <xdr:cxnSp macro="">
      <xdr:nvCxnSpPr>
        <xdr:cNvPr id="9" name="Straight Connector 8">
          <a:extLst>
            <a:ext uri="{FF2B5EF4-FFF2-40B4-BE49-F238E27FC236}">
              <a16:creationId xmlns:a16="http://schemas.microsoft.com/office/drawing/2014/main" id="{6662B90C-FE3B-427D-9E6D-E223E0AA1B7C}"/>
            </a:ext>
          </a:extLst>
        </xdr:cNvPr>
        <xdr:cNvCxnSpPr/>
      </xdr:nvCxnSpPr>
      <xdr:spPr>
        <a:xfrm>
          <a:off x="1975562" y="11473482"/>
          <a:ext cx="566928"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22202</xdr:colOff>
      <xdr:row>65</xdr:row>
      <xdr:rowOff>145082</xdr:rowOff>
    </xdr:from>
    <xdr:to>
      <xdr:col>4</xdr:col>
      <xdr:colOff>589130</xdr:colOff>
      <xdr:row>65</xdr:row>
      <xdr:rowOff>145082</xdr:rowOff>
    </xdr:to>
    <xdr:cxnSp macro="">
      <xdr:nvCxnSpPr>
        <xdr:cNvPr id="10" name="Straight Connector 9">
          <a:extLst>
            <a:ext uri="{FF2B5EF4-FFF2-40B4-BE49-F238E27FC236}">
              <a16:creationId xmlns:a16="http://schemas.microsoft.com/office/drawing/2014/main" id="{8979D698-9843-4C96-A903-A06E23142B2D}"/>
            </a:ext>
          </a:extLst>
        </xdr:cNvPr>
        <xdr:cNvCxnSpPr/>
      </xdr:nvCxnSpPr>
      <xdr:spPr>
        <a:xfrm>
          <a:off x="2644752" y="11473482"/>
          <a:ext cx="566928"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81981</xdr:colOff>
      <xdr:row>11</xdr:row>
      <xdr:rowOff>169534</xdr:rowOff>
    </xdr:from>
    <xdr:to>
      <xdr:col>10</xdr:col>
      <xdr:colOff>585928</xdr:colOff>
      <xdr:row>11</xdr:row>
      <xdr:rowOff>170691</xdr:rowOff>
    </xdr:to>
    <xdr:cxnSp macro="">
      <xdr:nvCxnSpPr>
        <xdr:cNvPr id="11" name="Straight Connector 10">
          <a:extLst>
            <a:ext uri="{FF2B5EF4-FFF2-40B4-BE49-F238E27FC236}">
              <a16:creationId xmlns:a16="http://schemas.microsoft.com/office/drawing/2014/main" id="{918C9474-DC19-49CC-8E70-C500271E3FE1}"/>
            </a:ext>
          </a:extLst>
        </xdr:cNvPr>
        <xdr:cNvCxnSpPr/>
      </xdr:nvCxnSpPr>
      <xdr:spPr>
        <a:xfrm flipV="1">
          <a:off x="5955731" y="2080884"/>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84473</xdr:colOff>
      <xdr:row>11</xdr:row>
      <xdr:rowOff>169534</xdr:rowOff>
    </xdr:from>
    <xdr:to>
      <xdr:col>12</xdr:col>
      <xdr:colOff>588420</xdr:colOff>
      <xdr:row>11</xdr:row>
      <xdr:rowOff>170691</xdr:rowOff>
    </xdr:to>
    <xdr:cxnSp macro="">
      <xdr:nvCxnSpPr>
        <xdr:cNvPr id="12" name="Straight Connector 11">
          <a:extLst>
            <a:ext uri="{FF2B5EF4-FFF2-40B4-BE49-F238E27FC236}">
              <a16:creationId xmlns:a16="http://schemas.microsoft.com/office/drawing/2014/main" id="{3C1A230B-0F09-4299-BD57-F6946AB40CB0}"/>
            </a:ext>
          </a:extLst>
        </xdr:cNvPr>
        <xdr:cNvCxnSpPr/>
      </xdr:nvCxnSpPr>
      <xdr:spPr>
        <a:xfrm flipV="1">
          <a:off x="7177423" y="2080884"/>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82797</xdr:colOff>
      <xdr:row>11</xdr:row>
      <xdr:rowOff>169534</xdr:rowOff>
    </xdr:from>
    <xdr:to>
      <xdr:col>14</xdr:col>
      <xdr:colOff>586744</xdr:colOff>
      <xdr:row>11</xdr:row>
      <xdr:rowOff>170691</xdr:rowOff>
    </xdr:to>
    <xdr:cxnSp macro="">
      <xdr:nvCxnSpPr>
        <xdr:cNvPr id="13" name="Straight Connector 12">
          <a:extLst>
            <a:ext uri="{FF2B5EF4-FFF2-40B4-BE49-F238E27FC236}">
              <a16:creationId xmlns:a16="http://schemas.microsoft.com/office/drawing/2014/main" id="{4F51EF97-4EAF-4DC1-B80C-E2AD91BBAF33}"/>
            </a:ext>
          </a:extLst>
        </xdr:cNvPr>
        <xdr:cNvCxnSpPr/>
      </xdr:nvCxnSpPr>
      <xdr:spPr>
        <a:xfrm flipV="1">
          <a:off x="8394947" y="2080884"/>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77421</xdr:colOff>
      <xdr:row>11</xdr:row>
      <xdr:rowOff>169534</xdr:rowOff>
    </xdr:from>
    <xdr:to>
      <xdr:col>16</xdr:col>
      <xdr:colOff>581369</xdr:colOff>
      <xdr:row>11</xdr:row>
      <xdr:rowOff>170691</xdr:rowOff>
    </xdr:to>
    <xdr:cxnSp macro="">
      <xdr:nvCxnSpPr>
        <xdr:cNvPr id="14" name="Straight Connector 13">
          <a:extLst>
            <a:ext uri="{FF2B5EF4-FFF2-40B4-BE49-F238E27FC236}">
              <a16:creationId xmlns:a16="http://schemas.microsoft.com/office/drawing/2014/main" id="{BB9FBA5E-77A0-420B-92CC-E32A62D11652}"/>
            </a:ext>
          </a:extLst>
        </xdr:cNvPr>
        <xdr:cNvCxnSpPr/>
      </xdr:nvCxnSpPr>
      <xdr:spPr>
        <a:xfrm flipV="1">
          <a:off x="9608771" y="208088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81638</xdr:colOff>
      <xdr:row>11</xdr:row>
      <xdr:rowOff>169534</xdr:rowOff>
    </xdr:from>
    <xdr:to>
      <xdr:col>18</xdr:col>
      <xdr:colOff>585586</xdr:colOff>
      <xdr:row>11</xdr:row>
      <xdr:rowOff>170691</xdr:rowOff>
    </xdr:to>
    <xdr:cxnSp macro="">
      <xdr:nvCxnSpPr>
        <xdr:cNvPr id="15" name="Straight Connector 14">
          <a:extLst>
            <a:ext uri="{FF2B5EF4-FFF2-40B4-BE49-F238E27FC236}">
              <a16:creationId xmlns:a16="http://schemas.microsoft.com/office/drawing/2014/main" id="{D0CCE66D-2CD3-4CF7-9FB8-D940B9DEDFE0}"/>
            </a:ext>
          </a:extLst>
        </xdr:cNvPr>
        <xdr:cNvCxnSpPr/>
      </xdr:nvCxnSpPr>
      <xdr:spPr>
        <a:xfrm flipV="1">
          <a:off x="10832188" y="208088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81505</xdr:colOff>
      <xdr:row>11</xdr:row>
      <xdr:rowOff>169534</xdr:rowOff>
    </xdr:from>
    <xdr:to>
      <xdr:col>20</xdr:col>
      <xdr:colOff>585453</xdr:colOff>
      <xdr:row>11</xdr:row>
      <xdr:rowOff>170691</xdr:rowOff>
    </xdr:to>
    <xdr:cxnSp macro="">
      <xdr:nvCxnSpPr>
        <xdr:cNvPr id="16" name="Straight Connector 15">
          <a:extLst>
            <a:ext uri="{FF2B5EF4-FFF2-40B4-BE49-F238E27FC236}">
              <a16:creationId xmlns:a16="http://schemas.microsoft.com/office/drawing/2014/main" id="{1CBE2209-1109-4F47-A139-A86773B0493C}"/>
            </a:ext>
          </a:extLst>
        </xdr:cNvPr>
        <xdr:cNvCxnSpPr/>
      </xdr:nvCxnSpPr>
      <xdr:spPr>
        <a:xfrm flipV="1">
          <a:off x="12051255" y="208088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81981</xdr:colOff>
      <xdr:row>13</xdr:row>
      <xdr:rowOff>154837</xdr:rowOff>
    </xdr:from>
    <xdr:to>
      <xdr:col>10</xdr:col>
      <xdr:colOff>585928</xdr:colOff>
      <xdr:row>13</xdr:row>
      <xdr:rowOff>155994</xdr:rowOff>
    </xdr:to>
    <xdr:cxnSp macro="">
      <xdr:nvCxnSpPr>
        <xdr:cNvPr id="17" name="Straight Connector 16">
          <a:extLst>
            <a:ext uri="{FF2B5EF4-FFF2-40B4-BE49-F238E27FC236}">
              <a16:creationId xmlns:a16="http://schemas.microsoft.com/office/drawing/2014/main" id="{084EB162-117D-4D28-94EC-AF6CE368C3BC}"/>
            </a:ext>
          </a:extLst>
        </xdr:cNvPr>
        <xdr:cNvCxnSpPr/>
      </xdr:nvCxnSpPr>
      <xdr:spPr>
        <a:xfrm flipV="1">
          <a:off x="5955731" y="244083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84473</xdr:colOff>
      <xdr:row>13</xdr:row>
      <xdr:rowOff>154837</xdr:rowOff>
    </xdr:from>
    <xdr:to>
      <xdr:col>12</xdr:col>
      <xdr:colOff>588420</xdr:colOff>
      <xdr:row>13</xdr:row>
      <xdr:rowOff>155994</xdr:rowOff>
    </xdr:to>
    <xdr:cxnSp macro="">
      <xdr:nvCxnSpPr>
        <xdr:cNvPr id="18" name="Straight Connector 17">
          <a:extLst>
            <a:ext uri="{FF2B5EF4-FFF2-40B4-BE49-F238E27FC236}">
              <a16:creationId xmlns:a16="http://schemas.microsoft.com/office/drawing/2014/main" id="{901544AD-9C91-4EC9-803E-15EAB2C3D033}"/>
            </a:ext>
          </a:extLst>
        </xdr:cNvPr>
        <xdr:cNvCxnSpPr/>
      </xdr:nvCxnSpPr>
      <xdr:spPr>
        <a:xfrm flipV="1">
          <a:off x="7177423" y="244083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82797</xdr:colOff>
      <xdr:row>13</xdr:row>
      <xdr:rowOff>154837</xdr:rowOff>
    </xdr:from>
    <xdr:to>
      <xdr:col>14</xdr:col>
      <xdr:colOff>586744</xdr:colOff>
      <xdr:row>13</xdr:row>
      <xdr:rowOff>155994</xdr:rowOff>
    </xdr:to>
    <xdr:cxnSp macro="">
      <xdr:nvCxnSpPr>
        <xdr:cNvPr id="19" name="Straight Connector 18">
          <a:extLst>
            <a:ext uri="{FF2B5EF4-FFF2-40B4-BE49-F238E27FC236}">
              <a16:creationId xmlns:a16="http://schemas.microsoft.com/office/drawing/2014/main" id="{5EE48694-E290-4BA9-8A9E-1E2E3EDE4B1D}"/>
            </a:ext>
          </a:extLst>
        </xdr:cNvPr>
        <xdr:cNvCxnSpPr/>
      </xdr:nvCxnSpPr>
      <xdr:spPr>
        <a:xfrm flipV="1">
          <a:off x="8394947" y="244083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92541</xdr:colOff>
      <xdr:row>13</xdr:row>
      <xdr:rowOff>154837</xdr:rowOff>
    </xdr:from>
    <xdr:to>
      <xdr:col>16</xdr:col>
      <xdr:colOff>596489</xdr:colOff>
      <xdr:row>13</xdr:row>
      <xdr:rowOff>155994</xdr:rowOff>
    </xdr:to>
    <xdr:cxnSp macro="">
      <xdr:nvCxnSpPr>
        <xdr:cNvPr id="20" name="Straight Connector 19">
          <a:extLst>
            <a:ext uri="{FF2B5EF4-FFF2-40B4-BE49-F238E27FC236}">
              <a16:creationId xmlns:a16="http://schemas.microsoft.com/office/drawing/2014/main" id="{999F510A-3AC9-4340-A12D-4247B16AB1DD}"/>
            </a:ext>
          </a:extLst>
        </xdr:cNvPr>
        <xdr:cNvCxnSpPr/>
      </xdr:nvCxnSpPr>
      <xdr:spPr>
        <a:xfrm flipV="1">
          <a:off x="9623891" y="2440837"/>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81638</xdr:colOff>
      <xdr:row>13</xdr:row>
      <xdr:rowOff>154837</xdr:rowOff>
    </xdr:from>
    <xdr:to>
      <xdr:col>18</xdr:col>
      <xdr:colOff>585586</xdr:colOff>
      <xdr:row>13</xdr:row>
      <xdr:rowOff>155994</xdr:rowOff>
    </xdr:to>
    <xdr:cxnSp macro="">
      <xdr:nvCxnSpPr>
        <xdr:cNvPr id="21" name="Straight Connector 20">
          <a:extLst>
            <a:ext uri="{FF2B5EF4-FFF2-40B4-BE49-F238E27FC236}">
              <a16:creationId xmlns:a16="http://schemas.microsoft.com/office/drawing/2014/main" id="{73CC71ED-4F01-44B6-BEA4-8AF1D3982DB6}"/>
            </a:ext>
          </a:extLst>
        </xdr:cNvPr>
        <xdr:cNvCxnSpPr/>
      </xdr:nvCxnSpPr>
      <xdr:spPr>
        <a:xfrm flipV="1">
          <a:off x="10832188" y="2440837"/>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81505</xdr:colOff>
      <xdr:row>13</xdr:row>
      <xdr:rowOff>154837</xdr:rowOff>
    </xdr:from>
    <xdr:to>
      <xdr:col>20</xdr:col>
      <xdr:colOff>585453</xdr:colOff>
      <xdr:row>13</xdr:row>
      <xdr:rowOff>155994</xdr:rowOff>
    </xdr:to>
    <xdr:cxnSp macro="">
      <xdr:nvCxnSpPr>
        <xdr:cNvPr id="22" name="Straight Connector 21">
          <a:extLst>
            <a:ext uri="{FF2B5EF4-FFF2-40B4-BE49-F238E27FC236}">
              <a16:creationId xmlns:a16="http://schemas.microsoft.com/office/drawing/2014/main" id="{617C6C88-5FCD-4C12-A13E-942CBA1B6A2D}"/>
            </a:ext>
          </a:extLst>
        </xdr:cNvPr>
        <xdr:cNvCxnSpPr/>
      </xdr:nvCxnSpPr>
      <xdr:spPr>
        <a:xfrm flipV="1">
          <a:off x="12051255" y="2440837"/>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81981</xdr:colOff>
      <xdr:row>16</xdr:row>
      <xdr:rowOff>158334</xdr:rowOff>
    </xdr:from>
    <xdr:to>
      <xdr:col>10</xdr:col>
      <xdr:colOff>585928</xdr:colOff>
      <xdr:row>16</xdr:row>
      <xdr:rowOff>159491</xdr:rowOff>
    </xdr:to>
    <xdr:cxnSp macro="">
      <xdr:nvCxnSpPr>
        <xdr:cNvPr id="23" name="Straight Connector 22">
          <a:extLst>
            <a:ext uri="{FF2B5EF4-FFF2-40B4-BE49-F238E27FC236}">
              <a16:creationId xmlns:a16="http://schemas.microsoft.com/office/drawing/2014/main" id="{215FCEBE-4573-4659-ACEA-1D0911F8B0F6}"/>
            </a:ext>
          </a:extLst>
        </xdr:cNvPr>
        <xdr:cNvCxnSpPr/>
      </xdr:nvCxnSpPr>
      <xdr:spPr>
        <a:xfrm flipV="1">
          <a:off x="5955731" y="2996784"/>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84473</xdr:colOff>
      <xdr:row>16</xdr:row>
      <xdr:rowOff>158334</xdr:rowOff>
    </xdr:from>
    <xdr:to>
      <xdr:col>12</xdr:col>
      <xdr:colOff>588420</xdr:colOff>
      <xdr:row>16</xdr:row>
      <xdr:rowOff>159491</xdr:rowOff>
    </xdr:to>
    <xdr:cxnSp macro="">
      <xdr:nvCxnSpPr>
        <xdr:cNvPr id="24" name="Straight Connector 23">
          <a:extLst>
            <a:ext uri="{FF2B5EF4-FFF2-40B4-BE49-F238E27FC236}">
              <a16:creationId xmlns:a16="http://schemas.microsoft.com/office/drawing/2014/main" id="{39361F9A-6764-47D5-BD32-ED7DCD32D36F}"/>
            </a:ext>
          </a:extLst>
        </xdr:cNvPr>
        <xdr:cNvCxnSpPr/>
      </xdr:nvCxnSpPr>
      <xdr:spPr>
        <a:xfrm flipV="1">
          <a:off x="7177423" y="2996784"/>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82797</xdr:colOff>
      <xdr:row>16</xdr:row>
      <xdr:rowOff>158334</xdr:rowOff>
    </xdr:from>
    <xdr:to>
      <xdr:col>14</xdr:col>
      <xdr:colOff>586744</xdr:colOff>
      <xdr:row>16</xdr:row>
      <xdr:rowOff>159491</xdr:rowOff>
    </xdr:to>
    <xdr:cxnSp macro="">
      <xdr:nvCxnSpPr>
        <xdr:cNvPr id="25" name="Straight Connector 24">
          <a:extLst>
            <a:ext uri="{FF2B5EF4-FFF2-40B4-BE49-F238E27FC236}">
              <a16:creationId xmlns:a16="http://schemas.microsoft.com/office/drawing/2014/main" id="{9AD7150D-0E78-4DE0-8C4C-E62E62795CA4}"/>
            </a:ext>
          </a:extLst>
        </xdr:cNvPr>
        <xdr:cNvCxnSpPr/>
      </xdr:nvCxnSpPr>
      <xdr:spPr>
        <a:xfrm flipV="1">
          <a:off x="8394947" y="2996784"/>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75886</xdr:colOff>
      <xdr:row>16</xdr:row>
      <xdr:rowOff>158334</xdr:rowOff>
    </xdr:from>
    <xdr:to>
      <xdr:col>16</xdr:col>
      <xdr:colOff>579834</xdr:colOff>
      <xdr:row>16</xdr:row>
      <xdr:rowOff>159491</xdr:rowOff>
    </xdr:to>
    <xdr:cxnSp macro="">
      <xdr:nvCxnSpPr>
        <xdr:cNvPr id="26" name="Straight Connector 25">
          <a:extLst>
            <a:ext uri="{FF2B5EF4-FFF2-40B4-BE49-F238E27FC236}">
              <a16:creationId xmlns:a16="http://schemas.microsoft.com/office/drawing/2014/main" id="{41F96C99-02AA-4704-9789-283D68793DF6}"/>
            </a:ext>
          </a:extLst>
        </xdr:cNvPr>
        <xdr:cNvCxnSpPr/>
      </xdr:nvCxnSpPr>
      <xdr:spPr>
        <a:xfrm flipV="1">
          <a:off x="9607236" y="299678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81638</xdr:colOff>
      <xdr:row>16</xdr:row>
      <xdr:rowOff>158334</xdr:rowOff>
    </xdr:from>
    <xdr:to>
      <xdr:col>18</xdr:col>
      <xdr:colOff>585586</xdr:colOff>
      <xdr:row>16</xdr:row>
      <xdr:rowOff>159491</xdr:rowOff>
    </xdr:to>
    <xdr:cxnSp macro="">
      <xdr:nvCxnSpPr>
        <xdr:cNvPr id="27" name="Straight Connector 26">
          <a:extLst>
            <a:ext uri="{FF2B5EF4-FFF2-40B4-BE49-F238E27FC236}">
              <a16:creationId xmlns:a16="http://schemas.microsoft.com/office/drawing/2014/main" id="{C6F2652B-117B-4983-8CB4-05D1F0EFFC9E}"/>
            </a:ext>
          </a:extLst>
        </xdr:cNvPr>
        <xdr:cNvCxnSpPr/>
      </xdr:nvCxnSpPr>
      <xdr:spPr>
        <a:xfrm flipV="1">
          <a:off x="10832188" y="299678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81505</xdr:colOff>
      <xdr:row>16</xdr:row>
      <xdr:rowOff>158334</xdr:rowOff>
    </xdr:from>
    <xdr:to>
      <xdr:col>20</xdr:col>
      <xdr:colOff>585453</xdr:colOff>
      <xdr:row>16</xdr:row>
      <xdr:rowOff>159491</xdr:rowOff>
    </xdr:to>
    <xdr:cxnSp macro="">
      <xdr:nvCxnSpPr>
        <xdr:cNvPr id="28" name="Straight Connector 27">
          <a:extLst>
            <a:ext uri="{FF2B5EF4-FFF2-40B4-BE49-F238E27FC236}">
              <a16:creationId xmlns:a16="http://schemas.microsoft.com/office/drawing/2014/main" id="{559BD483-A57D-473B-8EAB-2D7DBE85AC67}"/>
            </a:ext>
          </a:extLst>
        </xdr:cNvPr>
        <xdr:cNvCxnSpPr/>
      </xdr:nvCxnSpPr>
      <xdr:spPr>
        <a:xfrm flipV="1">
          <a:off x="12051255" y="299678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81981</xdr:colOff>
      <xdr:row>18</xdr:row>
      <xdr:rowOff>166215</xdr:rowOff>
    </xdr:from>
    <xdr:to>
      <xdr:col>10</xdr:col>
      <xdr:colOff>585928</xdr:colOff>
      <xdr:row>18</xdr:row>
      <xdr:rowOff>167372</xdr:rowOff>
    </xdr:to>
    <xdr:cxnSp macro="">
      <xdr:nvCxnSpPr>
        <xdr:cNvPr id="29" name="Straight Connector 28">
          <a:extLst>
            <a:ext uri="{FF2B5EF4-FFF2-40B4-BE49-F238E27FC236}">
              <a16:creationId xmlns:a16="http://schemas.microsoft.com/office/drawing/2014/main" id="{99230884-0D03-49A0-881A-F91DB3A362A9}"/>
            </a:ext>
          </a:extLst>
        </xdr:cNvPr>
        <xdr:cNvCxnSpPr/>
      </xdr:nvCxnSpPr>
      <xdr:spPr>
        <a:xfrm flipV="1">
          <a:off x="5955731" y="337296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84473</xdr:colOff>
      <xdr:row>18</xdr:row>
      <xdr:rowOff>166215</xdr:rowOff>
    </xdr:from>
    <xdr:to>
      <xdr:col>12</xdr:col>
      <xdr:colOff>588420</xdr:colOff>
      <xdr:row>18</xdr:row>
      <xdr:rowOff>167372</xdr:rowOff>
    </xdr:to>
    <xdr:cxnSp macro="">
      <xdr:nvCxnSpPr>
        <xdr:cNvPr id="30" name="Straight Connector 29">
          <a:extLst>
            <a:ext uri="{FF2B5EF4-FFF2-40B4-BE49-F238E27FC236}">
              <a16:creationId xmlns:a16="http://schemas.microsoft.com/office/drawing/2014/main" id="{97FED8E8-8F84-4C27-84B7-A789BA77AA5A}"/>
            </a:ext>
          </a:extLst>
        </xdr:cNvPr>
        <xdr:cNvCxnSpPr/>
      </xdr:nvCxnSpPr>
      <xdr:spPr>
        <a:xfrm flipV="1">
          <a:off x="7177423" y="337296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82797</xdr:colOff>
      <xdr:row>18</xdr:row>
      <xdr:rowOff>166215</xdr:rowOff>
    </xdr:from>
    <xdr:to>
      <xdr:col>14</xdr:col>
      <xdr:colOff>586744</xdr:colOff>
      <xdr:row>18</xdr:row>
      <xdr:rowOff>167372</xdr:rowOff>
    </xdr:to>
    <xdr:cxnSp macro="">
      <xdr:nvCxnSpPr>
        <xdr:cNvPr id="31" name="Straight Connector 30">
          <a:extLst>
            <a:ext uri="{FF2B5EF4-FFF2-40B4-BE49-F238E27FC236}">
              <a16:creationId xmlns:a16="http://schemas.microsoft.com/office/drawing/2014/main" id="{3E4CAEA0-F08A-4F96-965A-22FC985180B6}"/>
            </a:ext>
          </a:extLst>
        </xdr:cNvPr>
        <xdr:cNvCxnSpPr/>
      </xdr:nvCxnSpPr>
      <xdr:spPr>
        <a:xfrm flipV="1">
          <a:off x="8394947" y="337296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92941</xdr:colOff>
      <xdr:row>18</xdr:row>
      <xdr:rowOff>166215</xdr:rowOff>
    </xdr:from>
    <xdr:to>
      <xdr:col>16</xdr:col>
      <xdr:colOff>596889</xdr:colOff>
      <xdr:row>18</xdr:row>
      <xdr:rowOff>167372</xdr:rowOff>
    </xdr:to>
    <xdr:cxnSp macro="">
      <xdr:nvCxnSpPr>
        <xdr:cNvPr id="32" name="Straight Connector 31">
          <a:extLst>
            <a:ext uri="{FF2B5EF4-FFF2-40B4-BE49-F238E27FC236}">
              <a16:creationId xmlns:a16="http://schemas.microsoft.com/office/drawing/2014/main" id="{A3C3FA03-B7AF-4E9E-84A6-694C05147EA1}"/>
            </a:ext>
          </a:extLst>
        </xdr:cNvPr>
        <xdr:cNvCxnSpPr/>
      </xdr:nvCxnSpPr>
      <xdr:spPr>
        <a:xfrm flipV="1">
          <a:off x="9624291" y="3372965"/>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81638</xdr:colOff>
      <xdr:row>18</xdr:row>
      <xdr:rowOff>166215</xdr:rowOff>
    </xdr:from>
    <xdr:to>
      <xdr:col>18</xdr:col>
      <xdr:colOff>585586</xdr:colOff>
      <xdr:row>18</xdr:row>
      <xdr:rowOff>167372</xdr:rowOff>
    </xdr:to>
    <xdr:cxnSp macro="">
      <xdr:nvCxnSpPr>
        <xdr:cNvPr id="33" name="Straight Connector 32">
          <a:extLst>
            <a:ext uri="{FF2B5EF4-FFF2-40B4-BE49-F238E27FC236}">
              <a16:creationId xmlns:a16="http://schemas.microsoft.com/office/drawing/2014/main" id="{A6369E59-9E21-4743-8A2F-4BDDAD755564}"/>
            </a:ext>
          </a:extLst>
        </xdr:cNvPr>
        <xdr:cNvCxnSpPr/>
      </xdr:nvCxnSpPr>
      <xdr:spPr>
        <a:xfrm flipV="1">
          <a:off x="10832188" y="3372965"/>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81505</xdr:colOff>
      <xdr:row>18</xdr:row>
      <xdr:rowOff>166215</xdr:rowOff>
    </xdr:from>
    <xdr:to>
      <xdr:col>20</xdr:col>
      <xdr:colOff>585453</xdr:colOff>
      <xdr:row>18</xdr:row>
      <xdr:rowOff>167372</xdr:rowOff>
    </xdr:to>
    <xdr:cxnSp macro="">
      <xdr:nvCxnSpPr>
        <xdr:cNvPr id="34" name="Straight Connector 33">
          <a:extLst>
            <a:ext uri="{FF2B5EF4-FFF2-40B4-BE49-F238E27FC236}">
              <a16:creationId xmlns:a16="http://schemas.microsoft.com/office/drawing/2014/main" id="{40B8426D-93E9-4922-A2A0-C65C8D9E1E06}"/>
            </a:ext>
          </a:extLst>
        </xdr:cNvPr>
        <xdr:cNvCxnSpPr/>
      </xdr:nvCxnSpPr>
      <xdr:spPr>
        <a:xfrm flipV="1">
          <a:off x="12051255" y="3372965"/>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96981</xdr:colOff>
      <xdr:row>23</xdr:row>
      <xdr:rowOff>152197</xdr:rowOff>
    </xdr:from>
    <xdr:to>
      <xdr:col>10</xdr:col>
      <xdr:colOff>600928</xdr:colOff>
      <xdr:row>23</xdr:row>
      <xdr:rowOff>153354</xdr:rowOff>
    </xdr:to>
    <xdr:cxnSp macro="">
      <xdr:nvCxnSpPr>
        <xdr:cNvPr id="35" name="Straight Connector 34">
          <a:extLst>
            <a:ext uri="{FF2B5EF4-FFF2-40B4-BE49-F238E27FC236}">
              <a16:creationId xmlns:a16="http://schemas.microsoft.com/office/drawing/2014/main" id="{9972C94C-1BE4-4A8A-8EBC-4E7DB55D080F}"/>
            </a:ext>
          </a:extLst>
        </xdr:cNvPr>
        <xdr:cNvCxnSpPr/>
      </xdr:nvCxnSpPr>
      <xdr:spPr>
        <a:xfrm flipV="1">
          <a:off x="5970731" y="414634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99035</xdr:colOff>
      <xdr:row>23</xdr:row>
      <xdr:rowOff>152197</xdr:rowOff>
    </xdr:from>
    <xdr:to>
      <xdr:col>12</xdr:col>
      <xdr:colOff>603858</xdr:colOff>
      <xdr:row>23</xdr:row>
      <xdr:rowOff>153354</xdr:rowOff>
    </xdr:to>
    <xdr:cxnSp macro="">
      <xdr:nvCxnSpPr>
        <xdr:cNvPr id="36" name="Straight Connector 35">
          <a:extLst>
            <a:ext uri="{FF2B5EF4-FFF2-40B4-BE49-F238E27FC236}">
              <a16:creationId xmlns:a16="http://schemas.microsoft.com/office/drawing/2014/main" id="{54F0324E-0C05-46E2-8EEF-D6786DBFAF21}"/>
            </a:ext>
          </a:extLst>
        </xdr:cNvPr>
        <xdr:cNvCxnSpPr/>
      </xdr:nvCxnSpPr>
      <xdr:spPr>
        <a:xfrm flipV="1">
          <a:off x="7191985" y="4146347"/>
          <a:ext cx="1114423"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97360</xdr:colOff>
      <xdr:row>23</xdr:row>
      <xdr:rowOff>152197</xdr:rowOff>
    </xdr:from>
    <xdr:to>
      <xdr:col>14</xdr:col>
      <xdr:colOff>602182</xdr:colOff>
      <xdr:row>23</xdr:row>
      <xdr:rowOff>153354</xdr:rowOff>
    </xdr:to>
    <xdr:cxnSp macro="">
      <xdr:nvCxnSpPr>
        <xdr:cNvPr id="37" name="Straight Connector 36">
          <a:extLst>
            <a:ext uri="{FF2B5EF4-FFF2-40B4-BE49-F238E27FC236}">
              <a16:creationId xmlns:a16="http://schemas.microsoft.com/office/drawing/2014/main" id="{EC3D861F-E496-4483-ACE3-4AB32827B096}"/>
            </a:ext>
          </a:extLst>
        </xdr:cNvPr>
        <xdr:cNvCxnSpPr/>
      </xdr:nvCxnSpPr>
      <xdr:spPr>
        <a:xfrm flipV="1">
          <a:off x="8409510" y="4146347"/>
          <a:ext cx="1114422"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107963</xdr:colOff>
      <xdr:row>23</xdr:row>
      <xdr:rowOff>152197</xdr:rowOff>
    </xdr:from>
    <xdr:to>
      <xdr:col>17</xdr:col>
      <xdr:colOff>1866</xdr:colOff>
      <xdr:row>23</xdr:row>
      <xdr:rowOff>153354</xdr:rowOff>
    </xdr:to>
    <xdr:cxnSp macro="">
      <xdr:nvCxnSpPr>
        <xdr:cNvPr id="38" name="Straight Connector 37">
          <a:extLst>
            <a:ext uri="{FF2B5EF4-FFF2-40B4-BE49-F238E27FC236}">
              <a16:creationId xmlns:a16="http://schemas.microsoft.com/office/drawing/2014/main" id="{2472E82E-93DA-43E0-B675-55FE8C3B3BBF}"/>
            </a:ext>
          </a:extLst>
        </xdr:cNvPr>
        <xdr:cNvCxnSpPr/>
      </xdr:nvCxnSpPr>
      <xdr:spPr>
        <a:xfrm flipV="1">
          <a:off x="9639313" y="4146347"/>
          <a:ext cx="1113103"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96661</xdr:colOff>
      <xdr:row>23</xdr:row>
      <xdr:rowOff>152197</xdr:rowOff>
    </xdr:from>
    <xdr:to>
      <xdr:col>18</xdr:col>
      <xdr:colOff>600563</xdr:colOff>
      <xdr:row>23</xdr:row>
      <xdr:rowOff>153354</xdr:rowOff>
    </xdr:to>
    <xdr:cxnSp macro="">
      <xdr:nvCxnSpPr>
        <xdr:cNvPr id="39" name="Straight Connector 38">
          <a:extLst>
            <a:ext uri="{FF2B5EF4-FFF2-40B4-BE49-F238E27FC236}">
              <a16:creationId xmlns:a16="http://schemas.microsoft.com/office/drawing/2014/main" id="{CADD8B8B-FBA0-4533-810F-60219D6A5393}"/>
            </a:ext>
          </a:extLst>
        </xdr:cNvPr>
        <xdr:cNvCxnSpPr/>
      </xdr:nvCxnSpPr>
      <xdr:spPr>
        <a:xfrm flipV="1">
          <a:off x="10847211" y="4146347"/>
          <a:ext cx="1113502"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81527</xdr:colOff>
      <xdr:row>23</xdr:row>
      <xdr:rowOff>152197</xdr:rowOff>
    </xdr:from>
    <xdr:to>
      <xdr:col>20</xdr:col>
      <xdr:colOff>585430</xdr:colOff>
      <xdr:row>23</xdr:row>
      <xdr:rowOff>153354</xdr:rowOff>
    </xdr:to>
    <xdr:cxnSp macro="">
      <xdr:nvCxnSpPr>
        <xdr:cNvPr id="40" name="Straight Connector 39">
          <a:extLst>
            <a:ext uri="{FF2B5EF4-FFF2-40B4-BE49-F238E27FC236}">
              <a16:creationId xmlns:a16="http://schemas.microsoft.com/office/drawing/2014/main" id="{731A0571-514B-42DE-8A31-B4F6FC33F84A}"/>
            </a:ext>
          </a:extLst>
        </xdr:cNvPr>
        <xdr:cNvCxnSpPr/>
      </xdr:nvCxnSpPr>
      <xdr:spPr>
        <a:xfrm flipV="1">
          <a:off x="12051277" y="4146347"/>
          <a:ext cx="1113503"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81981</xdr:colOff>
      <xdr:row>24</xdr:row>
      <xdr:rowOff>191437</xdr:rowOff>
    </xdr:from>
    <xdr:to>
      <xdr:col>10</xdr:col>
      <xdr:colOff>585928</xdr:colOff>
      <xdr:row>24</xdr:row>
      <xdr:rowOff>192594</xdr:rowOff>
    </xdr:to>
    <xdr:cxnSp macro="">
      <xdr:nvCxnSpPr>
        <xdr:cNvPr id="41" name="Straight Connector 40">
          <a:extLst>
            <a:ext uri="{FF2B5EF4-FFF2-40B4-BE49-F238E27FC236}">
              <a16:creationId xmlns:a16="http://schemas.microsoft.com/office/drawing/2014/main" id="{43E76DC4-92F9-4A9C-BE0C-B57E97341A8B}"/>
            </a:ext>
          </a:extLst>
        </xdr:cNvPr>
        <xdr:cNvCxnSpPr/>
      </xdr:nvCxnSpPr>
      <xdr:spPr>
        <a:xfrm flipV="1">
          <a:off x="5955731" y="436338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84473</xdr:colOff>
      <xdr:row>24</xdr:row>
      <xdr:rowOff>191437</xdr:rowOff>
    </xdr:from>
    <xdr:to>
      <xdr:col>12</xdr:col>
      <xdr:colOff>588420</xdr:colOff>
      <xdr:row>24</xdr:row>
      <xdr:rowOff>192594</xdr:rowOff>
    </xdr:to>
    <xdr:cxnSp macro="">
      <xdr:nvCxnSpPr>
        <xdr:cNvPr id="42" name="Straight Connector 41">
          <a:extLst>
            <a:ext uri="{FF2B5EF4-FFF2-40B4-BE49-F238E27FC236}">
              <a16:creationId xmlns:a16="http://schemas.microsoft.com/office/drawing/2014/main" id="{240EFE27-90C3-444C-A382-EE36FAAB7570}"/>
            </a:ext>
          </a:extLst>
        </xdr:cNvPr>
        <xdr:cNvCxnSpPr/>
      </xdr:nvCxnSpPr>
      <xdr:spPr>
        <a:xfrm flipV="1">
          <a:off x="7177423" y="436338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82797</xdr:colOff>
      <xdr:row>24</xdr:row>
      <xdr:rowOff>191437</xdr:rowOff>
    </xdr:from>
    <xdr:to>
      <xdr:col>14</xdr:col>
      <xdr:colOff>586744</xdr:colOff>
      <xdr:row>24</xdr:row>
      <xdr:rowOff>192594</xdr:rowOff>
    </xdr:to>
    <xdr:cxnSp macro="">
      <xdr:nvCxnSpPr>
        <xdr:cNvPr id="43" name="Straight Connector 42">
          <a:extLst>
            <a:ext uri="{FF2B5EF4-FFF2-40B4-BE49-F238E27FC236}">
              <a16:creationId xmlns:a16="http://schemas.microsoft.com/office/drawing/2014/main" id="{43F4FA56-157C-4162-A279-FBC76CC4FE57}"/>
            </a:ext>
          </a:extLst>
        </xdr:cNvPr>
        <xdr:cNvCxnSpPr/>
      </xdr:nvCxnSpPr>
      <xdr:spPr>
        <a:xfrm flipV="1">
          <a:off x="8394947" y="436338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92941</xdr:colOff>
      <xdr:row>24</xdr:row>
      <xdr:rowOff>191437</xdr:rowOff>
    </xdr:from>
    <xdr:to>
      <xdr:col>16</xdr:col>
      <xdr:colOff>596889</xdr:colOff>
      <xdr:row>24</xdr:row>
      <xdr:rowOff>192594</xdr:rowOff>
    </xdr:to>
    <xdr:cxnSp macro="">
      <xdr:nvCxnSpPr>
        <xdr:cNvPr id="44" name="Straight Connector 43">
          <a:extLst>
            <a:ext uri="{FF2B5EF4-FFF2-40B4-BE49-F238E27FC236}">
              <a16:creationId xmlns:a16="http://schemas.microsoft.com/office/drawing/2014/main" id="{A1DA09F1-4B5A-40C4-A274-8A8ECAEEC015}"/>
            </a:ext>
          </a:extLst>
        </xdr:cNvPr>
        <xdr:cNvCxnSpPr/>
      </xdr:nvCxnSpPr>
      <xdr:spPr>
        <a:xfrm flipV="1">
          <a:off x="9624291" y="4363387"/>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81638</xdr:colOff>
      <xdr:row>24</xdr:row>
      <xdr:rowOff>191437</xdr:rowOff>
    </xdr:from>
    <xdr:to>
      <xdr:col>18</xdr:col>
      <xdr:colOff>585586</xdr:colOff>
      <xdr:row>24</xdr:row>
      <xdr:rowOff>192594</xdr:rowOff>
    </xdr:to>
    <xdr:cxnSp macro="">
      <xdr:nvCxnSpPr>
        <xdr:cNvPr id="45" name="Straight Connector 44">
          <a:extLst>
            <a:ext uri="{FF2B5EF4-FFF2-40B4-BE49-F238E27FC236}">
              <a16:creationId xmlns:a16="http://schemas.microsoft.com/office/drawing/2014/main" id="{4E80DE7E-66D7-45CA-8426-79EDA6A60FF5}"/>
            </a:ext>
          </a:extLst>
        </xdr:cNvPr>
        <xdr:cNvCxnSpPr/>
      </xdr:nvCxnSpPr>
      <xdr:spPr>
        <a:xfrm flipV="1">
          <a:off x="10832188" y="4363387"/>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81505</xdr:colOff>
      <xdr:row>24</xdr:row>
      <xdr:rowOff>191437</xdr:rowOff>
    </xdr:from>
    <xdr:to>
      <xdr:col>20</xdr:col>
      <xdr:colOff>585453</xdr:colOff>
      <xdr:row>24</xdr:row>
      <xdr:rowOff>192594</xdr:rowOff>
    </xdr:to>
    <xdr:cxnSp macro="">
      <xdr:nvCxnSpPr>
        <xdr:cNvPr id="46" name="Straight Connector 45">
          <a:extLst>
            <a:ext uri="{FF2B5EF4-FFF2-40B4-BE49-F238E27FC236}">
              <a16:creationId xmlns:a16="http://schemas.microsoft.com/office/drawing/2014/main" id="{EBC9D781-2C6F-45DF-8EFE-EA97EEE851F9}"/>
            </a:ext>
          </a:extLst>
        </xdr:cNvPr>
        <xdr:cNvCxnSpPr/>
      </xdr:nvCxnSpPr>
      <xdr:spPr>
        <a:xfrm flipV="1">
          <a:off x="12051255" y="4363387"/>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81981</xdr:colOff>
      <xdr:row>25</xdr:row>
      <xdr:rowOff>5545</xdr:rowOff>
    </xdr:from>
    <xdr:to>
      <xdr:col>10</xdr:col>
      <xdr:colOff>585928</xdr:colOff>
      <xdr:row>25</xdr:row>
      <xdr:rowOff>6702</xdr:rowOff>
    </xdr:to>
    <xdr:cxnSp macro="">
      <xdr:nvCxnSpPr>
        <xdr:cNvPr id="47" name="Straight Connector 46">
          <a:extLst>
            <a:ext uri="{FF2B5EF4-FFF2-40B4-BE49-F238E27FC236}">
              <a16:creationId xmlns:a16="http://schemas.microsoft.com/office/drawing/2014/main" id="{ABC354E1-D6A6-4594-B628-C662F4876A69}"/>
            </a:ext>
          </a:extLst>
        </xdr:cNvPr>
        <xdr:cNvCxnSpPr/>
      </xdr:nvCxnSpPr>
      <xdr:spPr>
        <a:xfrm flipV="1">
          <a:off x="5955731" y="436799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84473</xdr:colOff>
      <xdr:row>25</xdr:row>
      <xdr:rowOff>5545</xdr:rowOff>
    </xdr:from>
    <xdr:to>
      <xdr:col>12</xdr:col>
      <xdr:colOff>588420</xdr:colOff>
      <xdr:row>25</xdr:row>
      <xdr:rowOff>6702</xdr:rowOff>
    </xdr:to>
    <xdr:cxnSp macro="">
      <xdr:nvCxnSpPr>
        <xdr:cNvPr id="48" name="Straight Connector 47">
          <a:extLst>
            <a:ext uri="{FF2B5EF4-FFF2-40B4-BE49-F238E27FC236}">
              <a16:creationId xmlns:a16="http://schemas.microsoft.com/office/drawing/2014/main" id="{151C5545-9E95-4518-AF90-0026E2AF1137}"/>
            </a:ext>
          </a:extLst>
        </xdr:cNvPr>
        <xdr:cNvCxnSpPr/>
      </xdr:nvCxnSpPr>
      <xdr:spPr>
        <a:xfrm flipV="1">
          <a:off x="7177423" y="436799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82797</xdr:colOff>
      <xdr:row>25</xdr:row>
      <xdr:rowOff>5545</xdr:rowOff>
    </xdr:from>
    <xdr:to>
      <xdr:col>14</xdr:col>
      <xdr:colOff>586744</xdr:colOff>
      <xdr:row>25</xdr:row>
      <xdr:rowOff>6702</xdr:rowOff>
    </xdr:to>
    <xdr:cxnSp macro="">
      <xdr:nvCxnSpPr>
        <xdr:cNvPr id="49" name="Straight Connector 48">
          <a:extLst>
            <a:ext uri="{FF2B5EF4-FFF2-40B4-BE49-F238E27FC236}">
              <a16:creationId xmlns:a16="http://schemas.microsoft.com/office/drawing/2014/main" id="{E7388B96-F8FC-462C-8EFA-46956DE9D1FA}"/>
            </a:ext>
          </a:extLst>
        </xdr:cNvPr>
        <xdr:cNvCxnSpPr/>
      </xdr:nvCxnSpPr>
      <xdr:spPr>
        <a:xfrm flipV="1">
          <a:off x="8394947" y="436799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92941</xdr:colOff>
      <xdr:row>25</xdr:row>
      <xdr:rowOff>5545</xdr:rowOff>
    </xdr:from>
    <xdr:to>
      <xdr:col>16</xdr:col>
      <xdr:colOff>596889</xdr:colOff>
      <xdr:row>25</xdr:row>
      <xdr:rowOff>6702</xdr:rowOff>
    </xdr:to>
    <xdr:cxnSp macro="">
      <xdr:nvCxnSpPr>
        <xdr:cNvPr id="50" name="Straight Connector 49">
          <a:extLst>
            <a:ext uri="{FF2B5EF4-FFF2-40B4-BE49-F238E27FC236}">
              <a16:creationId xmlns:a16="http://schemas.microsoft.com/office/drawing/2014/main" id="{64A1009B-B8A7-432B-BCAF-71A8C152523E}"/>
            </a:ext>
          </a:extLst>
        </xdr:cNvPr>
        <xdr:cNvCxnSpPr/>
      </xdr:nvCxnSpPr>
      <xdr:spPr>
        <a:xfrm flipV="1">
          <a:off x="9624291" y="4367995"/>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81638</xdr:colOff>
      <xdr:row>25</xdr:row>
      <xdr:rowOff>5545</xdr:rowOff>
    </xdr:from>
    <xdr:to>
      <xdr:col>18</xdr:col>
      <xdr:colOff>585586</xdr:colOff>
      <xdr:row>25</xdr:row>
      <xdr:rowOff>6702</xdr:rowOff>
    </xdr:to>
    <xdr:cxnSp macro="">
      <xdr:nvCxnSpPr>
        <xdr:cNvPr id="51" name="Straight Connector 50">
          <a:extLst>
            <a:ext uri="{FF2B5EF4-FFF2-40B4-BE49-F238E27FC236}">
              <a16:creationId xmlns:a16="http://schemas.microsoft.com/office/drawing/2014/main" id="{CBCAED3B-8BCB-4903-9CD0-325ECDC333AA}"/>
            </a:ext>
          </a:extLst>
        </xdr:cNvPr>
        <xdr:cNvCxnSpPr/>
      </xdr:nvCxnSpPr>
      <xdr:spPr>
        <a:xfrm flipV="1">
          <a:off x="10832188" y="4367995"/>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81505</xdr:colOff>
      <xdr:row>25</xdr:row>
      <xdr:rowOff>5545</xdr:rowOff>
    </xdr:from>
    <xdr:to>
      <xdr:col>20</xdr:col>
      <xdr:colOff>585453</xdr:colOff>
      <xdr:row>25</xdr:row>
      <xdr:rowOff>6702</xdr:rowOff>
    </xdr:to>
    <xdr:cxnSp macro="">
      <xdr:nvCxnSpPr>
        <xdr:cNvPr id="52" name="Straight Connector 51">
          <a:extLst>
            <a:ext uri="{FF2B5EF4-FFF2-40B4-BE49-F238E27FC236}">
              <a16:creationId xmlns:a16="http://schemas.microsoft.com/office/drawing/2014/main" id="{56B2EB60-AC97-43B3-B931-E1C6793C9C59}"/>
            </a:ext>
          </a:extLst>
        </xdr:cNvPr>
        <xdr:cNvCxnSpPr/>
      </xdr:nvCxnSpPr>
      <xdr:spPr>
        <a:xfrm flipV="1">
          <a:off x="12051255" y="4367995"/>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66609</xdr:colOff>
      <xdr:row>10</xdr:row>
      <xdr:rowOff>179312</xdr:rowOff>
    </xdr:from>
    <xdr:to>
      <xdr:col>14</xdr:col>
      <xdr:colOff>581713</xdr:colOff>
      <xdr:row>10</xdr:row>
      <xdr:rowOff>179312</xdr:rowOff>
    </xdr:to>
    <xdr:cxnSp macro="">
      <xdr:nvCxnSpPr>
        <xdr:cNvPr id="53" name="Straight Connector 52">
          <a:extLst>
            <a:ext uri="{FF2B5EF4-FFF2-40B4-BE49-F238E27FC236}">
              <a16:creationId xmlns:a16="http://schemas.microsoft.com/office/drawing/2014/main" id="{4E77056D-2303-4D12-840B-4DBE4704B81B}"/>
            </a:ext>
          </a:extLst>
        </xdr:cNvPr>
        <xdr:cNvCxnSpPr/>
      </xdr:nvCxnSpPr>
      <xdr:spPr>
        <a:xfrm>
          <a:off x="5940359" y="1906512"/>
          <a:ext cx="3563104"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9641</xdr:colOff>
      <xdr:row>31</xdr:row>
      <xdr:rowOff>163361</xdr:rowOff>
    </xdr:from>
    <xdr:to>
      <xdr:col>21</xdr:col>
      <xdr:colOff>41413</xdr:colOff>
      <xdr:row>31</xdr:row>
      <xdr:rowOff>163361</xdr:rowOff>
    </xdr:to>
    <xdr:cxnSp macro="">
      <xdr:nvCxnSpPr>
        <xdr:cNvPr id="54" name="Straight Connector 53">
          <a:extLst>
            <a:ext uri="{FF2B5EF4-FFF2-40B4-BE49-F238E27FC236}">
              <a16:creationId xmlns:a16="http://schemas.microsoft.com/office/drawing/2014/main" id="{53CAF4B1-8DC4-4F4B-A7E8-5C4B1AAF6DCF}"/>
            </a:ext>
          </a:extLst>
        </xdr:cNvPr>
        <xdr:cNvCxnSpPr/>
      </xdr:nvCxnSpPr>
      <xdr:spPr>
        <a:xfrm>
          <a:off x="4054591" y="5637061"/>
          <a:ext cx="9175772" cy="0"/>
        </a:xfrm>
        <a:prstGeom prst="line">
          <a:avLst/>
        </a:prstGeom>
        <a:ln w="12700">
          <a:solidFill>
            <a:schemeClr val="bg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76881</xdr:colOff>
      <xdr:row>33</xdr:row>
      <xdr:rowOff>162327</xdr:rowOff>
    </xdr:from>
    <xdr:to>
      <xdr:col>10</xdr:col>
      <xdr:colOff>580828</xdr:colOff>
      <xdr:row>33</xdr:row>
      <xdr:rowOff>163484</xdr:rowOff>
    </xdr:to>
    <xdr:cxnSp macro="">
      <xdr:nvCxnSpPr>
        <xdr:cNvPr id="55" name="Straight Connector 54">
          <a:extLst>
            <a:ext uri="{FF2B5EF4-FFF2-40B4-BE49-F238E27FC236}">
              <a16:creationId xmlns:a16="http://schemas.microsoft.com/office/drawing/2014/main" id="{A5A27637-2251-4576-AE0B-BD2F9E7E3956}"/>
            </a:ext>
          </a:extLst>
        </xdr:cNvPr>
        <xdr:cNvCxnSpPr/>
      </xdr:nvCxnSpPr>
      <xdr:spPr>
        <a:xfrm flipV="1">
          <a:off x="5950631" y="601067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78935</xdr:colOff>
      <xdr:row>33</xdr:row>
      <xdr:rowOff>162327</xdr:rowOff>
    </xdr:from>
    <xdr:to>
      <xdr:col>12</xdr:col>
      <xdr:colOff>583758</xdr:colOff>
      <xdr:row>33</xdr:row>
      <xdr:rowOff>163484</xdr:rowOff>
    </xdr:to>
    <xdr:cxnSp macro="">
      <xdr:nvCxnSpPr>
        <xdr:cNvPr id="56" name="Straight Connector 55">
          <a:extLst>
            <a:ext uri="{FF2B5EF4-FFF2-40B4-BE49-F238E27FC236}">
              <a16:creationId xmlns:a16="http://schemas.microsoft.com/office/drawing/2014/main" id="{E9EE861B-EE13-4E40-9839-893F23256251}"/>
            </a:ext>
          </a:extLst>
        </xdr:cNvPr>
        <xdr:cNvCxnSpPr/>
      </xdr:nvCxnSpPr>
      <xdr:spPr>
        <a:xfrm flipV="1">
          <a:off x="7171885" y="6010677"/>
          <a:ext cx="1114423"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77260</xdr:colOff>
      <xdr:row>33</xdr:row>
      <xdr:rowOff>162327</xdr:rowOff>
    </xdr:from>
    <xdr:to>
      <xdr:col>14</xdr:col>
      <xdr:colOff>582082</xdr:colOff>
      <xdr:row>33</xdr:row>
      <xdr:rowOff>163484</xdr:rowOff>
    </xdr:to>
    <xdr:cxnSp macro="">
      <xdr:nvCxnSpPr>
        <xdr:cNvPr id="57" name="Straight Connector 56">
          <a:extLst>
            <a:ext uri="{FF2B5EF4-FFF2-40B4-BE49-F238E27FC236}">
              <a16:creationId xmlns:a16="http://schemas.microsoft.com/office/drawing/2014/main" id="{ACF95E81-8AF5-47FF-8143-F472C320DED4}"/>
            </a:ext>
          </a:extLst>
        </xdr:cNvPr>
        <xdr:cNvCxnSpPr/>
      </xdr:nvCxnSpPr>
      <xdr:spPr>
        <a:xfrm flipV="1">
          <a:off x="8389410" y="6010677"/>
          <a:ext cx="1114422"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87863</xdr:colOff>
      <xdr:row>33</xdr:row>
      <xdr:rowOff>162327</xdr:rowOff>
    </xdr:from>
    <xdr:to>
      <xdr:col>16</xdr:col>
      <xdr:colOff>591766</xdr:colOff>
      <xdr:row>33</xdr:row>
      <xdr:rowOff>163484</xdr:rowOff>
    </xdr:to>
    <xdr:cxnSp macro="">
      <xdr:nvCxnSpPr>
        <xdr:cNvPr id="58" name="Straight Connector 57">
          <a:extLst>
            <a:ext uri="{FF2B5EF4-FFF2-40B4-BE49-F238E27FC236}">
              <a16:creationId xmlns:a16="http://schemas.microsoft.com/office/drawing/2014/main" id="{F7247BA4-0A56-4D75-954D-0B63F1955268}"/>
            </a:ext>
          </a:extLst>
        </xdr:cNvPr>
        <xdr:cNvCxnSpPr/>
      </xdr:nvCxnSpPr>
      <xdr:spPr>
        <a:xfrm flipV="1">
          <a:off x="9619213" y="6010677"/>
          <a:ext cx="1113503"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76561</xdr:colOff>
      <xdr:row>33</xdr:row>
      <xdr:rowOff>162327</xdr:rowOff>
    </xdr:from>
    <xdr:to>
      <xdr:col>18</xdr:col>
      <xdr:colOff>580463</xdr:colOff>
      <xdr:row>33</xdr:row>
      <xdr:rowOff>163484</xdr:rowOff>
    </xdr:to>
    <xdr:cxnSp macro="">
      <xdr:nvCxnSpPr>
        <xdr:cNvPr id="59" name="Straight Connector 58">
          <a:extLst>
            <a:ext uri="{FF2B5EF4-FFF2-40B4-BE49-F238E27FC236}">
              <a16:creationId xmlns:a16="http://schemas.microsoft.com/office/drawing/2014/main" id="{54598B90-A35C-4D4B-8035-A12D58CF23DB}"/>
            </a:ext>
          </a:extLst>
        </xdr:cNvPr>
        <xdr:cNvCxnSpPr/>
      </xdr:nvCxnSpPr>
      <xdr:spPr>
        <a:xfrm flipV="1">
          <a:off x="10827111" y="6010677"/>
          <a:ext cx="1113502"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61427</xdr:colOff>
      <xdr:row>33</xdr:row>
      <xdr:rowOff>162327</xdr:rowOff>
    </xdr:from>
    <xdr:to>
      <xdr:col>20</xdr:col>
      <xdr:colOff>565330</xdr:colOff>
      <xdr:row>33</xdr:row>
      <xdr:rowOff>163484</xdr:rowOff>
    </xdr:to>
    <xdr:cxnSp macro="">
      <xdr:nvCxnSpPr>
        <xdr:cNvPr id="60" name="Straight Connector 59">
          <a:extLst>
            <a:ext uri="{FF2B5EF4-FFF2-40B4-BE49-F238E27FC236}">
              <a16:creationId xmlns:a16="http://schemas.microsoft.com/office/drawing/2014/main" id="{297DF940-B6BC-4448-B18F-B085D63B7F66}"/>
            </a:ext>
          </a:extLst>
        </xdr:cNvPr>
        <xdr:cNvCxnSpPr/>
      </xdr:nvCxnSpPr>
      <xdr:spPr>
        <a:xfrm flipV="1">
          <a:off x="12031177" y="6010677"/>
          <a:ext cx="1113503"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76881</xdr:colOff>
      <xdr:row>40</xdr:row>
      <xdr:rowOff>159727</xdr:rowOff>
    </xdr:from>
    <xdr:to>
      <xdr:col>10</xdr:col>
      <xdr:colOff>580828</xdr:colOff>
      <xdr:row>40</xdr:row>
      <xdr:rowOff>160884</xdr:rowOff>
    </xdr:to>
    <xdr:cxnSp macro="">
      <xdr:nvCxnSpPr>
        <xdr:cNvPr id="61" name="Straight Connector 60">
          <a:extLst>
            <a:ext uri="{FF2B5EF4-FFF2-40B4-BE49-F238E27FC236}">
              <a16:creationId xmlns:a16="http://schemas.microsoft.com/office/drawing/2014/main" id="{F1DE018D-01E0-4589-A4AA-B11478C7F5C0}"/>
            </a:ext>
          </a:extLst>
        </xdr:cNvPr>
        <xdr:cNvCxnSpPr/>
      </xdr:nvCxnSpPr>
      <xdr:spPr>
        <a:xfrm flipV="1">
          <a:off x="5950631" y="715742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78935</xdr:colOff>
      <xdr:row>40</xdr:row>
      <xdr:rowOff>159727</xdr:rowOff>
    </xdr:from>
    <xdr:to>
      <xdr:col>12</xdr:col>
      <xdr:colOff>583758</xdr:colOff>
      <xdr:row>40</xdr:row>
      <xdr:rowOff>160884</xdr:rowOff>
    </xdr:to>
    <xdr:cxnSp macro="">
      <xdr:nvCxnSpPr>
        <xdr:cNvPr id="62" name="Straight Connector 61">
          <a:extLst>
            <a:ext uri="{FF2B5EF4-FFF2-40B4-BE49-F238E27FC236}">
              <a16:creationId xmlns:a16="http://schemas.microsoft.com/office/drawing/2014/main" id="{70683427-90F8-4B7E-A78A-4DCC89562D7E}"/>
            </a:ext>
          </a:extLst>
        </xdr:cNvPr>
        <xdr:cNvCxnSpPr/>
      </xdr:nvCxnSpPr>
      <xdr:spPr>
        <a:xfrm flipV="1">
          <a:off x="7171885" y="7157427"/>
          <a:ext cx="1114423"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77260</xdr:colOff>
      <xdr:row>40</xdr:row>
      <xdr:rowOff>159727</xdr:rowOff>
    </xdr:from>
    <xdr:to>
      <xdr:col>14</xdr:col>
      <xdr:colOff>582082</xdr:colOff>
      <xdr:row>40</xdr:row>
      <xdr:rowOff>160884</xdr:rowOff>
    </xdr:to>
    <xdr:cxnSp macro="">
      <xdr:nvCxnSpPr>
        <xdr:cNvPr id="63" name="Straight Connector 62">
          <a:extLst>
            <a:ext uri="{FF2B5EF4-FFF2-40B4-BE49-F238E27FC236}">
              <a16:creationId xmlns:a16="http://schemas.microsoft.com/office/drawing/2014/main" id="{FBA63D38-E100-4D77-B0F9-41BEC4E00FC3}"/>
            </a:ext>
          </a:extLst>
        </xdr:cNvPr>
        <xdr:cNvCxnSpPr/>
      </xdr:nvCxnSpPr>
      <xdr:spPr>
        <a:xfrm flipV="1">
          <a:off x="8389410" y="7157427"/>
          <a:ext cx="1114422"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87863</xdr:colOff>
      <xdr:row>40</xdr:row>
      <xdr:rowOff>159727</xdr:rowOff>
    </xdr:from>
    <xdr:to>
      <xdr:col>16</xdr:col>
      <xdr:colOff>591766</xdr:colOff>
      <xdr:row>40</xdr:row>
      <xdr:rowOff>160884</xdr:rowOff>
    </xdr:to>
    <xdr:cxnSp macro="">
      <xdr:nvCxnSpPr>
        <xdr:cNvPr id="64" name="Straight Connector 63">
          <a:extLst>
            <a:ext uri="{FF2B5EF4-FFF2-40B4-BE49-F238E27FC236}">
              <a16:creationId xmlns:a16="http://schemas.microsoft.com/office/drawing/2014/main" id="{DFD3BB2B-BB59-4E93-9B34-572FFC0A9671}"/>
            </a:ext>
          </a:extLst>
        </xdr:cNvPr>
        <xdr:cNvCxnSpPr/>
      </xdr:nvCxnSpPr>
      <xdr:spPr>
        <a:xfrm flipV="1">
          <a:off x="9619213" y="7157427"/>
          <a:ext cx="1113503"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76561</xdr:colOff>
      <xdr:row>40</xdr:row>
      <xdr:rowOff>159727</xdr:rowOff>
    </xdr:from>
    <xdr:to>
      <xdr:col>18</xdr:col>
      <xdr:colOff>580463</xdr:colOff>
      <xdr:row>40</xdr:row>
      <xdr:rowOff>160884</xdr:rowOff>
    </xdr:to>
    <xdr:cxnSp macro="">
      <xdr:nvCxnSpPr>
        <xdr:cNvPr id="65" name="Straight Connector 64">
          <a:extLst>
            <a:ext uri="{FF2B5EF4-FFF2-40B4-BE49-F238E27FC236}">
              <a16:creationId xmlns:a16="http://schemas.microsoft.com/office/drawing/2014/main" id="{3EA07EA7-1B18-4E08-9F9A-B3FB0C25E4BF}"/>
            </a:ext>
          </a:extLst>
        </xdr:cNvPr>
        <xdr:cNvCxnSpPr/>
      </xdr:nvCxnSpPr>
      <xdr:spPr>
        <a:xfrm flipV="1">
          <a:off x="10827111" y="7157427"/>
          <a:ext cx="1113502"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61427</xdr:colOff>
      <xdr:row>40</xdr:row>
      <xdr:rowOff>159727</xdr:rowOff>
    </xdr:from>
    <xdr:to>
      <xdr:col>20</xdr:col>
      <xdr:colOff>565330</xdr:colOff>
      <xdr:row>40</xdr:row>
      <xdr:rowOff>160884</xdr:rowOff>
    </xdr:to>
    <xdr:cxnSp macro="">
      <xdr:nvCxnSpPr>
        <xdr:cNvPr id="66" name="Straight Connector 65">
          <a:extLst>
            <a:ext uri="{FF2B5EF4-FFF2-40B4-BE49-F238E27FC236}">
              <a16:creationId xmlns:a16="http://schemas.microsoft.com/office/drawing/2014/main" id="{AB2F477B-E0D7-4BE0-8077-114B3DDCB8D8}"/>
            </a:ext>
          </a:extLst>
        </xdr:cNvPr>
        <xdr:cNvCxnSpPr/>
      </xdr:nvCxnSpPr>
      <xdr:spPr>
        <a:xfrm flipV="1">
          <a:off x="12031177" y="7157427"/>
          <a:ext cx="1113503"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58081</xdr:colOff>
      <xdr:row>44</xdr:row>
      <xdr:rowOff>162046</xdr:rowOff>
    </xdr:from>
    <xdr:to>
      <xdr:col>10</xdr:col>
      <xdr:colOff>562028</xdr:colOff>
      <xdr:row>44</xdr:row>
      <xdr:rowOff>163364</xdr:rowOff>
    </xdr:to>
    <xdr:cxnSp macro="">
      <xdr:nvCxnSpPr>
        <xdr:cNvPr id="67" name="Straight Connector 66">
          <a:extLst>
            <a:ext uri="{FF2B5EF4-FFF2-40B4-BE49-F238E27FC236}">
              <a16:creationId xmlns:a16="http://schemas.microsoft.com/office/drawing/2014/main" id="{BD29932D-D58A-46DE-9447-A33539BEF50D}"/>
            </a:ext>
          </a:extLst>
        </xdr:cNvPr>
        <xdr:cNvCxnSpPr/>
      </xdr:nvCxnSpPr>
      <xdr:spPr>
        <a:xfrm flipV="1">
          <a:off x="5931831" y="78963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60135</xdr:colOff>
      <xdr:row>44</xdr:row>
      <xdr:rowOff>162046</xdr:rowOff>
    </xdr:from>
    <xdr:to>
      <xdr:col>12</xdr:col>
      <xdr:colOff>564958</xdr:colOff>
      <xdr:row>44</xdr:row>
      <xdr:rowOff>163364</xdr:rowOff>
    </xdr:to>
    <xdr:cxnSp macro="">
      <xdr:nvCxnSpPr>
        <xdr:cNvPr id="68" name="Straight Connector 67">
          <a:extLst>
            <a:ext uri="{FF2B5EF4-FFF2-40B4-BE49-F238E27FC236}">
              <a16:creationId xmlns:a16="http://schemas.microsoft.com/office/drawing/2014/main" id="{F39409F6-4C02-4C08-8564-0CE3C92585DB}"/>
            </a:ext>
          </a:extLst>
        </xdr:cNvPr>
        <xdr:cNvCxnSpPr/>
      </xdr:nvCxnSpPr>
      <xdr:spPr>
        <a:xfrm flipV="1">
          <a:off x="7153085" y="7896346"/>
          <a:ext cx="1114423"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58460</xdr:colOff>
      <xdr:row>44</xdr:row>
      <xdr:rowOff>162046</xdr:rowOff>
    </xdr:from>
    <xdr:to>
      <xdr:col>14</xdr:col>
      <xdr:colOff>563282</xdr:colOff>
      <xdr:row>44</xdr:row>
      <xdr:rowOff>163364</xdr:rowOff>
    </xdr:to>
    <xdr:cxnSp macro="">
      <xdr:nvCxnSpPr>
        <xdr:cNvPr id="69" name="Straight Connector 68">
          <a:extLst>
            <a:ext uri="{FF2B5EF4-FFF2-40B4-BE49-F238E27FC236}">
              <a16:creationId xmlns:a16="http://schemas.microsoft.com/office/drawing/2014/main" id="{18E8280F-82E7-482F-B382-FDAB5C954067}"/>
            </a:ext>
          </a:extLst>
        </xdr:cNvPr>
        <xdr:cNvCxnSpPr/>
      </xdr:nvCxnSpPr>
      <xdr:spPr>
        <a:xfrm flipV="1">
          <a:off x="8370610" y="7896346"/>
          <a:ext cx="1114422"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69063</xdr:colOff>
      <xdr:row>44</xdr:row>
      <xdr:rowOff>162046</xdr:rowOff>
    </xdr:from>
    <xdr:to>
      <xdr:col>16</xdr:col>
      <xdr:colOff>572966</xdr:colOff>
      <xdr:row>44</xdr:row>
      <xdr:rowOff>163364</xdr:rowOff>
    </xdr:to>
    <xdr:cxnSp macro="">
      <xdr:nvCxnSpPr>
        <xdr:cNvPr id="70" name="Straight Connector 69">
          <a:extLst>
            <a:ext uri="{FF2B5EF4-FFF2-40B4-BE49-F238E27FC236}">
              <a16:creationId xmlns:a16="http://schemas.microsoft.com/office/drawing/2014/main" id="{846605D0-0D34-44E6-8C30-B00B8A06820C}"/>
            </a:ext>
          </a:extLst>
        </xdr:cNvPr>
        <xdr:cNvCxnSpPr/>
      </xdr:nvCxnSpPr>
      <xdr:spPr>
        <a:xfrm flipV="1">
          <a:off x="9600413" y="7896346"/>
          <a:ext cx="1113503"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57761</xdr:colOff>
      <xdr:row>44</xdr:row>
      <xdr:rowOff>162046</xdr:rowOff>
    </xdr:from>
    <xdr:to>
      <xdr:col>18</xdr:col>
      <xdr:colOff>561663</xdr:colOff>
      <xdr:row>44</xdr:row>
      <xdr:rowOff>163364</xdr:rowOff>
    </xdr:to>
    <xdr:cxnSp macro="">
      <xdr:nvCxnSpPr>
        <xdr:cNvPr id="71" name="Straight Connector 70">
          <a:extLst>
            <a:ext uri="{FF2B5EF4-FFF2-40B4-BE49-F238E27FC236}">
              <a16:creationId xmlns:a16="http://schemas.microsoft.com/office/drawing/2014/main" id="{13E1852B-B9B5-45A8-9DEE-A80CE891CA75}"/>
            </a:ext>
          </a:extLst>
        </xdr:cNvPr>
        <xdr:cNvCxnSpPr/>
      </xdr:nvCxnSpPr>
      <xdr:spPr>
        <a:xfrm flipV="1">
          <a:off x="10808311" y="7896346"/>
          <a:ext cx="1113502"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42627</xdr:colOff>
      <xdr:row>44</xdr:row>
      <xdr:rowOff>162046</xdr:rowOff>
    </xdr:from>
    <xdr:to>
      <xdr:col>20</xdr:col>
      <xdr:colOff>546530</xdr:colOff>
      <xdr:row>44</xdr:row>
      <xdr:rowOff>163364</xdr:rowOff>
    </xdr:to>
    <xdr:cxnSp macro="">
      <xdr:nvCxnSpPr>
        <xdr:cNvPr id="72" name="Straight Connector 71">
          <a:extLst>
            <a:ext uri="{FF2B5EF4-FFF2-40B4-BE49-F238E27FC236}">
              <a16:creationId xmlns:a16="http://schemas.microsoft.com/office/drawing/2014/main" id="{806CEEC5-8788-472F-8342-AA19AF3415B8}"/>
            </a:ext>
          </a:extLst>
        </xdr:cNvPr>
        <xdr:cNvCxnSpPr/>
      </xdr:nvCxnSpPr>
      <xdr:spPr>
        <a:xfrm flipV="1">
          <a:off x="12012377" y="7896346"/>
          <a:ext cx="1113503"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58081</xdr:colOff>
      <xdr:row>53</xdr:row>
      <xdr:rowOff>159446</xdr:rowOff>
    </xdr:from>
    <xdr:to>
      <xdr:col>10</xdr:col>
      <xdr:colOff>562028</xdr:colOff>
      <xdr:row>53</xdr:row>
      <xdr:rowOff>160764</xdr:rowOff>
    </xdr:to>
    <xdr:cxnSp macro="">
      <xdr:nvCxnSpPr>
        <xdr:cNvPr id="73" name="Straight Connector 72">
          <a:extLst>
            <a:ext uri="{FF2B5EF4-FFF2-40B4-BE49-F238E27FC236}">
              <a16:creationId xmlns:a16="http://schemas.microsoft.com/office/drawing/2014/main" id="{1E9596EA-03D1-4866-B1B4-2CE098DD49FE}"/>
            </a:ext>
          </a:extLst>
        </xdr:cNvPr>
        <xdr:cNvCxnSpPr/>
      </xdr:nvCxnSpPr>
      <xdr:spPr>
        <a:xfrm flipV="1">
          <a:off x="5931831" y="93986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60135</xdr:colOff>
      <xdr:row>53</xdr:row>
      <xdr:rowOff>159446</xdr:rowOff>
    </xdr:from>
    <xdr:to>
      <xdr:col>12</xdr:col>
      <xdr:colOff>564958</xdr:colOff>
      <xdr:row>53</xdr:row>
      <xdr:rowOff>160764</xdr:rowOff>
    </xdr:to>
    <xdr:cxnSp macro="">
      <xdr:nvCxnSpPr>
        <xdr:cNvPr id="74" name="Straight Connector 73">
          <a:extLst>
            <a:ext uri="{FF2B5EF4-FFF2-40B4-BE49-F238E27FC236}">
              <a16:creationId xmlns:a16="http://schemas.microsoft.com/office/drawing/2014/main" id="{5A8604EF-ABBA-438E-9915-2B194F79781B}"/>
            </a:ext>
          </a:extLst>
        </xdr:cNvPr>
        <xdr:cNvCxnSpPr/>
      </xdr:nvCxnSpPr>
      <xdr:spPr>
        <a:xfrm flipV="1">
          <a:off x="7153085" y="9398696"/>
          <a:ext cx="1114423"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58460</xdr:colOff>
      <xdr:row>53</xdr:row>
      <xdr:rowOff>159446</xdr:rowOff>
    </xdr:from>
    <xdr:to>
      <xdr:col>14</xdr:col>
      <xdr:colOff>563282</xdr:colOff>
      <xdr:row>53</xdr:row>
      <xdr:rowOff>160764</xdr:rowOff>
    </xdr:to>
    <xdr:cxnSp macro="">
      <xdr:nvCxnSpPr>
        <xdr:cNvPr id="75" name="Straight Connector 74">
          <a:extLst>
            <a:ext uri="{FF2B5EF4-FFF2-40B4-BE49-F238E27FC236}">
              <a16:creationId xmlns:a16="http://schemas.microsoft.com/office/drawing/2014/main" id="{3954AF33-D674-4EBC-B447-46F2FEECBCDD}"/>
            </a:ext>
          </a:extLst>
        </xdr:cNvPr>
        <xdr:cNvCxnSpPr/>
      </xdr:nvCxnSpPr>
      <xdr:spPr>
        <a:xfrm flipV="1">
          <a:off x="8370610" y="9398696"/>
          <a:ext cx="1114422"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69063</xdr:colOff>
      <xdr:row>53</xdr:row>
      <xdr:rowOff>159446</xdr:rowOff>
    </xdr:from>
    <xdr:to>
      <xdr:col>16</xdr:col>
      <xdr:colOff>572966</xdr:colOff>
      <xdr:row>53</xdr:row>
      <xdr:rowOff>160764</xdr:rowOff>
    </xdr:to>
    <xdr:cxnSp macro="">
      <xdr:nvCxnSpPr>
        <xdr:cNvPr id="76" name="Straight Connector 75">
          <a:extLst>
            <a:ext uri="{FF2B5EF4-FFF2-40B4-BE49-F238E27FC236}">
              <a16:creationId xmlns:a16="http://schemas.microsoft.com/office/drawing/2014/main" id="{64DA8FE3-70C4-401C-82FA-7CA21A5DB9B3}"/>
            </a:ext>
          </a:extLst>
        </xdr:cNvPr>
        <xdr:cNvCxnSpPr/>
      </xdr:nvCxnSpPr>
      <xdr:spPr>
        <a:xfrm flipV="1">
          <a:off x="9600413" y="9398696"/>
          <a:ext cx="1113503"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57761</xdr:colOff>
      <xdr:row>53</xdr:row>
      <xdr:rowOff>159446</xdr:rowOff>
    </xdr:from>
    <xdr:to>
      <xdr:col>18</xdr:col>
      <xdr:colOff>561663</xdr:colOff>
      <xdr:row>53</xdr:row>
      <xdr:rowOff>160764</xdr:rowOff>
    </xdr:to>
    <xdr:cxnSp macro="">
      <xdr:nvCxnSpPr>
        <xdr:cNvPr id="77" name="Straight Connector 76">
          <a:extLst>
            <a:ext uri="{FF2B5EF4-FFF2-40B4-BE49-F238E27FC236}">
              <a16:creationId xmlns:a16="http://schemas.microsoft.com/office/drawing/2014/main" id="{68205AA3-EBF8-4824-81FD-2AF8EE59A2D9}"/>
            </a:ext>
          </a:extLst>
        </xdr:cNvPr>
        <xdr:cNvCxnSpPr/>
      </xdr:nvCxnSpPr>
      <xdr:spPr>
        <a:xfrm flipV="1">
          <a:off x="10808311" y="9398696"/>
          <a:ext cx="1113502"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42627</xdr:colOff>
      <xdr:row>53</xdr:row>
      <xdr:rowOff>159446</xdr:rowOff>
    </xdr:from>
    <xdr:to>
      <xdr:col>20</xdr:col>
      <xdr:colOff>546530</xdr:colOff>
      <xdr:row>53</xdr:row>
      <xdr:rowOff>160764</xdr:rowOff>
    </xdr:to>
    <xdr:cxnSp macro="">
      <xdr:nvCxnSpPr>
        <xdr:cNvPr id="78" name="Straight Connector 77">
          <a:extLst>
            <a:ext uri="{FF2B5EF4-FFF2-40B4-BE49-F238E27FC236}">
              <a16:creationId xmlns:a16="http://schemas.microsoft.com/office/drawing/2014/main" id="{2050704E-D68E-4D0E-9C74-3EF750261BC4}"/>
            </a:ext>
          </a:extLst>
        </xdr:cNvPr>
        <xdr:cNvCxnSpPr/>
      </xdr:nvCxnSpPr>
      <xdr:spPr>
        <a:xfrm flipV="1">
          <a:off x="12012377" y="9398696"/>
          <a:ext cx="1113503"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58081</xdr:colOff>
      <xdr:row>54</xdr:row>
      <xdr:rowOff>161846</xdr:rowOff>
    </xdr:from>
    <xdr:to>
      <xdr:col>10</xdr:col>
      <xdr:colOff>562028</xdr:colOff>
      <xdr:row>54</xdr:row>
      <xdr:rowOff>163164</xdr:rowOff>
    </xdr:to>
    <xdr:cxnSp macro="">
      <xdr:nvCxnSpPr>
        <xdr:cNvPr id="79" name="Straight Connector 78">
          <a:extLst>
            <a:ext uri="{FF2B5EF4-FFF2-40B4-BE49-F238E27FC236}">
              <a16:creationId xmlns:a16="http://schemas.microsoft.com/office/drawing/2014/main" id="{9764A585-4BF0-4C09-85E0-93F1977AAFBD}"/>
            </a:ext>
          </a:extLst>
        </xdr:cNvPr>
        <xdr:cNvCxnSpPr/>
      </xdr:nvCxnSpPr>
      <xdr:spPr>
        <a:xfrm flipV="1">
          <a:off x="5931831" y="95852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60135</xdr:colOff>
      <xdr:row>54</xdr:row>
      <xdr:rowOff>161846</xdr:rowOff>
    </xdr:from>
    <xdr:to>
      <xdr:col>12</xdr:col>
      <xdr:colOff>564958</xdr:colOff>
      <xdr:row>54</xdr:row>
      <xdr:rowOff>163164</xdr:rowOff>
    </xdr:to>
    <xdr:cxnSp macro="">
      <xdr:nvCxnSpPr>
        <xdr:cNvPr id="80" name="Straight Connector 79">
          <a:extLst>
            <a:ext uri="{FF2B5EF4-FFF2-40B4-BE49-F238E27FC236}">
              <a16:creationId xmlns:a16="http://schemas.microsoft.com/office/drawing/2014/main" id="{30E7F739-6B41-4162-BE16-398F29523468}"/>
            </a:ext>
          </a:extLst>
        </xdr:cNvPr>
        <xdr:cNvCxnSpPr/>
      </xdr:nvCxnSpPr>
      <xdr:spPr>
        <a:xfrm flipV="1">
          <a:off x="7153085" y="9585246"/>
          <a:ext cx="1114423"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58460</xdr:colOff>
      <xdr:row>54</xdr:row>
      <xdr:rowOff>161846</xdr:rowOff>
    </xdr:from>
    <xdr:to>
      <xdr:col>14</xdr:col>
      <xdr:colOff>563282</xdr:colOff>
      <xdr:row>54</xdr:row>
      <xdr:rowOff>163164</xdr:rowOff>
    </xdr:to>
    <xdr:cxnSp macro="">
      <xdr:nvCxnSpPr>
        <xdr:cNvPr id="81" name="Straight Connector 80">
          <a:extLst>
            <a:ext uri="{FF2B5EF4-FFF2-40B4-BE49-F238E27FC236}">
              <a16:creationId xmlns:a16="http://schemas.microsoft.com/office/drawing/2014/main" id="{46B0B28C-8162-4B2E-B046-39F7D174988D}"/>
            </a:ext>
          </a:extLst>
        </xdr:cNvPr>
        <xdr:cNvCxnSpPr/>
      </xdr:nvCxnSpPr>
      <xdr:spPr>
        <a:xfrm flipV="1">
          <a:off x="8370610" y="9585246"/>
          <a:ext cx="1114422"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69063</xdr:colOff>
      <xdr:row>54</xdr:row>
      <xdr:rowOff>161846</xdr:rowOff>
    </xdr:from>
    <xdr:to>
      <xdr:col>16</xdr:col>
      <xdr:colOff>572966</xdr:colOff>
      <xdr:row>54</xdr:row>
      <xdr:rowOff>163164</xdr:rowOff>
    </xdr:to>
    <xdr:cxnSp macro="">
      <xdr:nvCxnSpPr>
        <xdr:cNvPr id="82" name="Straight Connector 81">
          <a:extLst>
            <a:ext uri="{FF2B5EF4-FFF2-40B4-BE49-F238E27FC236}">
              <a16:creationId xmlns:a16="http://schemas.microsoft.com/office/drawing/2014/main" id="{9D331FC6-5528-41AF-AE1A-72BFF649FB55}"/>
            </a:ext>
          </a:extLst>
        </xdr:cNvPr>
        <xdr:cNvCxnSpPr/>
      </xdr:nvCxnSpPr>
      <xdr:spPr>
        <a:xfrm flipV="1">
          <a:off x="9600413" y="9585246"/>
          <a:ext cx="1113503"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57761</xdr:colOff>
      <xdr:row>54</xdr:row>
      <xdr:rowOff>161846</xdr:rowOff>
    </xdr:from>
    <xdr:to>
      <xdr:col>18</xdr:col>
      <xdr:colOff>561663</xdr:colOff>
      <xdr:row>54</xdr:row>
      <xdr:rowOff>163164</xdr:rowOff>
    </xdr:to>
    <xdr:cxnSp macro="">
      <xdr:nvCxnSpPr>
        <xdr:cNvPr id="83" name="Straight Connector 82">
          <a:extLst>
            <a:ext uri="{FF2B5EF4-FFF2-40B4-BE49-F238E27FC236}">
              <a16:creationId xmlns:a16="http://schemas.microsoft.com/office/drawing/2014/main" id="{3495F195-B908-464D-98C9-47211A60BDC0}"/>
            </a:ext>
          </a:extLst>
        </xdr:cNvPr>
        <xdr:cNvCxnSpPr/>
      </xdr:nvCxnSpPr>
      <xdr:spPr>
        <a:xfrm flipV="1">
          <a:off x="10808311" y="9585246"/>
          <a:ext cx="1113502"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42627</xdr:colOff>
      <xdr:row>54</xdr:row>
      <xdr:rowOff>161846</xdr:rowOff>
    </xdr:from>
    <xdr:to>
      <xdr:col>20</xdr:col>
      <xdr:colOff>546530</xdr:colOff>
      <xdr:row>54</xdr:row>
      <xdr:rowOff>163164</xdr:rowOff>
    </xdr:to>
    <xdr:cxnSp macro="">
      <xdr:nvCxnSpPr>
        <xdr:cNvPr id="84" name="Straight Connector 83">
          <a:extLst>
            <a:ext uri="{FF2B5EF4-FFF2-40B4-BE49-F238E27FC236}">
              <a16:creationId xmlns:a16="http://schemas.microsoft.com/office/drawing/2014/main" id="{F90BD6F1-2619-41E1-9B78-F35E5878CDB6}"/>
            </a:ext>
          </a:extLst>
        </xdr:cNvPr>
        <xdr:cNvCxnSpPr/>
      </xdr:nvCxnSpPr>
      <xdr:spPr>
        <a:xfrm flipV="1">
          <a:off x="12012377" y="9585246"/>
          <a:ext cx="1113503"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58081</xdr:colOff>
      <xdr:row>55</xdr:row>
      <xdr:rowOff>4246</xdr:rowOff>
    </xdr:from>
    <xdr:to>
      <xdr:col>10</xdr:col>
      <xdr:colOff>562028</xdr:colOff>
      <xdr:row>55</xdr:row>
      <xdr:rowOff>5564</xdr:rowOff>
    </xdr:to>
    <xdr:cxnSp macro="">
      <xdr:nvCxnSpPr>
        <xdr:cNvPr id="85" name="Straight Connector 84">
          <a:extLst>
            <a:ext uri="{FF2B5EF4-FFF2-40B4-BE49-F238E27FC236}">
              <a16:creationId xmlns:a16="http://schemas.microsoft.com/office/drawing/2014/main" id="{C72E7427-7E6B-4F36-8031-E86B116CAF47}"/>
            </a:ext>
          </a:extLst>
        </xdr:cNvPr>
        <xdr:cNvCxnSpPr/>
      </xdr:nvCxnSpPr>
      <xdr:spPr>
        <a:xfrm flipV="1">
          <a:off x="5931831" y="96117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60135</xdr:colOff>
      <xdr:row>55</xdr:row>
      <xdr:rowOff>4246</xdr:rowOff>
    </xdr:from>
    <xdr:to>
      <xdr:col>12</xdr:col>
      <xdr:colOff>564958</xdr:colOff>
      <xdr:row>55</xdr:row>
      <xdr:rowOff>5564</xdr:rowOff>
    </xdr:to>
    <xdr:cxnSp macro="">
      <xdr:nvCxnSpPr>
        <xdr:cNvPr id="86" name="Straight Connector 85">
          <a:extLst>
            <a:ext uri="{FF2B5EF4-FFF2-40B4-BE49-F238E27FC236}">
              <a16:creationId xmlns:a16="http://schemas.microsoft.com/office/drawing/2014/main" id="{D0A71228-6C7E-40AF-8F77-116DB931CA0F}"/>
            </a:ext>
          </a:extLst>
        </xdr:cNvPr>
        <xdr:cNvCxnSpPr/>
      </xdr:nvCxnSpPr>
      <xdr:spPr>
        <a:xfrm flipV="1">
          <a:off x="7153085" y="9611796"/>
          <a:ext cx="1114423"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58460</xdr:colOff>
      <xdr:row>55</xdr:row>
      <xdr:rowOff>4246</xdr:rowOff>
    </xdr:from>
    <xdr:to>
      <xdr:col>14</xdr:col>
      <xdr:colOff>563282</xdr:colOff>
      <xdr:row>55</xdr:row>
      <xdr:rowOff>5564</xdr:rowOff>
    </xdr:to>
    <xdr:cxnSp macro="">
      <xdr:nvCxnSpPr>
        <xdr:cNvPr id="87" name="Straight Connector 86">
          <a:extLst>
            <a:ext uri="{FF2B5EF4-FFF2-40B4-BE49-F238E27FC236}">
              <a16:creationId xmlns:a16="http://schemas.microsoft.com/office/drawing/2014/main" id="{19FBAAD6-6748-4EAD-8B4A-654057F9AE51}"/>
            </a:ext>
          </a:extLst>
        </xdr:cNvPr>
        <xdr:cNvCxnSpPr/>
      </xdr:nvCxnSpPr>
      <xdr:spPr>
        <a:xfrm flipV="1">
          <a:off x="8370610" y="9611796"/>
          <a:ext cx="1114422"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69063</xdr:colOff>
      <xdr:row>55</xdr:row>
      <xdr:rowOff>4246</xdr:rowOff>
    </xdr:from>
    <xdr:to>
      <xdr:col>16</xdr:col>
      <xdr:colOff>572966</xdr:colOff>
      <xdr:row>55</xdr:row>
      <xdr:rowOff>5564</xdr:rowOff>
    </xdr:to>
    <xdr:cxnSp macro="">
      <xdr:nvCxnSpPr>
        <xdr:cNvPr id="88" name="Straight Connector 87">
          <a:extLst>
            <a:ext uri="{FF2B5EF4-FFF2-40B4-BE49-F238E27FC236}">
              <a16:creationId xmlns:a16="http://schemas.microsoft.com/office/drawing/2014/main" id="{87C4625C-41ED-4AFB-98CF-05E99A0B6839}"/>
            </a:ext>
          </a:extLst>
        </xdr:cNvPr>
        <xdr:cNvCxnSpPr/>
      </xdr:nvCxnSpPr>
      <xdr:spPr>
        <a:xfrm flipV="1">
          <a:off x="9600413" y="9611796"/>
          <a:ext cx="1113503"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57761</xdr:colOff>
      <xdr:row>55</xdr:row>
      <xdr:rowOff>4246</xdr:rowOff>
    </xdr:from>
    <xdr:to>
      <xdr:col>18</xdr:col>
      <xdr:colOff>561663</xdr:colOff>
      <xdr:row>55</xdr:row>
      <xdr:rowOff>5564</xdr:rowOff>
    </xdr:to>
    <xdr:cxnSp macro="">
      <xdr:nvCxnSpPr>
        <xdr:cNvPr id="89" name="Straight Connector 88">
          <a:extLst>
            <a:ext uri="{FF2B5EF4-FFF2-40B4-BE49-F238E27FC236}">
              <a16:creationId xmlns:a16="http://schemas.microsoft.com/office/drawing/2014/main" id="{A92D5EA5-CAFE-405B-93DA-65DDD118A07A}"/>
            </a:ext>
          </a:extLst>
        </xdr:cNvPr>
        <xdr:cNvCxnSpPr/>
      </xdr:nvCxnSpPr>
      <xdr:spPr>
        <a:xfrm flipV="1">
          <a:off x="10808311" y="9611796"/>
          <a:ext cx="1113502"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42627</xdr:colOff>
      <xdr:row>55</xdr:row>
      <xdr:rowOff>4246</xdr:rowOff>
    </xdr:from>
    <xdr:to>
      <xdr:col>20</xdr:col>
      <xdr:colOff>546530</xdr:colOff>
      <xdr:row>55</xdr:row>
      <xdr:rowOff>5564</xdr:rowOff>
    </xdr:to>
    <xdr:cxnSp macro="">
      <xdr:nvCxnSpPr>
        <xdr:cNvPr id="90" name="Straight Connector 89">
          <a:extLst>
            <a:ext uri="{FF2B5EF4-FFF2-40B4-BE49-F238E27FC236}">
              <a16:creationId xmlns:a16="http://schemas.microsoft.com/office/drawing/2014/main" id="{C1245E99-4D24-42AA-B663-93DFD458F6EF}"/>
            </a:ext>
          </a:extLst>
        </xdr:cNvPr>
        <xdr:cNvCxnSpPr/>
      </xdr:nvCxnSpPr>
      <xdr:spPr>
        <a:xfrm flipV="1">
          <a:off x="12012377" y="9611796"/>
          <a:ext cx="1113503"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9641</xdr:colOff>
      <xdr:row>61</xdr:row>
      <xdr:rowOff>152722</xdr:rowOff>
    </xdr:from>
    <xdr:to>
      <xdr:col>21</xdr:col>
      <xdr:colOff>41413</xdr:colOff>
      <xdr:row>61</xdr:row>
      <xdr:rowOff>152722</xdr:rowOff>
    </xdr:to>
    <xdr:cxnSp macro="">
      <xdr:nvCxnSpPr>
        <xdr:cNvPr id="91" name="Straight Connector 90">
          <a:extLst>
            <a:ext uri="{FF2B5EF4-FFF2-40B4-BE49-F238E27FC236}">
              <a16:creationId xmlns:a16="http://schemas.microsoft.com/office/drawing/2014/main" id="{9950AC6F-EA58-490F-A948-FDB8E5DAFD4B}"/>
            </a:ext>
          </a:extLst>
        </xdr:cNvPr>
        <xdr:cNvCxnSpPr/>
      </xdr:nvCxnSpPr>
      <xdr:spPr>
        <a:xfrm>
          <a:off x="4054591" y="10738172"/>
          <a:ext cx="9175772" cy="0"/>
        </a:xfrm>
        <a:prstGeom prst="line">
          <a:avLst/>
        </a:prstGeom>
        <a:ln w="12700">
          <a:solidFill>
            <a:schemeClr val="bg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0</xdr:colOff>
      <xdr:row>64</xdr:row>
      <xdr:rowOff>155963</xdr:rowOff>
    </xdr:from>
    <xdr:to>
      <xdr:col>5</xdr:col>
      <xdr:colOff>0</xdr:colOff>
      <xdr:row>64</xdr:row>
      <xdr:rowOff>163262</xdr:rowOff>
    </xdr:to>
    <xdr:cxnSp macro="">
      <xdr:nvCxnSpPr>
        <xdr:cNvPr id="92" name="Straight Connector 91">
          <a:extLst>
            <a:ext uri="{FF2B5EF4-FFF2-40B4-BE49-F238E27FC236}">
              <a16:creationId xmlns:a16="http://schemas.microsoft.com/office/drawing/2014/main" id="{4B589414-B46D-4DD9-BE36-2E5D5D1AE825}"/>
            </a:ext>
          </a:extLst>
        </xdr:cNvPr>
        <xdr:cNvCxnSpPr/>
      </xdr:nvCxnSpPr>
      <xdr:spPr>
        <a:xfrm>
          <a:off x="609600" y="11300213"/>
          <a:ext cx="2825750" cy="7299"/>
        </a:xfrm>
        <a:prstGeom prst="line">
          <a:avLst/>
        </a:prstGeom>
        <a:ln w="12700">
          <a:solidFill>
            <a:schemeClr val="bg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604796</xdr:colOff>
      <xdr:row>68</xdr:row>
      <xdr:rowOff>154145</xdr:rowOff>
    </xdr:from>
    <xdr:to>
      <xdr:col>27</xdr:col>
      <xdr:colOff>0</xdr:colOff>
      <xdr:row>68</xdr:row>
      <xdr:rowOff>157534</xdr:rowOff>
    </xdr:to>
    <xdr:cxnSp macro="">
      <xdr:nvCxnSpPr>
        <xdr:cNvPr id="93" name="Straight Connector 92">
          <a:extLst>
            <a:ext uri="{FF2B5EF4-FFF2-40B4-BE49-F238E27FC236}">
              <a16:creationId xmlns:a16="http://schemas.microsoft.com/office/drawing/2014/main" id="{75D92F27-FB1E-4852-AA00-3B45B06E282A}"/>
            </a:ext>
          </a:extLst>
        </xdr:cNvPr>
        <xdr:cNvCxnSpPr/>
      </xdr:nvCxnSpPr>
      <xdr:spPr>
        <a:xfrm flipV="1">
          <a:off x="4040146" y="12041345"/>
          <a:ext cx="13473154" cy="3389"/>
        </a:xfrm>
        <a:prstGeom prst="line">
          <a:avLst/>
        </a:prstGeom>
        <a:ln w="12700">
          <a:solidFill>
            <a:schemeClr val="bg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0</xdr:colOff>
      <xdr:row>38</xdr:row>
      <xdr:rowOff>155032</xdr:rowOff>
    </xdr:from>
    <xdr:to>
      <xdr:col>27</xdr:col>
      <xdr:colOff>0</xdr:colOff>
      <xdr:row>38</xdr:row>
      <xdr:rowOff>155124</xdr:rowOff>
    </xdr:to>
    <xdr:cxnSp macro="">
      <xdr:nvCxnSpPr>
        <xdr:cNvPr id="94" name="Straight Connector 93">
          <a:extLst>
            <a:ext uri="{FF2B5EF4-FFF2-40B4-BE49-F238E27FC236}">
              <a16:creationId xmlns:a16="http://schemas.microsoft.com/office/drawing/2014/main" id="{ADBC4ABF-02F2-47A8-8922-5B4D005787B6}"/>
            </a:ext>
          </a:extLst>
        </xdr:cNvPr>
        <xdr:cNvCxnSpPr/>
      </xdr:nvCxnSpPr>
      <xdr:spPr>
        <a:xfrm flipV="1">
          <a:off x="13798550" y="6784432"/>
          <a:ext cx="3714750" cy="92"/>
        </a:xfrm>
        <a:prstGeom prst="line">
          <a:avLst/>
        </a:prstGeom>
        <a:ln w="12700">
          <a:solidFill>
            <a:schemeClr val="bg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62365</xdr:colOff>
      <xdr:row>9</xdr:row>
      <xdr:rowOff>159148</xdr:rowOff>
    </xdr:from>
    <xdr:to>
      <xdr:col>25</xdr:col>
      <xdr:colOff>702445</xdr:colOff>
      <xdr:row>9</xdr:row>
      <xdr:rowOff>159148</xdr:rowOff>
    </xdr:to>
    <xdr:cxnSp macro="">
      <xdr:nvCxnSpPr>
        <xdr:cNvPr id="95" name="Straight Connector 94">
          <a:extLst>
            <a:ext uri="{FF2B5EF4-FFF2-40B4-BE49-F238E27FC236}">
              <a16:creationId xmlns:a16="http://schemas.microsoft.com/office/drawing/2014/main" id="{CE35D64C-A77F-4642-9FC2-BC742666DB24}"/>
            </a:ext>
          </a:extLst>
        </xdr:cNvPr>
        <xdr:cNvCxnSpPr/>
      </xdr:nvCxnSpPr>
      <xdr:spPr>
        <a:xfrm>
          <a:off x="16146915" y="1702198"/>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58251</xdr:colOff>
      <xdr:row>9</xdr:row>
      <xdr:rowOff>159148</xdr:rowOff>
    </xdr:from>
    <xdr:to>
      <xdr:col>26</xdr:col>
      <xdr:colOff>698331</xdr:colOff>
      <xdr:row>9</xdr:row>
      <xdr:rowOff>159148</xdr:rowOff>
    </xdr:to>
    <xdr:cxnSp macro="">
      <xdr:nvCxnSpPr>
        <xdr:cNvPr id="96" name="Straight Connector 95">
          <a:extLst>
            <a:ext uri="{FF2B5EF4-FFF2-40B4-BE49-F238E27FC236}">
              <a16:creationId xmlns:a16="http://schemas.microsoft.com/office/drawing/2014/main" id="{37DBCFC0-84DF-4404-9F57-C081E587D3D9}"/>
            </a:ext>
          </a:extLst>
        </xdr:cNvPr>
        <xdr:cNvCxnSpPr/>
      </xdr:nvCxnSpPr>
      <xdr:spPr>
        <a:xfrm>
          <a:off x="16904801" y="1702198"/>
          <a:ext cx="60833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67196</xdr:colOff>
      <xdr:row>13</xdr:row>
      <xdr:rowOff>159506</xdr:rowOff>
    </xdr:from>
    <xdr:to>
      <xdr:col>25</xdr:col>
      <xdr:colOff>707276</xdr:colOff>
      <xdr:row>13</xdr:row>
      <xdr:rowOff>159506</xdr:rowOff>
    </xdr:to>
    <xdr:cxnSp macro="">
      <xdr:nvCxnSpPr>
        <xdr:cNvPr id="97" name="Straight Connector 96">
          <a:extLst>
            <a:ext uri="{FF2B5EF4-FFF2-40B4-BE49-F238E27FC236}">
              <a16:creationId xmlns:a16="http://schemas.microsoft.com/office/drawing/2014/main" id="{7611B7F7-96A9-4712-A2CE-B00A639F99EF}"/>
            </a:ext>
          </a:extLst>
        </xdr:cNvPr>
        <xdr:cNvCxnSpPr/>
      </xdr:nvCxnSpPr>
      <xdr:spPr>
        <a:xfrm>
          <a:off x="16151746" y="2445506"/>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63082</xdr:colOff>
      <xdr:row>13</xdr:row>
      <xdr:rowOff>159506</xdr:rowOff>
    </xdr:from>
    <xdr:to>
      <xdr:col>26</xdr:col>
      <xdr:colOff>703162</xdr:colOff>
      <xdr:row>13</xdr:row>
      <xdr:rowOff>159506</xdr:rowOff>
    </xdr:to>
    <xdr:cxnSp macro="">
      <xdr:nvCxnSpPr>
        <xdr:cNvPr id="98" name="Straight Connector 97">
          <a:extLst>
            <a:ext uri="{FF2B5EF4-FFF2-40B4-BE49-F238E27FC236}">
              <a16:creationId xmlns:a16="http://schemas.microsoft.com/office/drawing/2014/main" id="{F7303B2D-9322-4A12-8AFF-94BD1D140B7C}"/>
            </a:ext>
          </a:extLst>
        </xdr:cNvPr>
        <xdr:cNvCxnSpPr/>
      </xdr:nvCxnSpPr>
      <xdr:spPr>
        <a:xfrm>
          <a:off x="16909632" y="2445506"/>
          <a:ext cx="6019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68004</xdr:colOff>
      <xdr:row>18</xdr:row>
      <xdr:rowOff>171282</xdr:rowOff>
    </xdr:from>
    <xdr:to>
      <xdr:col>25</xdr:col>
      <xdr:colOff>708084</xdr:colOff>
      <xdr:row>18</xdr:row>
      <xdr:rowOff>171282</xdr:rowOff>
    </xdr:to>
    <xdr:cxnSp macro="">
      <xdr:nvCxnSpPr>
        <xdr:cNvPr id="99" name="Straight Connector 98">
          <a:extLst>
            <a:ext uri="{FF2B5EF4-FFF2-40B4-BE49-F238E27FC236}">
              <a16:creationId xmlns:a16="http://schemas.microsoft.com/office/drawing/2014/main" id="{C17F2B1F-C023-4DC4-AA75-586B8AA214DA}"/>
            </a:ext>
          </a:extLst>
        </xdr:cNvPr>
        <xdr:cNvCxnSpPr/>
      </xdr:nvCxnSpPr>
      <xdr:spPr>
        <a:xfrm>
          <a:off x="16152554" y="3378032"/>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63890</xdr:colOff>
      <xdr:row>18</xdr:row>
      <xdr:rowOff>171282</xdr:rowOff>
    </xdr:from>
    <xdr:to>
      <xdr:col>26</xdr:col>
      <xdr:colOff>703970</xdr:colOff>
      <xdr:row>18</xdr:row>
      <xdr:rowOff>171282</xdr:rowOff>
    </xdr:to>
    <xdr:cxnSp macro="">
      <xdr:nvCxnSpPr>
        <xdr:cNvPr id="100" name="Straight Connector 99">
          <a:extLst>
            <a:ext uri="{FF2B5EF4-FFF2-40B4-BE49-F238E27FC236}">
              <a16:creationId xmlns:a16="http://schemas.microsoft.com/office/drawing/2014/main" id="{E97BBEC8-536E-45CF-8E0B-03A3DF8A2973}"/>
            </a:ext>
          </a:extLst>
        </xdr:cNvPr>
        <xdr:cNvCxnSpPr/>
      </xdr:nvCxnSpPr>
      <xdr:spPr>
        <a:xfrm>
          <a:off x="16910440" y="3378032"/>
          <a:ext cx="6019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69448</xdr:colOff>
      <xdr:row>20</xdr:row>
      <xdr:rowOff>166161</xdr:rowOff>
    </xdr:from>
    <xdr:to>
      <xdr:col>25</xdr:col>
      <xdr:colOff>709528</xdr:colOff>
      <xdr:row>20</xdr:row>
      <xdr:rowOff>166161</xdr:rowOff>
    </xdr:to>
    <xdr:cxnSp macro="">
      <xdr:nvCxnSpPr>
        <xdr:cNvPr id="101" name="Straight Connector 100">
          <a:extLst>
            <a:ext uri="{FF2B5EF4-FFF2-40B4-BE49-F238E27FC236}">
              <a16:creationId xmlns:a16="http://schemas.microsoft.com/office/drawing/2014/main" id="{A72E49ED-06F1-4601-8694-B7C68C0F3014}"/>
            </a:ext>
          </a:extLst>
        </xdr:cNvPr>
        <xdr:cNvCxnSpPr/>
      </xdr:nvCxnSpPr>
      <xdr:spPr>
        <a:xfrm>
          <a:off x="16153998" y="3607861"/>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65334</xdr:colOff>
      <xdr:row>20</xdr:row>
      <xdr:rowOff>166161</xdr:rowOff>
    </xdr:from>
    <xdr:to>
      <xdr:col>26</xdr:col>
      <xdr:colOff>705414</xdr:colOff>
      <xdr:row>20</xdr:row>
      <xdr:rowOff>166161</xdr:rowOff>
    </xdr:to>
    <xdr:cxnSp macro="">
      <xdr:nvCxnSpPr>
        <xdr:cNvPr id="102" name="Straight Connector 101">
          <a:extLst>
            <a:ext uri="{FF2B5EF4-FFF2-40B4-BE49-F238E27FC236}">
              <a16:creationId xmlns:a16="http://schemas.microsoft.com/office/drawing/2014/main" id="{5F9F716B-9AC4-46C8-8C4D-557ED026118B}"/>
            </a:ext>
          </a:extLst>
        </xdr:cNvPr>
        <xdr:cNvCxnSpPr/>
      </xdr:nvCxnSpPr>
      <xdr:spPr>
        <a:xfrm>
          <a:off x="16911884" y="3607861"/>
          <a:ext cx="6019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74167</xdr:colOff>
      <xdr:row>24</xdr:row>
      <xdr:rowOff>159033</xdr:rowOff>
    </xdr:from>
    <xdr:to>
      <xdr:col>25</xdr:col>
      <xdr:colOff>714247</xdr:colOff>
      <xdr:row>24</xdr:row>
      <xdr:rowOff>159033</xdr:rowOff>
    </xdr:to>
    <xdr:cxnSp macro="">
      <xdr:nvCxnSpPr>
        <xdr:cNvPr id="103" name="Straight Connector 102">
          <a:extLst>
            <a:ext uri="{FF2B5EF4-FFF2-40B4-BE49-F238E27FC236}">
              <a16:creationId xmlns:a16="http://schemas.microsoft.com/office/drawing/2014/main" id="{9B372FA1-E260-4228-A23C-844603F71C1F}"/>
            </a:ext>
          </a:extLst>
        </xdr:cNvPr>
        <xdr:cNvCxnSpPr/>
      </xdr:nvCxnSpPr>
      <xdr:spPr>
        <a:xfrm>
          <a:off x="16158717" y="4337333"/>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70053</xdr:colOff>
      <xdr:row>24</xdr:row>
      <xdr:rowOff>159033</xdr:rowOff>
    </xdr:from>
    <xdr:to>
      <xdr:col>26</xdr:col>
      <xdr:colOff>710133</xdr:colOff>
      <xdr:row>24</xdr:row>
      <xdr:rowOff>159033</xdr:rowOff>
    </xdr:to>
    <xdr:cxnSp macro="">
      <xdr:nvCxnSpPr>
        <xdr:cNvPr id="104" name="Straight Connector 103">
          <a:extLst>
            <a:ext uri="{FF2B5EF4-FFF2-40B4-BE49-F238E27FC236}">
              <a16:creationId xmlns:a16="http://schemas.microsoft.com/office/drawing/2014/main" id="{5972B6A9-19CF-40D2-AA98-C15AC09A338B}"/>
            </a:ext>
          </a:extLst>
        </xdr:cNvPr>
        <xdr:cNvCxnSpPr/>
      </xdr:nvCxnSpPr>
      <xdr:spPr>
        <a:xfrm>
          <a:off x="16916603" y="4337333"/>
          <a:ext cx="59563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74167</xdr:colOff>
      <xdr:row>28</xdr:row>
      <xdr:rowOff>166653</xdr:rowOff>
    </xdr:from>
    <xdr:to>
      <xdr:col>25</xdr:col>
      <xdr:colOff>714247</xdr:colOff>
      <xdr:row>28</xdr:row>
      <xdr:rowOff>166653</xdr:rowOff>
    </xdr:to>
    <xdr:cxnSp macro="">
      <xdr:nvCxnSpPr>
        <xdr:cNvPr id="105" name="Straight Connector 104">
          <a:extLst>
            <a:ext uri="{FF2B5EF4-FFF2-40B4-BE49-F238E27FC236}">
              <a16:creationId xmlns:a16="http://schemas.microsoft.com/office/drawing/2014/main" id="{AB8CDB28-5BDD-43D5-AA17-55996648B98D}"/>
            </a:ext>
          </a:extLst>
        </xdr:cNvPr>
        <xdr:cNvCxnSpPr/>
      </xdr:nvCxnSpPr>
      <xdr:spPr>
        <a:xfrm>
          <a:off x="16158717" y="5081553"/>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70053</xdr:colOff>
      <xdr:row>28</xdr:row>
      <xdr:rowOff>166653</xdr:rowOff>
    </xdr:from>
    <xdr:to>
      <xdr:col>26</xdr:col>
      <xdr:colOff>710133</xdr:colOff>
      <xdr:row>28</xdr:row>
      <xdr:rowOff>166653</xdr:rowOff>
    </xdr:to>
    <xdr:cxnSp macro="">
      <xdr:nvCxnSpPr>
        <xdr:cNvPr id="106" name="Straight Connector 105">
          <a:extLst>
            <a:ext uri="{FF2B5EF4-FFF2-40B4-BE49-F238E27FC236}">
              <a16:creationId xmlns:a16="http://schemas.microsoft.com/office/drawing/2014/main" id="{381D7FE2-EE7E-4070-AA57-18B3715FDB94}"/>
            </a:ext>
          </a:extLst>
        </xdr:cNvPr>
        <xdr:cNvCxnSpPr/>
      </xdr:nvCxnSpPr>
      <xdr:spPr>
        <a:xfrm>
          <a:off x="16916603" y="5081553"/>
          <a:ext cx="59563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74167</xdr:colOff>
      <xdr:row>33</xdr:row>
      <xdr:rowOff>161573</xdr:rowOff>
    </xdr:from>
    <xdr:to>
      <xdr:col>25</xdr:col>
      <xdr:colOff>714247</xdr:colOff>
      <xdr:row>33</xdr:row>
      <xdr:rowOff>161573</xdr:rowOff>
    </xdr:to>
    <xdr:cxnSp macro="">
      <xdr:nvCxnSpPr>
        <xdr:cNvPr id="107" name="Straight Connector 106">
          <a:extLst>
            <a:ext uri="{FF2B5EF4-FFF2-40B4-BE49-F238E27FC236}">
              <a16:creationId xmlns:a16="http://schemas.microsoft.com/office/drawing/2014/main" id="{D0E6262A-F405-424B-83C7-AE8B77A85406}"/>
            </a:ext>
          </a:extLst>
        </xdr:cNvPr>
        <xdr:cNvCxnSpPr/>
      </xdr:nvCxnSpPr>
      <xdr:spPr>
        <a:xfrm>
          <a:off x="16158717" y="6009923"/>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70053</xdr:colOff>
      <xdr:row>33</xdr:row>
      <xdr:rowOff>161573</xdr:rowOff>
    </xdr:from>
    <xdr:to>
      <xdr:col>26</xdr:col>
      <xdr:colOff>710133</xdr:colOff>
      <xdr:row>33</xdr:row>
      <xdr:rowOff>161573</xdr:rowOff>
    </xdr:to>
    <xdr:cxnSp macro="">
      <xdr:nvCxnSpPr>
        <xdr:cNvPr id="108" name="Straight Connector 107">
          <a:extLst>
            <a:ext uri="{FF2B5EF4-FFF2-40B4-BE49-F238E27FC236}">
              <a16:creationId xmlns:a16="http://schemas.microsoft.com/office/drawing/2014/main" id="{41E0F2DF-4A8C-4895-9340-7276FCC06166}"/>
            </a:ext>
          </a:extLst>
        </xdr:cNvPr>
        <xdr:cNvCxnSpPr/>
      </xdr:nvCxnSpPr>
      <xdr:spPr>
        <a:xfrm>
          <a:off x="16916603" y="6009923"/>
          <a:ext cx="59563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71627</xdr:colOff>
      <xdr:row>34</xdr:row>
      <xdr:rowOff>164113</xdr:rowOff>
    </xdr:from>
    <xdr:to>
      <xdr:col>25</xdr:col>
      <xdr:colOff>711707</xdr:colOff>
      <xdr:row>34</xdr:row>
      <xdr:rowOff>164113</xdr:rowOff>
    </xdr:to>
    <xdr:cxnSp macro="">
      <xdr:nvCxnSpPr>
        <xdr:cNvPr id="109" name="Straight Connector 108">
          <a:extLst>
            <a:ext uri="{FF2B5EF4-FFF2-40B4-BE49-F238E27FC236}">
              <a16:creationId xmlns:a16="http://schemas.microsoft.com/office/drawing/2014/main" id="{B0D02C44-23BB-40B4-B8F9-53E1EC31E50C}"/>
            </a:ext>
          </a:extLst>
        </xdr:cNvPr>
        <xdr:cNvCxnSpPr/>
      </xdr:nvCxnSpPr>
      <xdr:spPr>
        <a:xfrm>
          <a:off x="16156177" y="6196613"/>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67513</xdr:colOff>
      <xdr:row>34</xdr:row>
      <xdr:rowOff>164113</xdr:rowOff>
    </xdr:from>
    <xdr:to>
      <xdr:col>26</xdr:col>
      <xdr:colOff>707593</xdr:colOff>
      <xdr:row>34</xdr:row>
      <xdr:rowOff>164113</xdr:rowOff>
    </xdr:to>
    <xdr:cxnSp macro="">
      <xdr:nvCxnSpPr>
        <xdr:cNvPr id="110" name="Straight Connector 109">
          <a:extLst>
            <a:ext uri="{FF2B5EF4-FFF2-40B4-BE49-F238E27FC236}">
              <a16:creationId xmlns:a16="http://schemas.microsoft.com/office/drawing/2014/main" id="{B56BEDCD-B3AB-4DEA-B658-CFB7CA79D28B}"/>
            </a:ext>
          </a:extLst>
        </xdr:cNvPr>
        <xdr:cNvCxnSpPr/>
      </xdr:nvCxnSpPr>
      <xdr:spPr>
        <a:xfrm>
          <a:off x="16914063" y="6196613"/>
          <a:ext cx="6019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67221</xdr:colOff>
      <xdr:row>41</xdr:row>
      <xdr:rowOff>164521</xdr:rowOff>
    </xdr:from>
    <xdr:to>
      <xdr:col>26</xdr:col>
      <xdr:colOff>707301</xdr:colOff>
      <xdr:row>41</xdr:row>
      <xdr:rowOff>164521</xdr:rowOff>
    </xdr:to>
    <xdr:cxnSp macro="">
      <xdr:nvCxnSpPr>
        <xdr:cNvPr id="111" name="Straight Connector 110">
          <a:extLst>
            <a:ext uri="{FF2B5EF4-FFF2-40B4-BE49-F238E27FC236}">
              <a16:creationId xmlns:a16="http://schemas.microsoft.com/office/drawing/2014/main" id="{54FCCF1F-7DCD-4306-89D9-38C8913A035C}"/>
            </a:ext>
          </a:extLst>
        </xdr:cNvPr>
        <xdr:cNvCxnSpPr/>
      </xdr:nvCxnSpPr>
      <xdr:spPr>
        <a:xfrm>
          <a:off x="16913771" y="7346371"/>
          <a:ext cx="6019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67221</xdr:colOff>
      <xdr:row>43</xdr:row>
      <xdr:rowOff>165008</xdr:rowOff>
    </xdr:from>
    <xdr:to>
      <xdr:col>26</xdr:col>
      <xdr:colOff>707301</xdr:colOff>
      <xdr:row>43</xdr:row>
      <xdr:rowOff>165008</xdr:rowOff>
    </xdr:to>
    <xdr:cxnSp macro="">
      <xdr:nvCxnSpPr>
        <xdr:cNvPr id="112" name="Straight Connector 111">
          <a:extLst>
            <a:ext uri="{FF2B5EF4-FFF2-40B4-BE49-F238E27FC236}">
              <a16:creationId xmlns:a16="http://schemas.microsoft.com/office/drawing/2014/main" id="{92EB73E7-AB94-4B5A-B20A-4ED1AF46E175}"/>
            </a:ext>
          </a:extLst>
        </xdr:cNvPr>
        <xdr:cNvCxnSpPr/>
      </xdr:nvCxnSpPr>
      <xdr:spPr>
        <a:xfrm>
          <a:off x="16913771" y="7715158"/>
          <a:ext cx="6019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64183</xdr:colOff>
      <xdr:row>48</xdr:row>
      <xdr:rowOff>167497</xdr:rowOff>
    </xdr:from>
    <xdr:to>
      <xdr:col>22</xdr:col>
      <xdr:colOff>704263</xdr:colOff>
      <xdr:row>48</xdr:row>
      <xdr:rowOff>167497</xdr:rowOff>
    </xdr:to>
    <xdr:cxnSp macro="">
      <xdr:nvCxnSpPr>
        <xdr:cNvPr id="113" name="Straight Connector 112">
          <a:extLst>
            <a:ext uri="{FF2B5EF4-FFF2-40B4-BE49-F238E27FC236}">
              <a16:creationId xmlns:a16="http://schemas.microsoft.com/office/drawing/2014/main" id="{40473159-D2A1-46ED-9744-1C8F954860C2}"/>
            </a:ext>
          </a:extLst>
        </xdr:cNvPr>
        <xdr:cNvCxnSpPr/>
      </xdr:nvCxnSpPr>
      <xdr:spPr>
        <a:xfrm>
          <a:off x="13862733" y="8638397"/>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606525</xdr:colOff>
      <xdr:row>46</xdr:row>
      <xdr:rowOff>139367</xdr:rowOff>
    </xdr:from>
    <xdr:to>
      <xdr:col>27</xdr:col>
      <xdr:colOff>0</xdr:colOff>
      <xdr:row>46</xdr:row>
      <xdr:rowOff>139367</xdr:rowOff>
    </xdr:to>
    <xdr:cxnSp macro="">
      <xdr:nvCxnSpPr>
        <xdr:cNvPr id="114" name="Straight Connector 113">
          <a:extLst>
            <a:ext uri="{FF2B5EF4-FFF2-40B4-BE49-F238E27FC236}">
              <a16:creationId xmlns:a16="http://schemas.microsoft.com/office/drawing/2014/main" id="{A65424E0-B6A1-409B-8187-3B845F619B58}"/>
            </a:ext>
          </a:extLst>
        </xdr:cNvPr>
        <xdr:cNvCxnSpPr/>
      </xdr:nvCxnSpPr>
      <xdr:spPr>
        <a:xfrm>
          <a:off x="13795475" y="8241967"/>
          <a:ext cx="3717825"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61632</xdr:colOff>
      <xdr:row>48</xdr:row>
      <xdr:rowOff>167497</xdr:rowOff>
    </xdr:from>
    <xdr:to>
      <xdr:col>23</xdr:col>
      <xdr:colOff>701712</xdr:colOff>
      <xdr:row>48</xdr:row>
      <xdr:rowOff>167497</xdr:rowOff>
    </xdr:to>
    <xdr:cxnSp macro="">
      <xdr:nvCxnSpPr>
        <xdr:cNvPr id="115" name="Straight Connector 114">
          <a:extLst>
            <a:ext uri="{FF2B5EF4-FFF2-40B4-BE49-F238E27FC236}">
              <a16:creationId xmlns:a16="http://schemas.microsoft.com/office/drawing/2014/main" id="{73DA168E-010C-4944-B4E0-5A5E0E79A73C}"/>
            </a:ext>
          </a:extLst>
        </xdr:cNvPr>
        <xdr:cNvCxnSpPr/>
      </xdr:nvCxnSpPr>
      <xdr:spPr>
        <a:xfrm>
          <a:off x="14622182" y="8638397"/>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24</xdr:col>
      <xdr:colOff>59079</xdr:colOff>
      <xdr:row>48</xdr:row>
      <xdr:rowOff>167497</xdr:rowOff>
    </xdr:from>
    <xdr:to>
      <xdr:col>24</xdr:col>
      <xdr:colOff>699159</xdr:colOff>
      <xdr:row>48</xdr:row>
      <xdr:rowOff>167497</xdr:rowOff>
    </xdr:to>
    <xdr:cxnSp macro="">
      <xdr:nvCxnSpPr>
        <xdr:cNvPr id="116" name="Straight Connector 115">
          <a:extLst>
            <a:ext uri="{FF2B5EF4-FFF2-40B4-BE49-F238E27FC236}">
              <a16:creationId xmlns:a16="http://schemas.microsoft.com/office/drawing/2014/main" id="{3B6D0ED3-14B1-407B-8415-B2DBD9B42FB4}"/>
            </a:ext>
          </a:extLst>
        </xdr:cNvPr>
        <xdr:cNvCxnSpPr/>
      </xdr:nvCxnSpPr>
      <xdr:spPr>
        <a:xfrm>
          <a:off x="15381629" y="8638397"/>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68679</xdr:colOff>
      <xdr:row>48</xdr:row>
      <xdr:rowOff>167497</xdr:rowOff>
    </xdr:from>
    <xdr:to>
      <xdr:col>25</xdr:col>
      <xdr:colOff>708759</xdr:colOff>
      <xdr:row>48</xdr:row>
      <xdr:rowOff>167497</xdr:rowOff>
    </xdr:to>
    <xdr:cxnSp macro="">
      <xdr:nvCxnSpPr>
        <xdr:cNvPr id="117" name="Straight Connector 116">
          <a:extLst>
            <a:ext uri="{FF2B5EF4-FFF2-40B4-BE49-F238E27FC236}">
              <a16:creationId xmlns:a16="http://schemas.microsoft.com/office/drawing/2014/main" id="{7E32BEDC-7A5E-4232-8085-B4A22FCC305F}"/>
            </a:ext>
          </a:extLst>
        </xdr:cNvPr>
        <xdr:cNvCxnSpPr/>
      </xdr:nvCxnSpPr>
      <xdr:spPr>
        <a:xfrm>
          <a:off x="16153229" y="8638397"/>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63090</xdr:colOff>
      <xdr:row>48</xdr:row>
      <xdr:rowOff>167497</xdr:rowOff>
    </xdr:from>
    <xdr:to>
      <xdr:col>26</xdr:col>
      <xdr:colOff>703170</xdr:colOff>
      <xdr:row>48</xdr:row>
      <xdr:rowOff>167497</xdr:rowOff>
    </xdr:to>
    <xdr:cxnSp macro="">
      <xdr:nvCxnSpPr>
        <xdr:cNvPr id="118" name="Straight Connector 117">
          <a:extLst>
            <a:ext uri="{FF2B5EF4-FFF2-40B4-BE49-F238E27FC236}">
              <a16:creationId xmlns:a16="http://schemas.microsoft.com/office/drawing/2014/main" id="{AFCB6554-8DE8-4041-9357-2543128C320A}"/>
            </a:ext>
          </a:extLst>
        </xdr:cNvPr>
        <xdr:cNvCxnSpPr/>
      </xdr:nvCxnSpPr>
      <xdr:spPr>
        <a:xfrm>
          <a:off x="16909640" y="8638397"/>
          <a:ext cx="6019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61274</xdr:colOff>
      <xdr:row>54</xdr:row>
      <xdr:rowOff>154333</xdr:rowOff>
    </xdr:from>
    <xdr:to>
      <xdr:col>23</xdr:col>
      <xdr:colOff>701354</xdr:colOff>
      <xdr:row>54</xdr:row>
      <xdr:rowOff>154333</xdr:rowOff>
    </xdr:to>
    <xdr:cxnSp macro="">
      <xdr:nvCxnSpPr>
        <xdr:cNvPr id="119" name="Straight Connector 118">
          <a:extLst>
            <a:ext uri="{FF2B5EF4-FFF2-40B4-BE49-F238E27FC236}">
              <a16:creationId xmlns:a16="http://schemas.microsoft.com/office/drawing/2014/main" id="{634BF23C-B2C8-40E6-B2CC-784473D63A3A}"/>
            </a:ext>
          </a:extLst>
        </xdr:cNvPr>
        <xdr:cNvCxnSpPr/>
      </xdr:nvCxnSpPr>
      <xdr:spPr>
        <a:xfrm>
          <a:off x="14621824" y="9577733"/>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24</xdr:col>
      <xdr:colOff>58721</xdr:colOff>
      <xdr:row>54</xdr:row>
      <xdr:rowOff>154333</xdr:rowOff>
    </xdr:from>
    <xdr:to>
      <xdr:col>24</xdr:col>
      <xdr:colOff>698801</xdr:colOff>
      <xdr:row>54</xdr:row>
      <xdr:rowOff>154333</xdr:rowOff>
    </xdr:to>
    <xdr:cxnSp macro="">
      <xdr:nvCxnSpPr>
        <xdr:cNvPr id="120" name="Straight Connector 119">
          <a:extLst>
            <a:ext uri="{FF2B5EF4-FFF2-40B4-BE49-F238E27FC236}">
              <a16:creationId xmlns:a16="http://schemas.microsoft.com/office/drawing/2014/main" id="{D80A9DC5-09E9-40B2-B60F-CC8EE04C1D9A}"/>
            </a:ext>
          </a:extLst>
        </xdr:cNvPr>
        <xdr:cNvCxnSpPr/>
      </xdr:nvCxnSpPr>
      <xdr:spPr>
        <a:xfrm>
          <a:off x="15381271" y="9577733"/>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14238</xdr:colOff>
      <xdr:row>57</xdr:row>
      <xdr:rowOff>155953</xdr:rowOff>
    </xdr:from>
    <xdr:to>
      <xdr:col>27</xdr:col>
      <xdr:colOff>0</xdr:colOff>
      <xdr:row>57</xdr:row>
      <xdr:rowOff>156614</xdr:rowOff>
    </xdr:to>
    <xdr:cxnSp macro="">
      <xdr:nvCxnSpPr>
        <xdr:cNvPr id="121" name="Straight Connector 120">
          <a:extLst>
            <a:ext uri="{FF2B5EF4-FFF2-40B4-BE49-F238E27FC236}">
              <a16:creationId xmlns:a16="http://schemas.microsoft.com/office/drawing/2014/main" id="{8FE75139-C5BA-471D-BEA1-DC337472E4D1}"/>
            </a:ext>
          </a:extLst>
        </xdr:cNvPr>
        <xdr:cNvCxnSpPr/>
      </xdr:nvCxnSpPr>
      <xdr:spPr>
        <a:xfrm flipV="1">
          <a:off x="13812788" y="9998453"/>
          <a:ext cx="3700512" cy="661"/>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73838</xdr:colOff>
      <xdr:row>59</xdr:row>
      <xdr:rowOff>155229</xdr:rowOff>
    </xdr:from>
    <xdr:to>
      <xdr:col>23</xdr:col>
      <xdr:colOff>713918</xdr:colOff>
      <xdr:row>59</xdr:row>
      <xdr:rowOff>155229</xdr:rowOff>
    </xdr:to>
    <xdr:cxnSp macro="">
      <xdr:nvCxnSpPr>
        <xdr:cNvPr id="122" name="Straight Connector 121">
          <a:extLst>
            <a:ext uri="{FF2B5EF4-FFF2-40B4-BE49-F238E27FC236}">
              <a16:creationId xmlns:a16="http://schemas.microsoft.com/office/drawing/2014/main" id="{7918F208-5ACD-471E-A600-E89A96438BDF}"/>
            </a:ext>
          </a:extLst>
        </xdr:cNvPr>
        <xdr:cNvCxnSpPr/>
      </xdr:nvCxnSpPr>
      <xdr:spPr>
        <a:xfrm>
          <a:off x="14634388" y="10372379"/>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24</xdr:col>
      <xdr:colOff>71285</xdr:colOff>
      <xdr:row>59</xdr:row>
      <xdr:rowOff>155229</xdr:rowOff>
    </xdr:from>
    <xdr:to>
      <xdr:col>24</xdr:col>
      <xdr:colOff>711365</xdr:colOff>
      <xdr:row>59</xdr:row>
      <xdr:rowOff>155229</xdr:rowOff>
    </xdr:to>
    <xdr:cxnSp macro="">
      <xdr:nvCxnSpPr>
        <xdr:cNvPr id="123" name="Straight Connector 122">
          <a:extLst>
            <a:ext uri="{FF2B5EF4-FFF2-40B4-BE49-F238E27FC236}">
              <a16:creationId xmlns:a16="http://schemas.microsoft.com/office/drawing/2014/main" id="{1A86A433-94D8-4C75-8019-F89F41C5F269}"/>
            </a:ext>
          </a:extLst>
        </xdr:cNvPr>
        <xdr:cNvCxnSpPr/>
      </xdr:nvCxnSpPr>
      <xdr:spPr>
        <a:xfrm>
          <a:off x="15393835" y="10372379"/>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80885</xdr:colOff>
      <xdr:row>59</xdr:row>
      <xdr:rowOff>155229</xdr:rowOff>
    </xdr:from>
    <xdr:to>
      <xdr:col>25</xdr:col>
      <xdr:colOff>720965</xdr:colOff>
      <xdr:row>59</xdr:row>
      <xdr:rowOff>155229</xdr:rowOff>
    </xdr:to>
    <xdr:cxnSp macro="">
      <xdr:nvCxnSpPr>
        <xdr:cNvPr id="124" name="Straight Connector 123">
          <a:extLst>
            <a:ext uri="{FF2B5EF4-FFF2-40B4-BE49-F238E27FC236}">
              <a16:creationId xmlns:a16="http://schemas.microsoft.com/office/drawing/2014/main" id="{E5A39DE1-DEF3-43D0-856A-A39A6E3511C3}"/>
            </a:ext>
          </a:extLst>
        </xdr:cNvPr>
        <xdr:cNvCxnSpPr/>
      </xdr:nvCxnSpPr>
      <xdr:spPr>
        <a:xfrm>
          <a:off x="16165435" y="10372379"/>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75296</xdr:colOff>
      <xdr:row>59</xdr:row>
      <xdr:rowOff>155229</xdr:rowOff>
    </xdr:from>
    <xdr:to>
      <xdr:col>26</xdr:col>
      <xdr:colOff>715376</xdr:colOff>
      <xdr:row>59</xdr:row>
      <xdr:rowOff>155229</xdr:rowOff>
    </xdr:to>
    <xdr:cxnSp macro="">
      <xdr:nvCxnSpPr>
        <xdr:cNvPr id="125" name="Straight Connector 124">
          <a:extLst>
            <a:ext uri="{FF2B5EF4-FFF2-40B4-BE49-F238E27FC236}">
              <a16:creationId xmlns:a16="http://schemas.microsoft.com/office/drawing/2014/main" id="{83FDF2AA-CF78-4576-BD1A-5B863C3EA01B}"/>
            </a:ext>
          </a:extLst>
        </xdr:cNvPr>
        <xdr:cNvCxnSpPr/>
      </xdr:nvCxnSpPr>
      <xdr:spPr>
        <a:xfrm>
          <a:off x="16921846" y="10372379"/>
          <a:ext cx="5892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76885</xdr:colOff>
      <xdr:row>64</xdr:row>
      <xdr:rowOff>159393</xdr:rowOff>
    </xdr:from>
    <xdr:to>
      <xdr:col>23</xdr:col>
      <xdr:colOff>716965</xdr:colOff>
      <xdr:row>64</xdr:row>
      <xdr:rowOff>159393</xdr:rowOff>
    </xdr:to>
    <xdr:cxnSp macro="">
      <xdr:nvCxnSpPr>
        <xdr:cNvPr id="126" name="Straight Connector 125">
          <a:extLst>
            <a:ext uri="{FF2B5EF4-FFF2-40B4-BE49-F238E27FC236}">
              <a16:creationId xmlns:a16="http://schemas.microsoft.com/office/drawing/2014/main" id="{D0B3D233-7209-4C41-A899-28CFC6DE2175}"/>
            </a:ext>
          </a:extLst>
        </xdr:cNvPr>
        <xdr:cNvCxnSpPr/>
      </xdr:nvCxnSpPr>
      <xdr:spPr>
        <a:xfrm>
          <a:off x="14637435" y="11303643"/>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24</xdr:col>
      <xdr:colOff>74332</xdr:colOff>
      <xdr:row>64</xdr:row>
      <xdr:rowOff>159393</xdr:rowOff>
    </xdr:from>
    <xdr:to>
      <xdr:col>24</xdr:col>
      <xdr:colOff>714412</xdr:colOff>
      <xdr:row>64</xdr:row>
      <xdr:rowOff>159393</xdr:rowOff>
    </xdr:to>
    <xdr:cxnSp macro="">
      <xdr:nvCxnSpPr>
        <xdr:cNvPr id="127" name="Straight Connector 126">
          <a:extLst>
            <a:ext uri="{FF2B5EF4-FFF2-40B4-BE49-F238E27FC236}">
              <a16:creationId xmlns:a16="http://schemas.microsoft.com/office/drawing/2014/main" id="{6952F965-E416-4D72-BBAD-7840B013B04B}"/>
            </a:ext>
          </a:extLst>
        </xdr:cNvPr>
        <xdr:cNvCxnSpPr/>
      </xdr:nvCxnSpPr>
      <xdr:spPr>
        <a:xfrm>
          <a:off x="15396882" y="11303643"/>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83932</xdr:colOff>
      <xdr:row>64</xdr:row>
      <xdr:rowOff>159393</xdr:rowOff>
    </xdr:from>
    <xdr:to>
      <xdr:col>25</xdr:col>
      <xdr:colOff>724012</xdr:colOff>
      <xdr:row>64</xdr:row>
      <xdr:rowOff>159393</xdr:rowOff>
    </xdr:to>
    <xdr:cxnSp macro="">
      <xdr:nvCxnSpPr>
        <xdr:cNvPr id="128" name="Straight Connector 127">
          <a:extLst>
            <a:ext uri="{FF2B5EF4-FFF2-40B4-BE49-F238E27FC236}">
              <a16:creationId xmlns:a16="http://schemas.microsoft.com/office/drawing/2014/main" id="{412FFFC8-F482-4EFE-927C-AEC078336909}"/>
            </a:ext>
          </a:extLst>
        </xdr:cNvPr>
        <xdr:cNvCxnSpPr/>
      </xdr:nvCxnSpPr>
      <xdr:spPr>
        <a:xfrm>
          <a:off x="16168482" y="11303643"/>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78343</xdr:colOff>
      <xdr:row>64</xdr:row>
      <xdr:rowOff>159393</xdr:rowOff>
    </xdr:from>
    <xdr:to>
      <xdr:col>26</xdr:col>
      <xdr:colOff>718423</xdr:colOff>
      <xdr:row>64</xdr:row>
      <xdr:rowOff>159393</xdr:rowOff>
    </xdr:to>
    <xdr:cxnSp macro="">
      <xdr:nvCxnSpPr>
        <xdr:cNvPr id="129" name="Straight Connector 128">
          <a:extLst>
            <a:ext uri="{FF2B5EF4-FFF2-40B4-BE49-F238E27FC236}">
              <a16:creationId xmlns:a16="http://schemas.microsoft.com/office/drawing/2014/main" id="{2D5F5B5B-BC23-459B-9B27-03B41AC94BAA}"/>
            </a:ext>
          </a:extLst>
        </xdr:cNvPr>
        <xdr:cNvCxnSpPr/>
      </xdr:nvCxnSpPr>
      <xdr:spPr>
        <a:xfrm>
          <a:off x="16924893" y="11303643"/>
          <a:ext cx="5892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14355</xdr:colOff>
      <xdr:row>1</xdr:row>
      <xdr:rowOff>164873</xdr:rowOff>
    </xdr:from>
    <xdr:to>
      <xdr:col>26</xdr:col>
      <xdr:colOff>621133</xdr:colOff>
      <xdr:row>1</xdr:row>
      <xdr:rowOff>164965</xdr:rowOff>
    </xdr:to>
    <xdr:cxnSp macro="">
      <xdr:nvCxnSpPr>
        <xdr:cNvPr id="130" name="Straight Connector 129">
          <a:extLst>
            <a:ext uri="{FF2B5EF4-FFF2-40B4-BE49-F238E27FC236}">
              <a16:creationId xmlns:a16="http://schemas.microsoft.com/office/drawing/2014/main" id="{9C4E7C64-33B9-48F8-BC33-37AC1BE31108}"/>
            </a:ext>
          </a:extLst>
        </xdr:cNvPr>
        <xdr:cNvCxnSpPr/>
      </xdr:nvCxnSpPr>
      <xdr:spPr>
        <a:xfrm flipV="1">
          <a:off x="13812905" y="349023"/>
          <a:ext cx="3654778" cy="92"/>
        </a:xfrm>
        <a:prstGeom prst="line">
          <a:avLst/>
        </a:prstGeom>
        <a:ln w="12700">
          <a:solidFill>
            <a:schemeClr val="bg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81638</xdr:colOff>
      <xdr:row>11</xdr:row>
      <xdr:rowOff>169534</xdr:rowOff>
    </xdr:from>
    <xdr:to>
      <xdr:col>20</xdr:col>
      <xdr:colOff>585586</xdr:colOff>
      <xdr:row>11</xdr:row>
      <xdr:rowOff>170691</xdr:rowOff>
    </xdr:to>
    <xdr:cxnSp macro="">
      <xdr:nvCxnSpPr>
        <xdr:cNvPr id="131" name="Straight Connector 130">
          <a:extLst>
            <a:ext uri="{FF2B5EF4-FFF2-40B4-BE49-F238E27FC236}">
              <a16:creationId xmlns:a16="http://schemas.microsoft.com/office/drawing/2014/main" id="{E11EA677-31DD-4908-B62E-AC6A50E5E15A}"/>
            </a:ext>
          </a:extLst>
        </xdr:cNvPr>
        <xdr:cNvCxnSpPr/>
      </xdr:nvCxnSpPr>
      <xdr:spPr>
        <a:xfrm flipV="1">
          <a:off x="12051388" y="208088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81981</xdr:colOff>
      <xdr:row>16</xdr:row>
      <xdr:rowOff>154837</xdr:rowOff>
    </xdr:from>
    <xdr:to>
      <xdr:col>10</xdr:col>
      <xdr:colOff>585928</xdr:colOff>
      <xdr:row>16</xdr:row>
      <xdr:rowOff>155994</xdr:rowOff>
    </xdr:to>
    <xdr:cxnSp macro="">
      <xdr:nvCxnSpPr>
        <xdr:cNvPr id="132" name="Straight Connector 131">
          <a:extLst>
            <a:ext uri="{FF2B5EF4-FFF2-40B4-BE49-F238E27FC236}">
              <a16:creationId xmlns:a16="http://schemas.microsoft.com/office/drawing/2014/main" id="{DF220F48-95C4-4BAC-9CF5-28BFC33F6C36}"/>
            </a:ext>
          </a:extLst>
        </xdr:cNvPr>
        <xdr:cNvCxnSpPr/>
      </xdr:nvCxnSpPr>
      <xdr:spPr>
        <a:xfrm flipV="1">
          <a:off x="5955731" y="299328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84473</xdr:colOff>
      <xdr:row>16</xdr:row>
      <xdr:rowOff>154837</xdr:rowOff>
    </xdr:from>
    <xdr:to>
      <xdr:col>12</xdr:col>
      <xdr:colOff>588420</xdr:colOff>
      <xdr:row>16</xdr:row>
      <xdr:rowOff>155994</xdr:rowOff>
    </xdr:to>
    <xdr:cxnSp macro="">
      <xdr:nvCxnSpPr>
        <xdr:cNvPr id="133" name="Straight Connector 132">
          <a:extLst>
            <a:ext uri="{FF2B5EF4-FFF2-40B4-BE49-F238E27FC236}">
              <a16:creationId xmlns:a16="http://schemas.microsoft.com/office/drawing/2014/main" id="{CFEC6011-D724-4EB1-A808-EFEB0EBFDBFF}"/>
            </a:ext>
          </a:extLst>
        </xdr:cNvPr>
        <xdr:cNvCxnSpPr/>
      </xdr:nvCxnSpPr>
      <xdr:spPr>
        <a:xfrm flipV="1">
          <a:off x="7177423" y="299328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82797</xdr:colOff>
      <xdr:row>16</xdr:row>
      <xdr:rowOff>154837</xdr:rowOff>
    </xdr:from>
    <xdr:to>
      <xdr:col>14</xdr:col>
      <xdr:colOff>586744</xdr:colOff>
      <xdr:row>16</xdr:row>
      <xdr:rowOff>155994</xdr:rowOff>
    </xdr:to>
    <xdr:cxnSp macro="">
      <xdr:nvCxnSpPr>
        <xdr:cNvPr id="134" name="Straight Connector 133">
          <a:extLst>
            <a:ext uri="{FF2B5EF4-FFF2-40B4-BE49-F238E27FC236}">
              <a16:creationId xmlns:a16="http://schemas.microsoft.com/office/drawing/2014/main" id="{E3B6A70C-75E7-4B78-8613-E749EB138841}"/>
            </a:ext>
          </a:extLst>
        </xdr:cNvPr>
        <xdr:cNvCxnSpPr/>
      </xdr:nvCxnSpPr>
      <xdr:spPr>
        <a:xfrm flipV="1">
          <a:off x="8394947" y="299328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92541</xdr:colOff>
      <xdr:row>16</xdr:row>
      <xdr:rowOff>154837</xdr:rowOff>
    </xdr:from>
    <xdr:to>
      <xdr:col>16</xdr:col>
      <xdr:colOff>596489</xdr:colOff>
      <xdr:row>16</xdr:row>
      <xdr:rowOff>155994</xdr:rowOff>
    </xdr:to>
    <xdr:cxnSp macro="">
      <xdr:nvCxnSpPr>
        <xdr:cNvPr id="135" name="Straight Connector 134">
          <a:extLst>
            <a:ext uri="{FF2B5EF4-FFF2-40B4-BE49-F238E27FC236}">
              <a16:creationId xmlns:a16="http://schemas.microsoft.com/office/drawing/2014/main" id="{4A846491-82B1-447F-B7C2-9A97417AAD75}"/>
            </a:ext>
          </a:extLst>
        </xdr:cNvPr>
        <xdr:cNvCxnSpPr/>
      </xdr:nvCxnSpPr>
      <xdr:spPr>
        <a:xfrm flipV="1">
          <a:off x="9623891" y="2993287"/>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81638</xdr:colOff>
      <xdr:row>16</xdr:row>
      <xdr:rowOff>154837</xdr:rowOff>
    </xdr:from>
    <xdr:to>
      <xdr:col>18</xdr:col>
      <xdr:colOff>585586</xdr:colOff>
      <xdr:row>16</xdr:row>
      <xdr:rowOff>155994</xdr:rowOff>
    </xdr:to>
    <xdr:cxnSp macro="">
      <xdr:nvCxnSpPr>
        <xdr:cNvPr id="136" name="Straight Connector 135">
          <a:extLst>
            <a:ext uri="{FF2B5EF4-FFF2-40B4-BE49-F238E27FC236}">
              <a16:creationId xmlns:a16="http://schemas.microsoft.com/office/drawing/2014/main" id="{D1B3766C-32CB-4C79-A1C3-F734676FC05F}"/>
            </a:ext>
          </a:extLst>
        </xdr:cNvPr>
        <xdr:cNvCxnSpPr/>
      </xdr:nvCxnSpPr>
      <xdr:spPr>
        <a:xfrm flipV="1">
          <a:off x="10832188" y="2993287"/>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81638</xdr:colOff>
      <xdr:row>11</xdr:row>
      <xdr:rowOff>169534</xdr:rowOff>
    </xdr:from>
    <xdr:to>
      <xdr:col>20</xdr:col>
      <xdr:colOff>585586</xdr:colOff>
      <xdr:row>11</xdr:row>
      <xdr:rowOff>170691</xdr:rowOff>
    </xdr:to>
    <xdr:cxnSp macro="">
      <xdr:nvCxnSpPr>
        <xdr:cNvPr id="137" name="Straight Connector 136">
          <a:extLst>
            <a:ext uri="{FF2B5EF4-FFF2-40B4-BE49-F238E27FC236}">
              <a16:creationId xmlns:a16="http://schemas.microsoft.com/office/drawing/2014/main" id="{4D873F89-D160-4D77-B697-F0AB75B26140}"/>
            </a:ext>
          </a:extLst>
        </xdr:cNvPr>
        <xdr:cNvCxnSpPr/>
      </xdr:nvCxnSpPr>
      <xdr:spPr>
        <a:xfrm flipV="1">
          <a:off x="12051388" y="208088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81638</xdr:colOff>
      <xdr:row>13</xdr:row>
      <xdr:rowOff>154837</xdr:rowOff>
    </xdr:from>
    <xdr:to>
      <xdr:col>20</xdr:col>
      <xdr:colOff>585586</xdr:colOff>
      <xdr:row>13</xdr:row>
      <xdr:rowOff>155994</xdr:rowOff>
    </xdr:to>
    <xdr:cxnSp macro="">
      <xdr:nvCxnSpPr>
        <xdr:cNvPr id="138" name="Straight Connector 137">
          <a:extLst>
            <a:ext uri="{FF2B5EF4-FFF2-40B4-BE49-F238E27FC236}">
              <a16:creationId xmlns:a16="http://schemas.microsoft.com/office/drawing/2014/main" id="{1995DA48-50A4-4687-A44F-1996BBEDF346}"/>
            </a:ext>
          </a:extLst>
        </xdr:cNvPr>
        <xdr:cNvCxnSpPr/>
      </xdr:nvCxnSpPr>
      <xdr:spPr>
        <a:xfrm flipV="1">
          <a:off x="12051388" y="2440837"/>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81638</xdr:colOff>
      <xdr:row>16</xdr:row>
      <xdr:rowOff>158334</xdr:rowOff>
    </xdr:from>
    <xdr:to>
      <xdr:col>20</xdr:col>
      <xdr:colOff>585586</xdr:colOff>
      <xdr:row>16</xdr:row>
      <xdr:rowOff>159491</xdr:rowOff>
    </xdr:to>
    <xdr:cxnSp macro="">
      <xdr:nvCxnSpPr>
        <xdr:cNvPr id="139" name="Straight Connector 138">
          <a:extLst>
            <a:ext uri="{FF2B5EF4-FFF2-40B4-BE49-F238E27FC236}">
              <a16:creationId xmlns:a16="http://schemas.microsoft.com/office/drawing/2014/main" id="{345293E7-EC62-4D47-AE09-E0DF4F25AE5F}"/>
            </a:ext>
          </a:extLst>
        </xdr:cNvPr>
        <xdr:cNvCxnSpPr/>
      </xdr:nvCxnSpPr>
      <xdr:spPr>
        <a:xfrm flipV="1">
          <a:off x="12051388" y="299678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81638</xdr:colOff>
      <xdr:row>18</xdr:row>
      <xdr:rowOff>166215</xdr:rowOff>
    </xdr:from>
    <xdr:to>
      <xdr:col>20</xdr:col>
      <xdr:colOff>585586</xdr:colOff>
      <xdr:row>18</xdr:row>
      <xdr:rowOff>167372</xdr:rowOff>
    </xdr:to>
    <xdr:cxnSp macro="">
      <xdr:nvCxnSpPr>
        <xdr:cNvPr id="140" name="Straight Connector 139">
          <a:extLst>
            <a:ext uri="{FF2B5EF4-FFF2-40B4-BE49-F238E27FC236}">
              <a16:creationId xmlns:a16="http://schemas.microsoft.com/office/drawing/2014/main" id="{04185619-06CE-40FC-B6DD-F6B2D2DD70DE}"/>
            </a:ext>
          </a:extLst>
        </xdr:cNvPr>
        <xdr:cNvCxnSpPr/>
      </xdr:nvCxnSpPr>
      <xdr:spPr>
        <a:xfrm flipV="1">
          <a:off x="12051388" y="3372965"/>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96661</xdr:colOff>
      <xdr:row>23</xdr:row>
      <xdr:rowOff>152197</xdr:rowOff>
    </xdr:from>
    <xdr:to>
      <xdr:col>20</xdr:col>
      <xdr:colOff>600563</xdr:colOff>
      <xdr:row>23</xdr:row>
      <xdr:rowOff>153354</xdr:rowOff>
    </xdr:to>
    <xdr:cxnSp macro="">
      <xdr:nvCxnSpPr>
        <xdr:cNvPr id="141" name="Straight Connector 140">
          <a:extLst>
            <a:ext uri="{FF2B5EF4-FFF2-40B4-BE49-F238E27FC236}">
              <a16:creationId xmlns:a16="http://schemas.microsoft.com/office/drawing/2014/main" id="{9CE03D6A-2EE0-40AC-B9F2-D05B4D9CE76D}"/>
            </a:ext>
          </a:extLst>
        </xdr:cNvPr>
        <xdr:cNvCxnSpPr/>
      </xdr:nvCxnSpPr>
      <xdr:spPr>
        <a:xfrm flipV="1">
          <a:off x="12066411" y="4146347"/>
          <a:ext cx="1113502"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81638</xdr:colOff>
      <xdr:row>24</xdr:row>
      <xdr:rowOff>191437</xdr:rowOff>
    </xdr:from>
    <xdr:to>
      <xdr:col>20</xdr:col>
      <xdr:colOff>585586</xdr:colOff>
      <xdr:row>24</xdr:row>
      <xdr:rowOff>192594</xdr:rowOff>
    </xdr:to>
    <xdr:cxnSp macro="">
      <xdr:nvCxnSpPr>
        <xdr:cNvPr id="142" name="Straight Connector 141">
          <a:extLst>
            <a:ext uri="{FF2B5EF4-FFF2-40B4-BE49-F238E27FC236}">
              <a16:creationId xmlns:a16="http://schemas.microsoft.com/office/drawing/2014/main" id="{0A52F7CE-BB68-48D9-B41E-909E063B3407}"/>
            </a:ext>
          </a:extLst>
        </xdr:cNvPr>
        <xdr:cNvCxnSpPr/>
      </xdr:nvCxnSpPr>
      <xdr:spPr>
        <a:xfrm flipV="1">
          <a:off x="12051388" y="4363387"/>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81638</xdr:colOff>
      <xdr:row>25</xdr:row>
      <xdr:rowOff>5545</xdr:rowOff>
    </xdr:from>
    <xdr:to>
      <xdr:col>20</xdr:col>
      <xdr:colOff>585586</xdr:colOff>
      <xdr:row>25</xdr:row>
      <xdr:rowOff>6702</xdr:rowOff>
    </xdr:to>
    <xdr:cxnSp macro="">
      <xdr:nvCxnSpPr>
        <xdr:cNvPr id="143" name="Straight Connector 142">
          <a:extLst>
            <a:ext uri="{FF2B5EF4-FFF2-40B4-BE49-F238E27FC236}">
              <a16:creationId xmlns:a16="http://schemas.microsoft.com/office/drawing/2014/main" id="{931C6151-6C0E-4173-A792-EA939CDA43D4}"/>
            </a:ext>
          </a:extLst>
        </xdr:cNvPr>
        <xdr:cNvCxnSpPr/>
      </xdr:nvCxnSpPr>
      <xdr:spPr>
        <a:xfrm flipV="1">
          <a:off x="12051388" y="4367995"/>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76561</xdr:colOff>
      <xdr:row>33</xdr:row>
      <xdr:rowOff>162327</xdr:rowOff>
    </xdr:from>
    <xdr:to>
      <xdr:col>20</xdr:col>
      <xdr:colOff>580463</xdr:colOff>
      <xdr:row>33</xdr:row>
      <xdr:rowOff>163484</xdr:rowOff>
    </xdr:to>
    <xdr:cxnSp macro="">
      <xdr:nvCxnSpPr>
        <xdr:cNvPr id="144" name="Straight Connector 143">
          <a:extLst>
            <a:ext uri="{FF2B5EF4-FFF2-40B4-BE49-F238E27FC236}">
              <a16:creationId xmlns:a16="http://schemas.microsoft.com/office/drawing/2014/main" id="{586846F0-3F94-4053-91AD-8BFEE31A5CDE}"/>
            </a:ext>
          </a:extLst>
        </xdr:cNvPr>
        <xdr:cNvCxnSpPr/>
      </xdr:nvCxnSpPr>
      <xdr:spPr>
        <a:xfrm flipV="1">
          <a:off x="12046311" y="6010677"/>
          <a:ext cx="1113502"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76561</xdr:colOff>
      <xdr:row>40</xdr:row>
      <xdr:rowOff>159727</xdr:rowOff>
    </xdr:from>
    <xdr:to>
      <xdr:col>20</xdr:col>
      <xdr:colOff>580463</xdr:colOff>
      <xdr:row>40</xdr:row>
      <xdr:rowOff>160884</xdr:rowOff>
    </xdr:to>
    <xdr:cxnSp macro="">
      <xdr:nvCxnSpPr>
        <xdr:cNvPr id="145" name="Straight Connector 144">
          <a:extLst>
            <a:ext uri="{FF2B5EF4-FFF2-40B4-BE49-F238E27FC236}">
              <a16:creationId xmlns:a16="http://schemas.microsoft.com/office/drawing/2014/main" id="{2A293A6B-9CBC-4E98-A9F6-1C58C7B7A257}"/>
            </a:ext>
          </a:extLst>
        </xdr:cNvPr>
        <xdr:cNvCxnSpPr/>
      </xdr:nvCxnSpPr>
      <xdr:spPr>
        <a:xfrm flipV="1">
          <a:off x="12046311" y="7157427"/>
          <a:ext cx="1113502"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57761</xdr:colOff>
      <xdr:row>44</xdr:row>
      <xdr:rowOff>162046</xdr:rowOff>
    </xdr:from>
    <xdr:to>
      <xdr:col>20</xdr:col>
      <xdr:colOff>561663</xdr:colOff>
      <xdr:row>44</xdr:row>
      <xdr:rowOff>163364</xdr:rowOff>
    </xdr:to>
    <xdr:cxnSp macro="">
      <xdr:nvCxnSpPr>
        <xdr:cNvPr id="146" name="Straight Connector 145">
          <a:extLst>
            <a:ext uri="{FF2B5EF4-FFF2-40B4-BE49-F238E27FC236}">
              <a16:creationId xmlns:a16="http://schemas.microsoft.com/office/drawing/2014/main" id="{41D54646-873C-439F-AAC6-40FBD1D80320}"/>
            </a:ext>
          </a:extLst>
        </xdr:cNvPr>
        <xdr:cNvCxnSpPr/>
      </xdr:nvCxnSpPr>
      <xdr:spPr>
        <a:xfrm flipV="1">
          <a:off x="12027511" y="7896346"/>
          <a:ext cx="1113502"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57761</xdr:colOff>
      <xdr:row>53</xdr:row>
      <xdr:rowOff>159446</xdr:rowOff>
    </xdr:from>
    <xdr:to>
      <xdr:col>20</xdr:col>
      <xdr:colOff>561663</xdr:colOff>
      <xdr:row>53</xdr:row>
      <xdr:rowOff>160764</xdr:rowOff>
    </xdr:to>
    <xdr:cxnSp macro="">
      <xdr:nvCxnSpPr>
        <xdr:cNvPr id="147" name="Straight Connector 146">
          <a:extLst>
            <a:ext uri="{FF2B5EF4-FFF2-40B4-BE49-F238E27FC236}">
              <a16:creationId xmlns:a16="http://schemas.microsoft.com/office/drawing/2014/main" id="{46B285CF-F1C4-482D-93CD-356CD0A90D5A}"/>
            </a:ext>
          </a:extLst>
        </xdr:cNvPr>
        <xdr:cNvCxnSpPr/>
      </xdr:nvCxnSpPr>
      <xdr:spPr>
        <a:xfrm flipV="1">
          <a:off x="12027511" y="9398696"/>
          <a:ext cx="1113502"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57761</xdr:colOff>
      <xdr:row>54</xdr:row>
      <xdr:rowOff>161846</xdr:rowOff>
    </xdr:from>
    <xdr:to>
      <xdr:col>20</xdr:col>
      <xdr:colOff>561663</xdr:colOff>
      <xdr:row>54</xdr:row>
      <xdr:rowOff>163164</xdr:rowOff>
    </xdr:to>
    <xdr:cxnSp macro="">
      <xdr:nvCxnSpPr>
        <xdr:cNvPr id="148" name="Straight Connector 147">
          <a:extLst>
            <a:ext uri="{FF2B5EF4-FFF2-40B4-BE49-F238E27FC236}">
              <a16:creationId xmlns:a16="http://schemas.microsoft.com/office/drawing/2014/main" id="{1AEDA288-35B3-4B4E-9AE8-BA7F97203E56}"/>
            </a:ext>
          </a:extLst>
        </xdr:cNvPr>
        <xdr:cNvCxnSpPr/>
      </xdr:nvCxnSpPr>
      <xdr:spPr>
        <a:xfrm flipV="1">
          <a:off x="12027511" y="9585246"/>
          <a:ext cx="1113502"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57761</xdr:colOff>
      <xdr:row>55</xdr:row>
      <xdr:rowOff>4246</xdr:rowOff>
    </xdr:from>
    <xdr:to>
      <xdr:col>20</xdr:col>
      <xdr:colOff>561663</xdr:colOff>
      <xdr:row>55</xdr:row>
      <xdr:rowOff>5564</xdr:rowOff>
    </xdr:to>
    <xdr:cxnSp macro="">
      <xdr:nvCxnSpPr>
        <xdr:cNvPr id="149" name="Straight Connector 148">
          <a:extLst>
            <a:ext uri="{FF2B5EF4-FFF2-40B4-BE49-F238E27FC236}">
              <a16:creationId xmlns:a16="http://schemas.microsoft.com/office/drawing/2014/main" id="{38FE66AA-31EE-4CE8-B1F8-550081439B72}"/>
            </a:ext>
          </a:extLst>
        </xdr:cNvPr>
        <xdr:cNvCxnSpPr/>
      </xdr:nvCxnSpPr>
      <xdr:spPr>
        <a:xfrm flipV="1">
          <a:off x="12027511" y="9611796"/>
          <a:ext cx="1113502"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81638</xdr:colOff>
      <xdr:row>16</xdr:row>
      <xdr:rowOff>154837</xdr:rowOff>
    </xdr:from>
    <xdr:to>
      <xdr:col>20</xdr:col>
      <xdr:colOff>585586</xdr:colOff>
      <xdr:row>16</xdr:row>
      <xdr:rowOff>155994</xdr:rowOff>
    </xdr:to>
    <xdr:cxnSp macro="">
      <xdr:nvCxnSpPr>
        <xdr:cNvPr id="150" name="Straight Connector 149">
          <a:extLst>
            <a:ext uri="{FF2B5EF4-FFF2-40B4-BE49-F238E27FC236}">
              <a16:creationId xmlns:a16="http://schemas.microsoft.com/office/drawing/2014/main" id="{040C6EDB-337D-48DC-9298-41662A9C0B65}"/>
            </a:ext>
          </a:extLst>
        </xdr:cNvPr>
        <xdr:cNvCxnSpPr/>
      </xdr:nvCxnSpPr>
      <xdr:spPr>
        <a:xfrm flipV="1">
          <a:off x="12051388" y="2993287"/>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81981</xdr:colOff>
      <xdr:row>24</xdr:row>
      <xdr:rowOff>191437</xdr:rowOff>
    </xdr:from>
    <xdr:to>
      <xdr:col>12</xdr:col>
      <xdr:colOff>585928</xdr:colOff>
      <xdr:row>24</xdr:row>
      <xdr:rowOff>192594</xdr:rowOff>
    </xdr:to>
    <xdr:cxnSp macro="">
      <xdr:nvCxnSpPr>
        <xdr:cNvPr id="151" name="Straight Connector 150">
          <a:extLst>
            <a:ext uri="{FF2B5EF4-FFF2-40B4-BE49-F238E27FC236}">
              <a16:creationId xmlns:a16="http://schemas.microsoft.com/office/drawing/2014/main" id="{D80DEE7D-F8E2-4995-9056-552CDE0D9993}"/>
            </a:ext>
          </a:extLst>
        </xdr:cNvPr>
        <xdr:cNvCxnSpPr/>
      </xdr:nvCxnSpPr>
      <xdr:spPr>
        <a:xfrm flipV="1">
          <a:off x="7174931" y="436338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81981</xdr:colOff>
      <xdr:row>25</xdr:row>
      <xdr:rowOff>5545</xdr:rowOff>
    </xdr:from>
    <xdr:to>
      <xdr:col>12</xdr:col>
      <xdr:colOff>585928</xdr:colOff>
      <xdr:row>25</xdr:row>
      <xdr:rowOff>6702</xdr:rowOff>
    </xdr:to>
    <xdr:cxnSp macro="">
      <xdr:nvCxnSpPr>
        <xdr:cNvPr id="152" name="Straight Connector 151">
          <a:extLst>
            <a:ext uri="{FF2B5EF4-FFF2-40B4-BE49-F238E27FC236}">
              <a16:creationId xmlns:a16="http://schemas.microsoft.com/office/drawing/2014/main" id="{BDA92D07-BB1C-43F3-9E34-1E93CBD45D31}"/>
            </a:ext>
          </a:extLst>
        </xdr:cNvPr>
        <xdr:cNvCxnSpPr/>
      </xdr:nvCxnSpPr>
      <xdr:spPr>
        <a:xfrm flipV="1">
          <a:off x="7174931" y="436799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81981</xdr:colOff>
      <xdr:row>24</xdr:row>
      <xdr:rowOff>191437</xdr:rowOff>
    </xdr:from>
    <xdr:to>
      <xdr:col>14</xdr:col>
      <xdr:colOff>585928</xdr:colOff>
      <xdr:row>24</xdr:row>
      <xdr:rowOff>192594</xdr:rowOff>
    </xdr:to>
    <xdr:cxnSp macro="">
      <xdr:nvCxnSpPr>
        <xdr:cNvPr id="153" name="Straight Connector 152">
          <a:extLst>
            <a:ext uri="{FF2B5EF4-FFF2-40B4-BE49-F238E27FC236}">
              <a16:creationId xmlns:a16="http://schemas.microsoft.com/office/drawing/2014/main" id="{E3EEC949-5601-4D98-8B10-5B501C6ACFD0}"/>
            </a:ext>
          </a:extLst>
        </xdr:cNvPr>
        <xdr:cNvCxnSpPr/>
      </xdr:nvCxnSpPr>
      <xdr:spPr>
        <a:xfrm flipV="1">
          <a:off x="8394131" y="436338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81981</xdr:colOff>
      <xdr:row>25</xdr:row>
      <xdr:rowOff>5545</xdr:rowOff>
    </xdr:from>
    <xdr:to>
      <xdr:col>14</xdr:col>
      <xdr:colOff>585928</xdr:colOff>
      <xdr:row>25</xdr:row>
      <xdr:rowOff>6702</xdr:rowOff>
    </xdr:to>
    <xdr:cxnSp macro="">
      <xdr:nvCxnSpPr>
        <xdr:cNvPr id="154" name="Straight Connector 153">
          <a:extLst>
            <a:ext uri="{FF2B5EF4-FFF2-40B4-BE49-F238E27FC236}">
              <a16:creationId xmlns:a16="http://schemas.microsoft.com/office/drawing/2014/main" id="{146AE8D3-DBB1-4EC9-934D-615C4CE57E1B}"/>
            </a:ext>
          </a:extLst>
        </xdr:cNvPr>
        <xdr:cNvCxnSpPr/>
      </xdr:nvCxnSpPr>
      <xdr:spPr>
        <a:xfrm flipV="1">
          <a:off x="8394131" y="436799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81981</xdr:colOff>
      <xdr:row>24</xdr:row>
      <xdr:rowOff>191437</xdr:rowOff>
    </xdr:from>
    <xdr:to>
      <xdr:col>16</xdr:col>
      <xdr:colOff>585928</xdr:colOff>
      <xdr:row>24</xdr:row>
      <xdr:rowOff>192594</xdr:rowOff>
    </xdr:to>
    <xdr:cxnSp macro="">
      <xdr:nvCxnSpPr>
        <xdr:cNvPr id="155" name="Straight Connector 154">
          <a:extLst>
            <a:ext uri="{FF2B5EF4-FFF2-40B4-BE49-F238E27FC236}">
              <a16:creationId xmlns:a16="http://schemas.microsoft.com/office/drawing/2014/main" id="{155191A0-34FB-44FA-975D-256EA3A9928C}"/>
            </a:ext>
          </a:extLst>
        </xdr:cNvPr>
        <xdr:cNvCxnSpPr/>
      </xdr:nvCxnSpPr>
      <xdr:spPr>
        <a:xfrm flipV="1">
          <a:off x="9613331" y="436338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81981</xdr:colOff>
      <xdr:row>25</xdr:row>
      <xdr:rowOff>5545</xdr:rowOff>
    </xdr:from>
    <xdr:to>
      <xdr:col>16</xdr:col>
      <xdr:colOff>585928</xdr:colOff>
      <xdr:row>25</xdr:row>
      <xdr:rowOff>6702</xdr:rowOff>
    </xdr:to>
    <xdr:cxnSp macro="">
      <xdr:nvCxnSpPr>
        <xdr:cNvPr id="156" name="Straight Connector 155">
          <a:extLst>
            <a:ext uri="{FF2B5EF4-FFF2-40B4-BE49-F238E27FC236}">
              <a16:creationId xmlns:a16="http://schemas.microsoft.com/office/drawing/2014/main" id="{CB374FA4-4A3D-4EA2-971A-423B2F61A269}"/>
            </a:ext>
          </a:extLst>
        </xdr:cNvPr>
        <xdr:cNvCxnSpPr/>
      </xdr:nvCxnSpPr>
      <xdr:spPr>
        <a:xfrm flipV="1">
          <a:off x="9613331" y="436799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81981</xdr:colOff>
      <xdr:row>24</xdr:row>
      <xdr:rowOff>191437</xdr:rowOff>
    </xdr:from>
    <xdr:to>
      <xdr:col>18</xdr:col>
      <xdr:colOff>585928</xdr:colOff>
      <xdr:row>24</xdr:row>
      <xdr:rowOff>192594</xdr:rowOff>
    </xdr:to>
    <xdr:cxnSp macro="">
      <xdr:nvCxnSpPr>
        <xdr:cNvPr id="157" name="Straight Connector 156">
          <a:extLst>
            <a:ext uri="{FF2B5EF4-FFF2-40B4-BE49-F238E27FC236}">
              <a16:creationId xmlns:a16="http://schemas.microsoft.com/office/drawing/2014/main" id="{22A8E806-8BDC-4DF9-BB87-4562974C0E65}"/>
            </a:ext>
          </a:extLst>
        </xdr:cNvPr>
        <xdr:cNvCxnSpPr/>
      </xdr:nvCxnSpPr>
      <xdr:spPr>
        <a:xfrm flipV="1">
          <a:off x="10832531" y="436338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81981</xdr:colOff>
      <xdr:row>25</xdr:row>
      <xdr:rowOff>5545</xdr:rowOff>
    </xdr:from>
    <xdr:to>
      <xdr:col>18</xdr:col>
      <xdr:colOff>585928</xdr:colOff>
      <xdr:row>25</xdr:row>
      <xdr:rowOff>6702</xdr:rowOff>
    </xdr:to>
    <xdr:cxnSp macro="">
      <xdr:nvCxnSpPr>
        <xdr:cNvPr id="158" name="Straight Connector 157">
          <a:extLst>
            <a:ext uri="{FF2B5EF4-FFF2-40B4-BE49-F238E27FC236}">
              <a16:creationId xmlns:a16="http://schemas.microsoft.com/office/drawing/2014/main" id="{67C5E168-4CB7-4F84-A50D-FF032778EF0C}"/>
            </a:ext>
          </a:extLst>
        </xdr:cNvPr>
        <xdr:cNvCxnSpPr/>
      </xdr:nvCxnSpPr>
      <xdr:spPr>
        <a:xfrm flipV="1">
          <a:off x="10832531" y="436799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81981</xdr:colOff>
      <xdr:row>24</xdr:row>
      <xdr:rowOff>191437</xdr:rowOff>
    </xdr:from>
    <xdr:to>
      <xdr:col>20</xdr:col>
      <xdr:colOff>585928</xdr:colOff>
      <xdr:row>24</xdr:row>
      <xdr:rowOff>192594</xdr:rowOff>
    </xdr:to>
    <xdr:cxnSp macro="">
      <xdr:nvCxnSpPr>
        <xdr:cNvPr id="159" name="Straight Connector 158">
          <a:extLst>
            <a:ext uri="{FF2B5EF4-FFF2-40B4-BE49-F238E27FC236}">
              <a16:creationId xmlns:a16="http://schemas.microsoft.com/office/drawing/2014/main" id="{1A4BAEC5-513D-49E7-973E-9F207E3CAD0D}"/>
            </a:ext>
          </a:extLst>
        </xdr:cNvPr>
        <xdr:cNvCxnSpPr/>
      </xdr:nvCxnSpPr>
      <xdr:spPr>
        <a:xfrm flipV="1">
          <a:off x="12051731" y="436338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81981</xdr:colOff>
      <xdr:row>25</xdr:row>
      <xdr:rowOff>5545</xdr:rowOff>
    </xdr:from>
    <xdr:to>
      <xdr:col>20</xdr:col>
      <xdr:colOff>585928</xdr:colOff>
      <xdr:row>25</xdr:row>
      <xdr:rowOff>6702</xdr:rowOff>
    </xdr:to>
    <xdr:cxnSp macro="">
      <xdr:nvCxnSpPr>
        <xdr:cNvPr id="160" name="Straight Connector 159">
          <a:extLst>
            <a:ext uri="{FF2B5EF4-FFF2-40B4-BE49-F238E27FC236}">
              <a16:creationId xmlns:a16="http://schemas.microsoft.com/office/drawing/2014/main" id="{934FCCF9-772E-4496-B3C3-96F782FC71A1}"/>
            </a:ext>
          </a:extLst>
        </xdr:cNvPr>
        <xdr:cNvCxnSpPr/>
      </xdr:nvCxnSpPr>
      <xdr:spPr>
        <a:xfrm flipV="1">
          <a:off x="12051731" y="436799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81981</xdr:colOff>
      <xdr:row>27</xdr:row>
      <xdr:rowOff>191437</xdr:rowOff>
    </xdr:from>
    <xdr:to>
      <xdr:col>10</xdr:col>
      <xdr:colOff>585928</xdr:colOff>
      <xdr:row>27</xdr:row>
      <xdr:rowOff>192594</xdr:rowOff>
    </xdr:to>
    <xdr:cxnSp macro="">
      <xdr:nvCxnSpPr>
        <xdr:cNvPr id="161" name="Straight Connector 160">
          <a:extLst>
            <a:ext uri="{FF2B5EF4-FFF2-40B4-BE49-F238E27FC236}">
              <a16:creationId xmlns:a16="http://schemas.microsoft.com/office/drawing/2014/main" id="{3ADC5C79-7E9C-4052-BD61-29F4880EF955}"/>
            </a:ext>
          </a:extLst>
        </xdr:cNvPr>
        <xdr:cNvCxnSpPr/>
      </xdr:nvCxnSpPr>
      <xdr:spPr>
        <a:xfrm flipV="1">
          <a:off x="5955731" y="491583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81981</xdr:colOff>
      <xdr:row>28</xdr:row>
      <xdr:rowOff>5545</xdr:rowOff>
    </xdr:from>
    <xdr:to>
      <xdr:col>10</xdr:col>
      <xdr:colOff>585928</xdr:colOff>
      <xdr:row>28</xdr:row>
      <xdr:rowOff>6702</xdr:rowOff>
    </xdr:to>
    <xdr:cxnSp macro="">
      <xdr:nvCxnSpPr>
        <xdr:cNvPr id="162" name="Straight Connector 161">
          <a:extLst>
            <a:ext uri="{FF2B5EF4-FFF2-40B4-BE49-F238E27FC236}">
              <a16:creationId xmlns:a16="http://schemas.microsoft.com/office/drawing/2014/main" id="{3BF1BF2C-2346-4EC2-988F-55145973B3B3}"/>
            </a:ext>
          </a:extLst>
        </xdr:cNvPr>
        <xdr:cNvCxnSpPr/>
      </xdr:nvCxnSpPr>
      <xdr:spPr>
        <a:xfrm flipV="1">
          <a:off x="5955731" y="492044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81981</xdr:colOff>
      <xdr:row>27</xdr:row>
      <xdr:rowOff>191437</xdr:rowOff>
    </xdr:from>
    <xdr:to>
      <xdr:col>12</xdr:col>
      <xdr:colOff>585928</xdr:colOff>
      <xdr:row>27</xdr:row>
      <xdr:rowOff>192594</xdr:rowOff>
    </xdr:to>
    <xdr:cxnSp macro="">
      <xdr:nvCxnSpPr>
        <xdr:cNvPr id="163" name="Straight Connector 162">
          <a:extLst>
            <a:ext uri="{FF2B5EF4-FFF2-40B4-BE49-F238E27FC236}">
              <a16:creationId xmlns:a16="http://schemas.microsoft.com/office/drawing/2014/main" id="{1B3B77CB-A0AE-4118-A97F-77BB4BBEEF34}"/>
            </a:ext>
          </a:extLst>
        </xdr:cNvPr>
        <xdr:cNvCxnSpPr/>
      </xdr:nvCxnSpPr>
      <xdr:spPr>
        <a:xfrm flipV="1">
          <a:off x="7174931" y="491583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81981</xdr:colOff>
      <xdr:row>28</xdr:row>
      <xdr:rowOff>5545</xdr:rowOff>
    </xdr:from>
    <xdr:to>
      <xdr:col>12</xdr:col>
      <xdr:colOff>585928</xdr:colOff>
      <xdr:row>28</xdr:row>
      <xdr:rowOff>6702</xdr:rowOff>
    </xdr:to>
    <xdr:cxnSp macro="">
      <xdr:nvCxnSpPr>
        <xdr:cNvPr id="164" name="Straight Connector 163">
          <a:extLst>
            <a:ext uri="{FF2B5EF4-FFF2-40B4-BE49-F238E27FC236}">
              <a16:creationId xmlns:a16="http://schemas.microsoft.com/office/drawing/2014/main" id="{F5BBAA1D-E89D-4E7E-9A39-D9AB48BFB3BB}"/>
            </a:ext>
          </a:extLst>
        </xdr:cNvPr>
        <xdr:cNvCxnSpPr/>
      </xdr:nvCxnSpPr>
      <xdr:spPr>
        <a:xfrm flipV="1">
          <a:off x="7174931" y="492044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81981</xdr:colOff>
      <xdr:row>27</xdr:row>
      <xdr:rowOff>191437</xdr:rowOff>
    </xdr:from>
    <xdr:to>
      <xdr:col>14</xdr:col>
      <xdr:colOff>585928</xdr:colOff>
      <xdr:row>27</xdr:row>
      <xdr:rowOff>192594</xdr:rowOff>
    </xdr:to>
    <xdr:cxnSp macro="">
      <xdr:nvCxnSpPr>
        <xdr:cNvPr id="165" name="Straight Connector 164">
          <a:extLst>
            <a:ext uri="{FF2B5EF4-FFF2-40B4-BE49-F238E27FC236}">
              <a16:creationId xmlns:a16="http://schemas.microsoft.com/office/drawing/2014/main" id="{B021F074-64B5-4333-9985-59E4D2BCA2FE}"/>
            </a:ext>
          </a:extLst>
        </xdr:cNvPr>
        <xdr:cNvCxnSpPr/>
      </xdr:nvCxnSpPr>
      <xdr:spPr>
        <a:xfrm flipV="1">
          <a:off x="8394131" y="491583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81981</xdr:colOff>
      <xdr:row>28</xdr:row>
      <xdr:rowOff>5545</xdr:rowOff>
    </xdr:from>
    <xdr:to>
      <xdr:col>14</xdr:col>
      <xdr:colOff>585928</xdr:colOff>
      <xdr:row>28</xdr:row>
      <xdr:rowOff>6702</xdr:rowOff>
    </xdr:to>
    <xdr:cxnSp macro="">
      <xdr:nvCxnSpPr>
        <xdr:cNvPr id="166" name="Straight Connector 165">
          <a:extLst>
            <a:ext uri="{FF2B5EF4-FFF2-40B4-BE49-F238E27FC236}">
              <a16:creationId xmlns:a16="http://schemas.microsoft.com/office/drawing/2014/main" id="{1E2B7FBB-ECB3-4B7A-9774-B9F925472C65}"/>
            </a:ext>
          </a:extLst>
        </xdr:cNvPr>
        <xdr:cNvCxnSpPr/>
      </xdr:nvCxnSpPr>
      <xdr:spPr>
        <a:xfrm flipV="1">
          <a:off x="8394131" y="492044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81981</xdr:colOff>
      <xdr:row>27</xdr:row>
      <xdr:rowOff>191437</xdr:rowOff>
    </xdr:from>
    <xdr:to>
      <xdr:col>16</xdr:col>
      <xdr:colOff>585928</xdr:colOff>
      <xdr:row>27</xdr:row>
      <xdr:rowOff>192594</xdr:rowOff>
    </xdr:to>
    <xdr:cxnSp macro="">
      <xdr:nvCxnSpPr>
        <xdr:cNvPr id="167" name="Straight Connector 166">
          <a:extLst>
            <a:ext uri="{FF2B5EF4-FFF2-40B4-BE49-F238E27FC236}">
              <a16:creationId xmlns:a16="http://schemas.microsoft.com/office/drawing/2014/main" id="{5758D099-6915-42DA-8CA3-CF89521EF55A}"/>
            </a:ext>
          </a:extLst>
        </xdr:cNvPr>
        <xdr:cNvCxnSpPr/>
      </xdr:nvCxnSpPr>
      <xdr:spPr>
        <a:xfrm flipV="1">
          <a:off x="9613331" y="491583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81981</xdr:colOff>
      <xdr:row>28</xdr:row>
      <xdr:rowOff>5545</xdr:rowOff>
    </xdr:from>
    <xdr:to>
      <xdr:col>16</xdr:col>
      <xdr:colOff>585928</xdr:colOff>
      <xdr:row>28</xdr:row>
      <xdr:rowOff>6702</xdr:rowOff>
    </xdr:to>
    <xdr:cxnSp macro="">
      <xdr:nvCxnSpPr>
        <xdr:cNvPr id="168" name="Straight Connector 167">
          <a:extLst>
            <a:ext uri="{FF2B5EF4-FFF2-40B4-BE49-F238E27FC236}">
              <a16:creationId xmlns:a16="http://schemas.microsoft.com/office/drawing/2014/main" id="{473BD679-1465-491D-B6FE-B36566F9D3F2}"/>
            </a:ext>
          </a:extLst>
        </xdr:cNvPr>
        <xdr:cNvCxnSpPr/>
      </xdr:nvCxnSpPr>
      <xdr:spPr>
        <a:xfrm flipV="1">
          <a:off x="9613331" y="492044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81981</xdr:colOff>
      <xdr:row>27</xdr:row>
      <xdr:rowOff>191437</xdr:rowOff>
    </xdr:from>
    <xdr:to>
      <xdr:col>18</xdr:col>
      <xdr:colOff>585928</xdr:colOff>
      <xdr:row>27</xdr:row>
      <xdr:rowOff>192594</xdr:rowOff>
    </xdr:to>
    <xdr:cxnSp macro="">
      <xdr:nvCxnSpPr>
        <xdr:cNvPr id="169" name="Straight Connector 168">
          <a:extLst>
            <a:ext uri="{FF2B5EF4-FFF2-40B4-BE49-F238E27FC236}">
              <a16:creationId xmlns:a16="http://schemas.microsoft.com/office/drawing/2014/main" id="{9CD5DE47-85CD-4978-B260-147D57EBD2DF}"/>
            </a:ext>
          </a:extLst>
        </xdr:cNvPr>
        <xdr:cNvCxnSpPr/>
      </xdr:nvCxnSpPr>
      <xdr:spPr>
        <a:xfrm flipV="1">
          <a:off x="10832531" y="491583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81981</xdr:colOff>
      <xdr:row>28</xdr:row>
      <xdr:rowOff>5545</xdr:rowOff>
    </xdr:from>
    <xdr:to>
      <xdr:col>18</xdr:col>
      <xdr:colOff>585928</xdr:colOff>
      <xdr:row>28</xdr:row>
      <xdr:rowOff>6702</xdr:rowOff>
    </xdr:to>
    <xdr:cxnSp macro="">
      <xdr:nvCxnSpPr>
        <xdr:cNvPr id="170" name="Straight Connector 169">
          <a:extLst>
            <a:ext uri="{FF2B5EF4-FFF2-40B4-BE49-F238E27FC236}">
              <a16:creationId xmlns:a16="http://schemas.microsoft.com/office/drawing/2014/main" id="{7CEE9057-48A3-4E48-B4C4-E7B03D810FF3}"/>
            </a:ext>
          </a:extLst>
        </xdr:cNvPr>
        <xdr:cNvCxnSpPr/>
      </xdr:nvCxnSpPr>
      <xdr:spPr>
        <a:xfrm flipV="1">
          <a:off x="10832531" y="492044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81981</xdr:colOff>
      <xdr:row>27</xdr:row>
      <xdr:rowOff>191437</xdr:rowOff>
    </xdr:from>
    <xdr:to>
      <xdr:col>20</xdr:col>
      <xdr:colOff>585928</xdr:colOff>
      <xdr:row>27</xdr:row>
      <xdr:rowOff>192594</xdr:rowOff>
    </xdr:to>
    <xdr:cxnSp macro="">
      <xdr:nvCxnSpPr>
        <xdr:cNvPr id="171" name="Straight Connector 170">
          <a:extLst>
            <a:ext uri="{FF2B5EF4-FFF2-40B4-BE49-F238E27FC236}">
              <a16:creationId xmlns:a16="http://schemas.microsoft.com/office/drawing/2014/main" id="{553AFED0-B010-4C21-8FF4-29559AC5268D}"/>
            </a:ext>
          </a:extLst>
        </xdr:cNvPr>
        <xdr:cNvCxnSpPr/>
      </xdr:nvCxnSpPr>
      <xdr:spPr>
        <a:xfrm flipV="1">
          <a:off x="12051731" y="491583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81981</xdr:colOff>
      <xdr:row>28</xdr:row>
      <xdr:rowOff>5545</xdr:rowOff>
    </xdr:from>
    <xdr:to>
      <xdr:col>20</xdr:col>
      <xdr:colOff>585928</xdr:colOff>
      <xdr:row>28</xdr:row>
      <xdr:rowOff>6702</xdr:rowOff>
    </xdr:to>
    <xdr:cxnSp macro="">
      <xdr:nvCxnSpPr>
        <xdr:cNvPr id="172" name="Straight Connector 171">
          <a:extLst>
            <a:ext uri="{FF2B5EF4-FFF2-40B4-BE49-F238E27FC236}">
              <a16:creationId xmlns:a16="http://schemas.microsoft.com/office/drawing/2014/main" id="{61FA3056-6032-426F-9BA4-308B1134003D}"/>
            </a:ext>
          </a:extLst>
        </xdr:cNvPr>
        <xdr:cNvCxnSpPr/>
      </xdr:nvCxnSpPr>
      <xdr:spPr>
        <a:xfrm flipV="1">
          <a:off x="12051731" y="492044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58081</xdr:colOff>
      <xdr:row>44</xdr:row>
      <xdr:rowOff>162046</xdr:rowOff>
    </xdr:from>
    <xdr:to>
      <xdr:col>12</xdr:col>
      <xdr:colOff>562028</xdr:colOff>
      <xdr:row>44</xdr:row>
      <xdr:rowOff>163364</xdr:rowOff>
    </xdr:to>
    <xdr:cxnSp macro="">
      <xdr:nvCxnSpPr>
        <xdr:cNvPr id="173" name="Straight Connector 172">
          <a:extLst>
            <a:ext uri="{FF2B5EF4-FFF2-40B4-BE49-F238E27FC236}">
              <a16:creationId xmlns:a16="http://schemas.microsoft.com/office/drawing/2014/main" id="{87884242-AC4D-4478-B5CB-4F63E2EF6A47}"/>
            </a:ext>
          </a:extLst>
        </xdr:cNvPr>
        <xdr:cNvCxnSpPr/>
      </xdr:nvCxnSpPr>
      <xdr:spPr>
        <a:xfrm flipV="1">
          <a:off x="7151031" y="78963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58081</xdr:colOff>
      <xdr:row>44</xdr:row>
      <xdr:rowOff>162046</xdr:rowOff>
    </xdr:from>
    <xdr:to>
      <xdr:col>14</xdr:col>
      <xdr:colOff>562028</xdr:colOff>
      <xdr:row>44</xdr:row>
      <xdr:rowOff>163364</xdr:rowOff>
    </xdr:to>
    <xdr:cxnSp macro="">
      <xdr:nvCxnSpPr>
        <xdr:cNvPr id="174" name="Straight Connector 173">
          <a:extLst>
            <a:ext uri="{FF2B5EF4-FFF2-40B4-BE49-F238E27FC236}">
              <a16:creationId xmlns:a16="http://schemas.microsoft.com/office/drawing/2014/main" id="{531D7627-02C6-4758-85C1-21193C34262B}"/>
            </a:ext>
          </a:extLst>
        </xdr:cNvPr>
        <xdr:cNvCxnSpPr/>
      </xdr:nvCxnSpPr>
      <xdr:spPr>
        <a:xfrm flipV="1">
          <a:off x="8370231" y="78963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58081</xdr:colOff>
      <xdr:row>44</xdr:row>
      <xdr:rowOff>162046</xdr:rowOff>
    </xdr:from>
    <xdr:to>
      <xdr:col>16</xdr:col>
      <xdr:colOff>562028</xdr:colOff>
      <xdr:row>44</xdr:row>
      <xdr:rowOff>163364</xdr:rowOff>
    </xdr:to>
    <xdr:cxnSp macro="">
      <xdr:nvCxnSpPr>
        <xdr:cNvPr id="175" name="Straight Connector 174">
          <a:extLst>
            <a:ext uri="{FF2B5EF4-FFF2-40B4-BE49-F238E27FC236}">
              <a16:creationId xmlns:a16="http://schemas.microsoft.com/office/drawing/2014/main" id="{ED8C7C2C-8059-48D1-AF01-5A2EC998C810}"/>
            </a:ext>
          </a:extLst>
        </xdr:cNvPr>
        <xdr:cNvCxnSpPr/>
      </xdr:nvCxnSpPr>
      <xdr:spPr>
        <a:xfrm flipV="1">
          <a:off x="9589431" y="78963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58081</xdr:colOff>
      <xdr:row>44</xdr:row>
      <xdr:rowOff>162046</xdr:rowOff>
    </xdr:from>
    <xdr:to>
      <xdr:col>18</xdr:col>
      <xdr:colOff>562028</xdr:colOff>
      <xdr:row>44</xdr:row>
      <xdr:rowOff>163364</xdr:rowOff>
    </xdr:to>
    <xdr:cxnSp macro="">
      <xdr:nvCxnSpPr>
        <xdr:cNvPr id="176" name="Straight Connector 175">
          <a:extLst>
            <a:ext uri="{FF2B5EF4-FFF2-40B4-BE49-F238E27FC236}">
              <a16:creationId xmlns:a16="http://schemas.microsoft.com/office/drawing/2014/main" id="{4F0577F5-5618-4C1D-9A52-85FD169AB1DF}"/>
            </a:ext>
          </a:extLst>
        </xdr:cNvPr>
        <xdr:cNvCxnSpPr/>
      </xdr:nvCxnSpPr>
      <xdr:spPr>
        <a:xfrm flipV="1">
          <a:off x="10808631" y="78963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58081</xdr:colOff>
      <xdr:row>44</xdr:row>
      <xdr:rowOff>162046</xdr:rowOff>
    </xdr:from>
    <xdr:to>
      <xdr:col>20</xdr:col>
      <xdr:colOff>562028</xdr:colOff>
      <xdr:row>44</xdr:row>
      <xdr:rowOff>163364</xdr:rowOff>
    </xdr:to>
    <xdr:cxnSp macro="">
      <xdr:nvCxnSpPr>
        <xdr:cNvPr id="177" name="Straight Connector 176">
          <a:extLst>
            <a:ext uri="{FF2B5EF4-FFF2-40B4-BE49-F238E27FC236}">
              <a16:creationId xmlns:a16="http://schemas.microsoft.com/office/drawing/2014/main" id="{CD3287B9-46D1-40BA-8256-607200FE7C30}"/>
            </a:ext>
          </a:extLst>
        </xdr:cNvPr>
        <xdr:cNvCxnSpPr/>
      </xdr:nvCxnSpPr>
      <xdr:spPr>
        <a:xfrm flipV="1">
          <a:off x="12027831" y="78963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58081</xdr:colOff>
      <xdr:row>53</xdr:row>
      <xdr:rowOff>159446</xdr:rowOff>
    </xdr:from>
    <xdr:to>
      <xdr:col>12</xdr:col>
      <xdr:colOff>562028</xdr:colOff>
      <xdr:row>53</xdr:row>
      <xdr:rowOff>160764</xdr:rowOff>
    </xdr:to>
    <xdr:cxnSp macro="">
      <xdr:nvCxnSpPr>
        <xdr:cNvPr id="178" name="Straight Connector 177">
          <a:extLst>
            <a:ext uri="{FF2B5EF4-FFF2-40B4-BE49-F238E27FC236}">
              <a16:creationId xmlns:a16="http://schemas.microsoft.com/office/drawing/2014/main" id="{C4C9A4C8-0252-4283-859C-FD442A668522}"/>
            </a:ext>
          </a:extLst>
        </xdr:cNvPr>
        <xdr:cNvCxnSpPr/>
      </xdr:nvCxnSpPr>
      <xdr:spPr>
        <a:xfrm flipV="1">
          <a:off x="7151031" y="93986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58081</xdr:colOff>
      <xdr:row>53</xdr:row>
      <xdr:rowOff>159446</xdr:rowOff>
    </xdr:from>
    <xdr:to>
      <xdr:col>14</xdr:col>
      <xdr:colOff>562028</xdr:colOff>
      <xdr:row>53</xdr:row>
      <xdr:rowOff>160764</xdr:rowOff>
    </xdr:to>
    <xdr:cxnSp macro="">
      <xdr:nvCxnSpPr>
        <xdr:cNvPr id="179" name="Straight Connector 178">
          <a:extLst>
            <a:ext uri="{FF2B5EF4-FFF2-40B4-BE49-F238E27FC236}">
              <a16:creationId xmlns:a16="http://schemas.microsoft.com/office/drawing/2014/main" id="{A41A30C1-D83C-4118-8198-D50F7AECD1A1}"/>
            </a:ext>
          </a:extLst>
        </xdr:cNvPr>
        <xdr:cNvCxnSpPr/>
      </xdr:nvCxnSpPr>
      <xdr:spPr>
        <a:xfrm flipV="1">
          <a:off x="8370231" y="93986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58081</xdr:colOff>
      <xdr:row>53</xdr:row>
      <xdr:rowOff>159446</xdr:rowOff>
    </xdr:from>
    <xdr:to>
      <xdr:col>16</xdr:col>
      <xdr:colOff>562028</xdr:colOff>
      <xdr:row>53</xdr:row>
      <xdr:rowOff>160764</xdr:rowOff>
    </xdr:to>
    <xdr:cxnSp macro="">
      <xdr:nvCxnSpPr>
        <xdr:cNvPr id="180" name="Straight Connector 179">
          <a:extLst>
            <a:ext uri="{FF2B5EF4-FFF2-40B4-BE49-F238E27FC236}">
              <a16:creationId xmlns:a16="http://schemas.microsoft.com/office/drawing/2014/main" id="{F6A7A49A-8805-4743-9EC2-BB8C59B322D7}"/>
            </a:ext>
          </a:extLst>
        </xdr:cNvPr>
        <xdr:cNvCxnSpPr/>
      </xdr:nvCxnSpPr>
      <xdr:spPr>
        <a:xfrm flipV="1">
          <a:off x="9589431" y="93986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58081</xdr:colOff>
      <xdr:row>53</xdr:row>
      <xdr:rowOff>159446</xdr:rowOff>
    </xdr:from>
    <xdr:to>
      <xdr:col>18</xdr:col>
      <xdr:colOff>562028</xdr:colOff>
      <xdr:row>53</xdr:row>
      <xdr:rowOff>160764</xdr:rowOff>
    </xdr:to>
    <xdr:cxnSp macro="">
      <xdr:nvCxnSpPr>
        <xdr:cNvPr id="181" name="Straight Connector 180">
          <a:extLst>
            <a:ext uri="{FF2B5EF4-FFF2-40B4-BE49-F238E27FC236}">
              <a16:creationId xmlns:a16="http://schemas.microsoft.com/office/drawing/2014/main" id="{26FFD74F-1B02-4E8D-8104-B35823770356}"/>
            </a:ext>
          </a:extLst>
        </xdr:cNvPr>
        <xdr:cNvCxnSpPr/>
      </xdr:nvCxnSpPr>
      <xdr:spPr>
        <a:xfrm flipV="1">
          <a:off x="10808631" y="93986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58081</xdr:colOff>
      <xdr:row>53</xdr:row>
      <xdr:rowOff>159446</xdr:rowOff>
    </xdr:from>
    <xdr:to>
      <xdr:col>20</xdr:col>
      <xdr:colOff>562028</xdr:colOff>
      <xdr:row>53</xdr:row>
      <xdr:rowOff>160764</xdr:rowOff>
    </xdr:to>
    <xdr:cxnSp macro="">
      <xdr:nvCxnSpPr>
        <xdr:cNvPr id="182" name="Straight Connector 181">
          <a:extLst>
            <a:ext uri="{FF2B5EF4-FFF2-40B4-BE49-F238E27FC236}">
              <a16:creationId xmlns:a16="http://schemas.microsoft.com/office/drawing/2014/main" id="{604CCADC-D792-41EF-9730-6279A2ACA033}"/>
            </a:ext>
          </a:extLst>
        </xdr:cNvPr>
        <xdr:cNvCxnSpPr/>
      </xdr:nvCxnSpPr>
      <xdr:spPr>
        <a:xfrm flipV="1">
          <a:off x="12027831" y="93986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58081</xdr:colOff>
      <xdr:row>54</xdr:row>
      <xdr:rowOff>159446</xdr:rowOff>
    </xdr:from>
    <xdr:to>
      <xdr:col>10</xdr:col>
      <xdr:colOff>562028</xdr:colOff>
      <xdr:row>54</xdr:row>
      <xdr:rowOff>160764</xdr:rowOff>
    </xdr:to>
    <xdr:cxnSp macro="">
      <xdr:nvCxnSpPr>
        <xdr:cNvPr id="183" name="Straight Connector 182">
          <a:extLst>
            <a:ext uri="{FF2B5EF4-FFF2-40B4-BE49-F238E27FC236}">
              <a16:creationId xmlns:a16="http://schemas.microsoft.com/office/drawing/2014/main" id="{DF159091-8C8B-4D9A-84DA-3A2ABEA6128D}"/>
            </a:ext>
          </a:extLst>
        </xdr:cNvPr>
        <xdr:cNvCxnSpPr/>
      </xdr:nvCxnSpPr>
      <xdr:spPr>
        <a:xfrm flipV="1">
          <a:off x="5931831" y="95828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58081</xdr:colOff>
      <xdr:row>54</xdr:row>
      <xdr:rowOff>161846</xdr:rowOff>
    </xdr:from>
    <xdr:to>
      <xdr:col>12</xdr:col>
      <xdr:colOff>562028</xdr:colOff>
      <xdr:row>54</xdr:row>
      <xdr:rowOff>163164</xdr:rowOff>
    </xdr:to>
    <xdr:cxnSp macro="">
      <xdr:nvCxnSpPr>
        <xdr:cNvPr id="184" name="Straight Connector 183">
          <a:extLst>
            <a:ext uri="{FF2B5EF4-FFF2-40B4-BE49-F238E27FC236}">
              <a16:creationId xmlns:a16="http://schemas.microsoft.com/office/drawing/2014/main" id="{B716E0FB-8755-49B2-BCA6-B1363F803FA5}"/>
            </a:ext>
          </a:extLst>
        </xdr:cNvPr>
        <xdr:cNvCxnSpPr/>
      </xdr:nvCxnSpPr>
      <xdr:spPr>
        <a:xfrm flipV="1">
          <a:off x="7151031" y="95852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58081</xdr:colOff>
      <xdr:row>54</xdr:row>
      <xdr:rowOff>159446</xdr:rowOff>
    </xdr:from>
    <xdr:to>
      <xdr:col>12</xdr:col>
      <xdr:colOff>562028</xdr:colOff>
      <xdr:row>54</xdr:row>
      <xdr:rowOff>160764</xdr:rowOff>
    </xdr:to>
    <xdr:cxnSp macro="">
      <xdr:nvCxnSpPr>
        <xdr:cNvPr id="185" name="Straight Connector 184">
          <a:extLst>
            <a:ext uri="{FF2B5EF4-FFF2-40B4-BE49-F238E27FC236}">
              <a16:creationId xmlns:a16="http://schemas.microsoft.com/office/drawing/2014/main" id="{E503DF2B-D469-4586-A901-5A7D256DA270}"/>
            </a:ext>
          </a:extLst>
        </xdr:cNvPr>
        <xdr:cNvCxnSpPr/>
      </xdr:nvCxnSpPr>
      <xdr:spPr>
        <a:xfrm flipV="1">
          <a:off x="7151031" y="95828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58081</xdr:colOff>
      <xdr:row>54</xdr:row>
      <xdr:rowOff>161846</xdr:rowOff>
    </xdr:from>
    <xdr:to>
      <xdr:col>14</xdr:col>
      <xdr:colOff>562028</xdr:colOff>
      <xdr:row>54</xdr:row>
      <xdr:rowOff>163164</xdr:rowOff>
    </xdr:to>
    <xdr:cxnSp macro="">
      <xdr:nvCxnSpPr>
        <xdr:cNvPr id="186" name="Straight Connector 185">
          <a:extLst>
            <a:ext uri="{FF2B5EF4-FFF2-40B4-BE49-F238E27FC236}">
              <a16:creationId xmlns:a16="http://schemas.microsoft.com/office/drawing/2014/main" id="{2A0B819C-DA36-4139-82E4-DD4353422F62}"/>
            </a:ext>
          </a:extLst>
        </xdr:cNvPr>
        <xdr:cNvCxnSpPr/>
      </xdr:nvCxnSpPr>
      <xdr:spPr>
        <a:xfrm flipV="1">
          <a:off x="8370231" y="95852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58081</xdr:colOff>
      <xdr:row>54</xdr:row>
      <xdr:rowOff>159446</xdr:rowOff>
    </xdr:from>
    <xdr:to>
      <xdr:col>14</xdr:col>
      <xdr:colOff>562028</xdr:colOff>
      <xdr:row>54</xdr:row>
      <xdr:rowOff>160764</xdr:rowOff>
    </xdr:to>
    <xdr:cxnSp macro="">
      <xdr:nvCxnSpPr>
        <xdr:cNvPr id="187" name="Straight Connector 186">
          <a:extLst>
            <a:ext uri="{FF2B5EF4-FFF2-40B4-BE49-F238E27FC236}">
              <a16:creationId xmlns:a16="http://schemas.microsoft.com/office/drawing/2014/main" id="{66323636-3F4F-429F-86C1-8CB4A842B070}"/>
            </a:ext>
          </a:extLst>
        </xdr:cNvPr>
        <xdr:cNvCxnSpPr/>
      </xdr:nvCxnSpPr>
      <xdr:spPr>
        <a:xfrm flipV="1">
          <a:off x="8370231" y="95828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58081</xdr:colOff>
      <xdr:row>54</xdr:row>
      <xdr:rowOff>161846</xdr:rowOff>
    </xdr:from>
    <xdr:to>
      <xdr:col>16</xdr:col>
      <xdr:colOff>562028</xdr:colOff>
      <xdr:row>54</xdr:row>
      <xdr:rowOff>163164</xdr:rowOff>
    </xdr:to>
    <xdr:cxnSp macro="">
      <xdr:nvCxnSpPr>
        <xdr:cNvPr id="188" name="Straight Connector 187">
          <a:extLst>
            <a:ext uri="{FF2B5EF4-FFF2-40B4-BE49-F238E27FC236}">
              <a16:creationId xmlns:a16="http://schemas.microsoft.com/office/drawing/2014/main" id="{59450768-80B2-4583-9E2A-8811E921AC03}"/>
            </a:ext>
          </a:extLst>
        </xdr:cNvPr>
        <xdr:cNvCxnSpPr/>
      </xdr:nvCxnSpPr>
      <xdr:spPr>
        <a:xfrm flipV="1">
          <a:off x="9589431" y="95852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58081</xdr:colOff>
      <xdr:row>54</xdr:row>
      <xdr:rowOff>159446</xdr:rowOff>
    </xdr:from>
    <xdr:to>
      <xdr:col>16</xdr:col>
      <xdr:colOff>562028</xdr:colOff>
      <xdr:row>54</xdr:row>
      <xdr:rowOff>160764</xdr:rowOff>
    </xdr:to>
    <xdr:cxnSp macro="">
      <xdr:nvCxnSpPr>
        <xdr:cNvPr id="189" name="Straight Connector 188">
          <a:extLst>
            <a:ext uri="{FF2B5EF4-FFF2-40B4-BE49-F238E27FC236}">
              <a16:creationId xmlns:a16="http://schemas.microsoft.com/office/drawing/2014/main" id="{417F55B7-F1F1-4DFF-8067-18C93DF19630}"/>
            </a:ext>
          </a:extLst>
        </xdr:cNvPr>
        <xdr:cNvCxnSpPr/>
      </xdr:nvCxnSpPr>
      <xdr:spPr>
        <a:xfrm flipV="1">
          <a:off x="9589431" y="95828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58081</xdr:colOff>
      <xdr:row>54</xdr:row>
      <xdr:rowOff>161846</xdr:rowOff>
    </xdr:from>
    <xdr:to>
      <xdr:col>18</xdr:col>
      <xdr:colOff>562028</xdr:colOff>
      <xdr:row>54</xdr:row>
      <xdr:rowOff>163164</xdr:rowOff>
    </xdr:to>
    <xdr:cxnSp macro="">
      <xdr:nvCxnSpPr>
        <xdr:cNvPr id="190" name="Straight Connector 189">
          <a:extLst>
            <a:ext uri="{FF2B5EF4-FFF2-40B4-BE49-F238E27FC236}">
              <a16:creationId xmlns:a16="http://schemas.microsoft.com/office/drawing/2014/main" id="{60154F87-9E37-49E5-8067-F122BAF8DDBA}"/>
            </a:ext>
          </a:extLst>
        </xdr:cNvPr>
        <xdr:cNvCxnSpPr/>
      </xdr:nvCxnSpPr>
      <xdr:spPr>
        <a:xfrm flipV="1">
          <a:off x="10808631" y="95852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58081</xdr:colOff>
      <xdr:row>54</xdr:row>
      <xdr:rowOff>159446</xdr:rowOff>
    </xdr:from>
    <xdr:to>
      <xdr:col>18</xdr:col>
      <xdr:colOff>562028</xdr:colOff>
      <xdr:row>54</xdr:row>
      <xdr:rowOff>160764</xdr:rowOff>
    </xdr:to>
    <xdr:cxnSp macro="">
      <xdr:nvCxnSpPr>
        <xdr:cNvPr id="191" name="Straight Connector 190">
          <a:extLst>
            <a:ext uri="{FF2B5EF4-FFF2-40B4-BE49-F238E27FC236}">
              <a16:creationId xmlns:a16="http://schemas.microsoft.com/office/drawing/2014/main" id="{CE2E35D6-9078-47D3-A562-42572DF13614}"/>
            </a:ext>
          </a:extLst>
        </xdr:cNvPr>
        <xdr:cNvCxnSpPr/>
      </xdr:nvCxnSpPr>
      <xdr:spPr>
        <a:xfrm flipV="1">
          <a:off x="10808631" y="95828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58081</xdr:colOff>
      <xdr:row>54</xdr:row>
      <xdr:rowOff>161846</xdr:rowOff>
    </xdr:from>
    <xdr:to>
      <xdr:col>20</xdr:col>
      <xdr:colOff>562028</xdr:colOff>
      <xdr:row>54</xdr:row>
      <xdr:rowOff>163164</xdr:rowOff>
    </xdr:to>
    <xdr:cxnSp macro="">
      <xdr:nvCxnSpPr>
        <xdr:cNvPr id="192" name="Straight Connector 191">
          <a:extLst>
            <a:ext uri="{FF2B5EF4-FFF2-40B4-BE49-F238E27FC236}">
              <a16:creationId xmlns:a16="http://schemas.microsoft.com/office/drawing/2014/main" id="{3D6C682F-81FF-44EC-ACEF-34508C5B2806}"/>
            </a:ext>
          </a:extLst>
        </xdr:cNvPr>
        <xdr:cNvCxnSpPr/>
      </xdr:nvCxnSpPr>
      <xdr:spPr>
        <a:xfrm flipV="1">
          <a:off x="12027831" y="95852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58081</xdr:colOff>
      <xdr:row>54</xdr:row>
      <xdr:rowOff>159446</xdr:rowOff>
    </xdr:from>
    <xdr:to>
      <xdr:col>20</xdr:col>
      <xdr:colOff>562028</xdr:colOff>
      <xdr:row>54</xdr:row>
      <xdr:rowOff>160764</xdr:rowOff>
    </xdr:to>
    <xdr:cxnSp macro="">
      <xdr:nvCxnSpPr>
        <xdr:cNvPr id="193" name="Straight Connector 192">
          <a:extLst>
            <a:ext uri="{FF2B5EF4-FFF2-40B4-BE49-F238E27FC236}">
              <a16:creationId xmlns:a16="http://schemas.microsoft.com/office/drawing/2014/main" id="{DFC9377F-7BDD-4DB7-99C7-8C96DC23BDE3}"/>
            </a:ext>
          </a:extLst>
        </xdr:cNvPr>
        <xdr:cNvCxnSpPr/>
      </xdr:nvCxnSpPr>
      <xdr:spPr>
        <a:xfrm flipV="1">
          <a:off x="12027831" y="95828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58081</xdr:colOff>
      <xdr:row>55</xdr:row>
      <xdr:rowOff>4246</xdr:rowOff>
    </xdr:from>
    <xdr:to>
      <xdr:col>12</xdr:col>
      <xdr:colOff>562028</xdr:colOff>
      <xdr:row>55</xdr:row>
      <xdr:rowOff>5564</xdr:rowOff>
    </xdr:to>
    <xdr:cxnSp macro="">
      <xdr:nvCxnSpPr>
        <xdr:cNvPr id="194" name="Straight Connector 193">
          <a:extLst>
            <a:ext uri="{FF2B5EF4-FFF2-40B4-BE49-F238E27FC236}">
              <a16:creationId xmlns:a16="http://schemas.microsoft.com/office/drawing/2014/main" id="{1B093059-0629-4BBF-807F-E4196B5C539E}"/>
            </a:ext>
          </a:extLst>
        </xdr:cNvPr>
        <xdr:cNvCxnSpPr/>
      </xdr:nvCxnSpPr>
      <xdr:spPr>
        <a:xfrm flipV="1">
          <a:off x="7151031" y="96117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58081</xdr:colOff>
      <xdr:row>55</xdr:row>
      <xdr:rowOff>4246</xdr:rowOff>
    </xdr:from>
    <xdr:to>
      <xdr:col>14</xdr:col>
      <xdr:colOff>562028</xdr:colOff>
      <xdr:row>55</xdr:row>
      <xdr:rowOff>5564</xdr:rowOff>
    </xdr:to>
    <xdr:cxnSp macro="">
      <xdr:nvCxnSpPr>
        <xdr:cNvPr id="195" name="Straight Connector 194">
          <a:extLst>
            <a:ext uri="{FF2B5EF4-FFF2-40B4-BE49-F238E27FC236}">
              <a16:creationId xmlns:a16="http://schemas.microsoft.com/office/drawing/2014/main" id="{E69E4B28-F03B-49B1-95C9-CC1CD4956D66}"/>
            </a:ext>
          </a:extLst>
        </xdr:cNvPr>
        <xdr:cNvCxnSpPr/>
      </xdr:nvCxnSpPr>
      <xdr:spPr>
        <a:xfrm flipV="1">
          <a:off x="8370231" y="96117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58081</xdr:colOff>
      <xdr:row>55</xdr:row>
      <xdr:rowOff>4246</xdr:rowOff>
    </xdr:from>
    <xdr:to>
      <xdr:col>16</xdr:col>
      <xdr:colOff>562028</xdr:colOff>
      <xdr:row>55</xdr:row>
      <xdr:rowOff>5564</xdr:rowOff>
    </xdr:to>
    <xdr:cxnSp macro="">
      <xdr:nvCxnSpPr>
        <xdr:cNvPr id="196" name="Straight Connector 195">
          <a:extLst>
            <a:ext uri="{FF2B5EF4-FFF2-40B4-BE49-F238E27FC236}">
              <a16:creationId xmlns:a16="http://schemas.microsoft.com/office/drawing/2014/main" id="{7874E7E7-F1C2-47FB-94DF-263D070E2A14}"/>
            </a:ext>
          </a:extLst>
        </xdr:cNvPr>
        <xdr:cNvCxnSpPr/>
      </xdr:nvCxnSpPr>
      <xdr:spPr>
        <a:xfrm flipV="1">
          <a:off x="9589431" y="96117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58081</xdr:colOff>
      <xdr:row>55</xdr:row>
      <xdr:rowOff>4246</xdr:rowOff>
    </xdr:from>
    <xdr:to>
      <xdr:col>18</xdr:col>
      <xdr:colOff>562028</xdr:colOff>
      <xdr:row>55</xdr:row>
      <xdr:rowOff>5564</xdr:rowOff>
    </xdr:to>
    <xdr:cxnSp macro="">
      <xdr:nvCxnSpPr>
        <xdr:cNvPr id="197" name="Straight Connector 196">
          <a:extLst>
            <a:ext uri="{FF2B5EF4-FFF2-40B4-BE49-F238E27FC236}">
              <a16:creationId xmlns:a16="http://schemas.microsoft.com/office/drawing/2014/main" id="{EC44F7F7-4F59-45C7-A335-CE6DAF31B2D6}"/>
            </a:ext>
          </a:extLst>
        </xdr:cNvPr>
        <xdr:cNvCxnSpPr/>
      </xdr:nvCxnSpPr>
      <xdr:spPr>
        <a:xfrm flipV="1">
          <a:off x="10808631" y="96117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58081</xdr:colOff>
      <xdr:row>55</xdr:row>
      <xdr:rowOff>4246</xdr:rowOff>
    </xdr:from>
    <xdr:to>
      <xdr:col>20</xdr:col>
      <xdr:colOff>562028</xdr:colOff>
      <xdr:row>55</xdr:row>
      <xdr:rowOff>5564</xdr:rowOff>
    </xdr:to>
    <xdr:cxnSp macro="">
      <xdr:nvCxnSpPr>
        <xdr:cNvPr id="198" name="Straight Connector 197">
          <a:extLst>
            <a:ext uri="{FF2B5EF4-FFF2-40B4-BE49-F238E27FC236}">
              <a16:creationId xmlns:a16="http://schemas.microsoft.com/office/drawing/2014/main" id="{CB6F97BB-F5E3-46A3-9237-3A2DCCBBDFE6}"/>
            </a:ext>
          </a:extLst>
        </xdr:cNvPr>
        <xdr:cNvCxnSpPr/>
      </xdr:nvCxnSpPr>
      <xdr:spPr>
        <a:xfrm flipV="1">
          <a:off x="12027831" y="96117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69448</xdr:colOff>
      <xdr:row>20</xdr:row>
      <xdr:rowOff>166161</xdr:rowOff>
    </xdr:from>
    <xdr:to>
      <xdr:col>26</xdr:col>
      <xdr:colOff>709528</xdr:colOff>
      <xdr:row>20</xdr:row>
      <xdr:rowOff>166161</xdr:rowOff>
    </xdr:to>
    <xdr:cxnSp macro="">
      <xdr:nvCxnSpPr>
        <xdr:cNvPr id="199" name="Straight Connector 198">
          <a:extLst>
            <a:ext uri="{FF2B5EF4-FFF2-40B4-BE49-F238E27FC236}">
              <a16:creationId xmlns:a16="http://schemas.microsoft.com/office/drawing/2014/main" id="{81324F33-322C-425F-936B-9AF1B735EF50}"/>
            </a:ext>
          </a:extLst>
        </xdr:cNvPr>
        <xdr:cNvCxnSpPr/>
      </xdr:nvCxnSpPr>
      <xdr:spPr>
        <a:xfrm>
          <a:off x="16915998" y="3607861"/>
          <a:ext cx="59563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69448</xdr:colOff>
      <xdr:row>20</xdr:row>
      <xdr:rowOff>166161</xdr:rowOff>
    </xdr:from>
    <xdr:to>
      <xdr:col>26</xdr:col>
      <xdr:colOff>709528</xdr:colOff>
      <xdr:row>20</xdr:row>
      <xdr:rowOff>166161</xdr:rowOff>
    </xdr:to>
    <xdr:cxnSp macro="">
      <xdr:nvCxnSpPr>
        <xdr:cNvPr id="200" name="Straight Connector 199">
          <a:extLst>
            <a:ext uri="{FF2B5EF4-FFF2-40B4-BE49-F238E27FC236}">
              <a16:creationId xmlns:a16="http://schemas.microsoft.com/office/drawing/2014/main" id="{867C4FE4-7B8E-4176-A70D-C9B76FA7BD27}"/>
            </a:ext>
          </a:extLst>
        </xdr:cNvPr>
        <xdr:cNvCxnSpPr/>
      </xdr:nvCxnSpPr>
      <xdr:spPr>
        <a:xfrm>
          <a:off x="16915998" y="3607861"/>
          <a:ext cx="59563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71627</xdr:colOff>
      <xdr:row>34</xdr:row>
      <xdr:rowOff>164113</xdr:rowOff>
    </xdr:from>
    <xdr:to>
      <xdr:col>26</xdr:col>
      <xdr:colOff>711707</xdr:colOff>
      <xdr:row>34</xdr:row>
      <xdr:rowOff>164113</xdr:rowOff>
    </xdr:to>
    <xdr:cxnSp macro="">
      <xdr:nvCxnSpPr>
        <xdr:cNvPr id="201" name="Straight Connector 200">
          <a:extLst>
            <a:ext uri="{FF2B5EF4-FFF2-40B4-BE49-F238E27FC236}">
              <a16:creationId xmlns:a16="http://schemas.microsoft.com/office/drawing/2014/main" id="{1456C01B-25F2-4EE3-8EEA-AAF152A858A3}"/>
            </a:ext>
          </a:extLst>
        </xdr:cNvPr>
        <xdr:cNvCxnSpPr/>
      </xdr:nvCxnSpPr>
      <xdr:spPr>
        <a:xfrm>
          <a:off x="16918177" y="6196613"/>
          <a:ext cx="59563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81638</xdr:colOff>
      <xdr:row>11</xdr:row>
      <xdr:rowOff>169534</xdr:rowOff>
    </xdr:from>
    <xdr:to>
      <xdr:col>20</xdr:col>
      <xdr:colOff>585586</xdr:colOff>
      <xdr:row>11</xdr:row>
      <xdr:rowOff>170691</xdr:rowOff>
    </xdr:to>
    <xdr:cxnSp macro="">
      <xdr:nvCxnSpPr>
        <xdr:cNvPr id="202" name="Straight Connector 201">
          <a:extLst>
            <a:ext uri="{FF2B5EF4-FFF2-40B4-BE49-F238E27FC236}">
              <a16:creationId xmlns:a16="http://schemas.microsoft.com/office/drawing/2014/main" id="{730ED2FF-3CE9-405D-B92E-188BD5626D4B}"/>
            </a:ext>
          </a:extLst>
        </xdr:cNvPr>
        <xdr:cNvCxnSpPr/>
      </xdr:nvCxnSpPr>
      <xdr:spPr>
        <a:xfrm flipV="1">
          <a:off x="12051388" y="208088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74332</xdr:colOff>
      <xdr:row>64</xdr:row>
      <xdr:rowOff>159393</xdr:rowOff>
    </xdr:from>
    <xdr:to>
      <xdr:col>25</xdr:col>
      <xdr:colOff>714412</xdr:colOff>
      <xdr:row>64</xdr:row>
      <xdr:rowOff>159393</xdr:rowOff>
    </xdr:to>
    <xdr:cxnSp macro="">
      <xdr:nvCxnSpPr>
        <xdr:cNvPr id="203" name="Straight Connector 202">
          <a:extLst>
            <a:ext uri="{FF2B5EF4-FFF2-40B4-BE49-F238E27FC236}">
              <a16:creationId xmlns:a16="http://schemas.microsoft.com/office/drawing/2014/main" id="{62E523EF-617E-4D1A-9907-CF33FC213873}"/>
            </a:ext>
          </a:extLst>
        </xdr:cNvPr>
        <xdr:cNvCxnSpPr/>
      </xdr:nvCxnSpPr>
      <xdr:spPr>
        <a:xfrm>
          <a:off x="16158882" y="11303643"/>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4</xdr:col>
      <xdr:colOff>55843</xdr:colOff>
      <xdr:row>26</xdr:row>
      <xdr:rowOff>139492</xdr:rowOff>
    </xdr:from>
    <xdr:to>
      <xdr:col>4</xdr:col>
      <xdr:colOff>541946</xdr:colOff>
      <xdr:row>26</xdr:row>
      <xdr:rowOff>139492</xdr:rowOff>
    </xdr:to>
    <xdr:cxnSp macro="">
      <xdr:nvCxnSpPr>
        <xdr:cNvPr id="2" name="Straight Connector 1">
          <a:extLst>
            <a:ext uri="{FF2B5EF4-FFF2-40B4-BE49-F238E27FC236}">
              <a16:creationId xmlns:a16="http://schemas.microsoft.com/office/drawing/2014/main" id="{7E1A406F-3EFF-4F72-AA0D-FE14A7A7E591}"/>
            </a:ext>
          </a:extLst>
        </xdr:cNvPr>
        <xdr:cNvCxnSpPr/>
      </xdr:nvCxnSpPr>
      <xdr:spPr>
        <a:xfrm>
          <a:off x="2678393" y="4774992"/>
          <a:ext cx="486103"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55843</xdr:colOff>
      <xdr:row>32</xdr:row>
      <xdr:rowOff>169413</xdr:rowOff>
    </xdr:from>
    <xdr:to>
      <xdr:col>4</xdr:col>
      <xdr:colOff>541946</xdr:colOff>
      <xdr:row>32</xdr:row>
      <xdr:rowOff>169413</xdr:rowOff>
    </xdr:to>
    <xdr:cxnSp macro="">
      <xdr:nvCxnSpPr>
        <xdr:cNvPr id="3" name="Straight Connector 2">
          <a:extLst>
            <a:ext uri="{FF2B5EF4-FFF2-40B4-BE49-F238E27FC236}">
              <a16:creationId xmlns:a16="http://schemas.microsoft.com/office/drawing/2014/main" id="{74197241-E450-415C-86C6-44ED2043DEAC}"/>
            </a:ext>
          </a:extLst>
        </xdr:cNvPr>
        <xdr:cNvCxnSpPr/>
      </xdr:nvCxnSpPr>
      <xdr:spPr>
        <a:xfrm>
          <a:off x="2678393" y="5922513"/>
          <a:ext cx="486103"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55843</xdr:colOff>
      <xdr:row>33</xdr:row>
      <xdr:rowOff>167269</xdr:rowOff>
    </xdr:from>
    <xdr:to>
      <xdr:col>4</xdr:col>
      <xdr:colOff>541946</xdr:colOff>
      <xdr:row>33</xdr:row>
      <xdr:rowOff>167269</xdr:rowOff>
    </xdr:to>
    <xdr:cxnSp macro="">
      <xdr:nvCxnSpPr>
        <xdr:cNvPr id="4" name="Straight Connector 3">
          <a:extLst>
            <a:ext uri="{FF2B5EF4-FFF2-40B4-BE49-F238E27FC236}">
              <a16:creationId xmlns:a16="http://schemas.microsoft.com/office/drawing/2014/main" id="{DA811636-90D4-4307-B7A0-5EDEBD766838}"/>
            </a:ext>
          </a:extLst>
        </xdr:cNvPr>
        <xdr:cNvCxnSpPr/>
      </xdr:nvCxnSpPr>
      <xdr:spPr>
        <a:xfrm>
          <a:off x="2678393" y="6104519"/>
          <a:ext cx="486103"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25099</xdr:colOff>
      <xdr:row>38</xdr:row>
      <xdr:rowOff>175830</xdr:rowOff>
    </xdr:from>
    <xdr:to>
      <xdr:col>2</xdr:col>
      <xdr:colOff>665179</xdr:colOff>
      <xdr:row>38</xdr:row>
      <xdr:rowOff>175830</xdr:rowOff>
    </xdr:to>
    <xdr:cxnSp macro="">
      <xdr:nvCxnSpPr>
        <xdr:cNvPr id="5" name="Straight Connector 4">
          <a:extLst>
            <a:ext uri="{FF2B5EF4-FFF2-40B4-BE49-F238E27FC236}">
              <a16:creationId xmlns:a16="http://schemas.microsoft.com/office/drawing/2014/main" id="{3A3D5521-EDBD-4DF0-9751-02D8C0B3AD93}"/>
            </a:ext>
          </a:extLst>
        </xdr:cNvPr>
        <xdr:cNvCxnSpPr/>
      </xdr:nvCxnSpPr>
      <xdr:spPr>
        <a:xfrm>
          <a:off x="1244299" y="6894130"/>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26112</xdr:colOff>
      <xdr:row>38</xdr:row>
      <xdr:rowOff>170983</xdr:rowOff>
    </xdr:from>
    <xdr:to>
      <xdr:col>3</xdr:col>
      <xdr:colOff>593040</xdr:colOff>
      <xdr:row>38</xdr:row>
      <xdr:rowOff>170983</xdr:rowOff>
    </xdr:to>
    <xdr:cxnSp macro="">
      <xdr:nvCxnSpPr>
        <xdr:cNvPr id="6" name="Straight Connector 5">
          <a:extLst>
            <a:ext uri="{FF2B5EF4-FFF2-40B4-BE49-F238E27FC236}">
              <a16:creationId xmlns:a16="http://schemas.microsoft.com/office/drawing/2014/main" id="{A423E8D7-C9AF-4842-8497-4522CDBB5949}"/>
            </a:ext>
          </a:extLst>
        </xdr:cNvPr>
        <xdr:cNvCxnSpPr/>
      </xdr:nvCxnSpPr>
      <xdr:spPr>
        <a:xfrm>
          <a:off x="1975562" y="6889283"/>
          <a:ext cx="566928"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22202</xdr:colOff>
      <xdr:row>38</xdr:row>
      <xdr:rowOff>170983</xdr:rowOff>
    </xdr:from>
    <xdr:to>
      <xdr:col>4</xdr:col>
      <xdr:colOff>589130</xdr:colOff>
      <xdr:row>38</xdr:row>
      <xdr:rowOff>170983</xdr:rowOff>
    </xdr:to>
    <xdr:cxnSp macro="">
      <xdr:nvCxnSpPr>
        <xdr:cNvPr id="7" name="Straight Connector 6">
          <a:extLst>
            <a:ext uri="{FF2B5EF4-FFF2-40B4-BE49-F238E27FC236}">
              <a16:creationId xmlns:a16="http://schemas.microsoft.com/office/drawing/2014/main" id="{931C75CA-6EED-4507-A07C-FF98A8A432CE}"/>
            </a:ext>
          </a:extLst>
        </xdr:cNvPr>
        <xdr:cNvCxnSpPr/>
      </xdr:nvCxnSpPr>
      <xdr:spPr>
        <a:xfrm>
          <a:off x="2644752" y="6889283"/>
          <a:ext cx="516128"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30719</xdr:colOff>
      <xdr:row>65</xdr:row>
      <xdr:rowOff>145082</xdr:rowOff>
    </xdr:from>
    <xdr:to>
      <xdr:col>2</xdr:col>
      <xdr:colOff>670799</xdr:colOff>
      <xdr:row>65</xdr:row>
      <xdr:rowOff>145082</xdr:rowOff>
    </xdr:to>
    <xdr:cxnSp macro="">
      <xdr:nvCxnSpPr>
        <xdr:cNvPr id="8" name="Straight Connector 7">
          <a:extLst>
            <a:ext uri="{FF2B5EF4-FFF2-40B4-BE49-F238E27FC236}">
              <a16:creationId xmlns:a16="http://schemas.microsoft.com/office/drawing/2014/main" id="{A7655095-2DB2-456B-A0D6-7B8779ACE860}"/>
            </a:ext>
          </a:extLst>
        </xdr:cNvPr>
        <xdr:cNvCxnSpPr/>
      </xdr:nvCxnSpPr>
      <xdr:spPr>
        <a:xfrm>
          <a:off x="1249919" y="11562382"/>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26112</xdr:colOff>
      <xdr:row>65</xdr:row>
      <xdr:rowOff>145082</xdr:rowOff>
    </xdr:from>
    <xdr:to>
      <xdr:col>3</xdr:col>
      <xdr:colOff>593040</xdr:colOff>
      <xdr:row>65</xdr:row>
      <xdr:rowOff>145082</xdr:rowOff>
    </xdr:to>
    <xdr:cxnSp macro="">
      <xdr:nvCxnSpPr>
        <xdr:cNvPr id="9" name="Straight Connector 8">
          <a:extLst>
            <a:ext uri="{FF2B5EF4-FFF2-40B4-BE49-F238E27FC236}">
              <a16:creationId xmlns:a16="http://schemas.microsoft.com/office/drawing/2014/main" id="{673044BF-D0D7-48C2-B90D-EDC73CB24742}"/>
            </a:ext>
          </a:extLst>
        </xdr:cNvPr>
        <xdr:cNvCxnSpPr/>
      </xdr:nvCxnSpPr>
      <xdr:spPr>
        <a:xfrm>
          <a:off x="1975562" y="11562382"/>
          <a:ext cx="566928"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22202</xdr:colOff>
      <xdr:row>65</xdr:row>
      <xdr:rowOff>145082</xdr:rowOff>
    </xdr:from>
    <xdr:to>
      <xdr:col>4</xdr:col>
      <xdr:colOff>589130</xdr:colOff>
      <xdr:row>65</xdr:row>
      <xdr:rowOff>145082</xdr:rowOff>
    </xdr:to>
    <xdr:cxnSp macro="">
      <xdr:nvCxnSpPr>
        <xdr:cNvPr id="10" name="Straight Connector 9">
          <a:extLst>
            <a:ext uri="{FF2B5EF4-FFF2-40B4-BE49-F238E27FC236}">
              <a16:creationId xmlns:a16="http://schemas.microsoft.com/office/drawing/2014/main" id="{C8CB301D-410E-4B39-B499-3EA3312BF296}"/>
            </a:ext>
          </a:extLst>
        </xdr:cNvPr>
        <xdr:cNvCxnSpPr/>
      </xdr:nvCxnSpPr>
      <xdr:spPr>
        <a:xfrm>
          <a:off x="2644752" y="11562382"/>
          <a:ext cx="516128"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81981</xdr:colOff>
      <xdr:row>11</xdr:row>
      <xdr:rowOff>169534</xdr:rowOff>
    </xdr:from>
    <xdr:to>
      <xdr:col>10</xdr:col>
      <xdr:colOff>585928</xdr:colOff>
      <xdr:row>11</xdr:row>
      <xdr:rowOff>170691</xdr:rowOff>
    </xdr:to>
    <xdr:cxnSp macro="">
      <xdr:nvCxnSpPr>
        <xdr:cNvPr id="11" name="Straight Connector 10">
          <a:extLst>
            <a:ext uri="{FF2B5EF4-FFF2-40B4-BE49-F238E27FC236}">
              <a16:creationId xmlns:a16="http://schemas.microsoft.com/office/drawing/2014/main" id="{339107A2-C232-41B9-84CD-FCA186851062}"/>
            </a:ext>
          </a:extLst>
        </xdr:cNvPr>
        <xdr:cNvCxnSpPr/>
      </xdr:nvCxnSpPr>
      <xdr:spPr>
        <a:xfrm flipV="1">
          <a:off x="5682681" y="2169784"/>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84473</xdr:colOff>
      <xdr:row>11</xdr:row>
      <xdr:rowOff>169534</xdr:rowOff>
    </xdr:from>
    <xdr:to>
      <xdr:col>12</xdr:col>
      <xdr:colOff>588420</xdr:colOff>
      <xdr:row>11</xdr:row>
      <xdr:rowOff>170691</xdr:rowOff>
    </xdr:to>
    <xdr:cxnSp macro="">
      <xdr:nvCxnSpPr>
        <xdr:cNvPr id="12" name="Straight Connector 11">
          <a:extLst>
            <a:ext uri="{FF2B5EF4-FFF2-40B4-BE49-F238E27FC236}">
              <a16:creationId xmlns:a16="http://schemas.microsoft.com/office/drawing/2014/main" id="{912E0BDF-2777-465F-B96A-E313AC636E5F}"/>
            </a:ext>
          </a:extLst>
        </xdr:cNvPr>
        <xdr:cNvCxnSpPr/>
      </xdr:nvCxnSpPr>
      <xdr:spPr>
        <a:xfrm flipV="1">
          <a:off x="6904373" y="2169784"/>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82797</xdr:colOff>
      <xdr:row>11</xdr:row>
      <xdr:rowOff>169534</xdr:rowOff>
    </xdr:from>
    <xdr:to>
      <xdr:col>14</xdr:col>
      <xdr:colOff>586744</xdr:colOff>
      <xdr:row>11</xdr:row>
      <xdr:rowOff>170691</xdr:rowOff>
    </xdr:to>
    <xdr:cxnSp macro="">
      <xdr:nvCxnSpPr>
        <xdr:cNvPr id="13" name="Straight Connector 12">
          <a:extLst>
            <a:ext uri="{FF2B5EF4-FFF2-40B4-BE49-F238E27FC236}">
              <a16:creationId xmlns:a16="http://schemas.microsoft.com/office/drawing/2014/main" id="{5F19F198-9CD3-4F5C-A947-0FA0CD4E6DC4}"/>
            </a:ext>
          </a:extLst>
        </xdr:cNvPr>
        <xdr:cNvCxnSpPr/>
      </xdr:nvCxnSpPr>
      <xdr:spPr>
        <a:xfrm flipV="1">
          <a:off x="8121897" y="2169784"/>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77421</xdr:colOff>
      <xdr:row>11</xdr:row>
      <xdr:rowOff>169534</xdr:rowOff>
    </xdr:from>
    <xdr:to>
      <xdr:col>16</xdr:col>
      <xdr:colOff>581369</xdr:colOff>
      <xdr:row>11</xdr:row>
      <xdr:rowOff>170691</xdr:rowOff>
    </xdr:to>
    <xdr:cxnSp macro="">
      <xdr:nvCxnSpPr>
        <xdr:cNvPr id="14" name="Straight Connector 13">
          <a:extLst>
            <a:ext uri="{FF2B5EF4-FFF2-40B4-BE49-F238E27FC236}">
              <a16:creationId xmlns:a16="http://schemas.microsoft.com/office/drawing/2014/main" id="{B8F09158-A932-492F-99B5-985D2D9749CA}"/>
            </a:ext>
          </a:extLst>
        </xdr:cNvPr>
        <xdr:cNvCxnSpPr/>
      </xdr:nvCxnSpPr>
      <xdr:spPr>
        <a:xfrm flipV="1">
          <a:off x="9335721" y="216978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81638</xdr:colOff>
      <xdr:row>11</xdr:row>
      <xdr:rowOff>169534</xdr:rowOff>
    </xdr:from>
    <xdr:to>
      <xdr:col>18</xdr:col>
      <xdr:colOff>585586</xdr:colOff>
      <xdr:row>11</xdr:row>
      <xdr:rowOff>170691</xdr:rowOff>
    </xdr:to>
    <xdr:cxnSp macro="">
      <xdr:nvCxnSpPr>
        <xdr:cNvPr id="15" name="Straight Connector 14">
          <a:extLst>
            <a:ext uri="{FF2B5EF4-FFF2-40B4-BE49-F238E27FC236}">
              <a16:creationId xmlns:a16="http://schemas.microsoft.com/office/drawing/2014/main" id="{86029A62-AEB8-42C7-9776-4F91C0C5C621}"/>
            </a:ext>
          </a:extLst>
        </xdr:cNvPr>
        <xdr:cNvCxnSpPr/>
      </xdr:nvCxnSpPr>
      <xdr:spPr>
        <a:xfrm flipV="1">
          <a:off x="10559138" y="216978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81505</xdr:colOff>
      <xdr:row>11</xdr:row>
      <xdr:rowOff>169534</xdr:rowOff>
    </xdr:from>
    <xdr:to>
      <xdr:col>20</xdr:col>
      <xdr:colOff>585453</xdr:colOff>
      <xdr:row>11</xdr:row>
      <xdr:rowOff>170691</xdr:rowOff>
    </xdr:to>
    <xdr:cxnSp macro="">
      <xdr:nvCxnSpPr>
        <xdr:cNvPr id="16" name="Straight Connector 15">
          <a:extLst>
            <a:ext uri="{FF2B5EF4-FFF2-40B4-BE49-F238E27FC236}">
              <a16:creationId xmlns:a16="http://schemas.microsoft.com/office/drawing/2014/main" id="{EA2B1066-E3B4-44EB-974C-8C73CAFA987C}"/>
            </a:ext>
          </a:extLst>
        </xdr:cNvPr>
        <xdr:cNvCxnSpPr/>
      </xdr:nvCxnSpPr>
      <xdr:spPr>
        <a:xfrm flipV="1">
          <a:off x="11778205" y="216978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81981</xdr:colOff>
      <xdr:row>13</xdr:row>
      <xdr:rowOff>154837</xdr:rowOff>
    </xdr:from>
    <xdr:to>
      <xdr:col>10</xdr:col>
      <xdr:colOff>585928</xdr:colOff>
      <xdr:row>13</xdr:row>
      <xdr:rowOff>155994</xdr:rowOff>
    </xdr:to>
    <xdr:cxnSp macro="">
      <xdr:nvCxnSpPr>
        <xdr:cNvPr id="17" name="Straight Connector 16">
          <a:extLst>
            <a:ext uri="{FF2B5EF4-FFF2-40B4-BE49-F238E27FC236}">
              <a16:creationId xmlns:a16="http://schemas.microsoft.com/office/drawing/2014/main" id="{4EE78926-739D-4DF1-AEF3-B96A3808D083}"/>
            </a:ext>
          </a:extLst>
        </xdr:cNvPr>
        <xdr:cNvCxnSpPr/>
      </xdr:nvCxnSpPr>
      <xdr:spPr>
        <a:xfrm flipV="1">
          <a:off x="5682681" y="252973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84473</xdr:colOff>
      <xdr:row>13</xdr:row>
      <xdr:rowOff>154837</xdr:rowOff>
    </xdr:from>
    <xdr:to>
      <xdr:col>12</xdr:col>
      <xdr:colOff>588420</xdr:colOff>
      <xdr:row>13</xdr:row>
      <xdr:rowOff>155994</xdr:rowOff>
    </xdr:to>
    <xdr:cxnSp macro="">
      <xdr:nvCxnSpPr>
        <xdr:cNvPr id="18" name="Straight Connector 17">
          <a:extLst>
            <a:ext uri="{FF2B5EF4-FFF2-40B4-BE49-F238E27FC236}">
              <a16:creationId xmlns:a16="http://schemas.microsoft.com/office/drawing/2014/main" id="{CCFFDF73-9A89-4EB1-B57E-E5483BAEF3DB}"/>
            </a:ext>
          </a:extLst>
        </xdr:cNvPr>
        <xdr:cNvCxnSpPr/>
      </xdr:nvCxnSpPr>
      <xdr:spPr>
        <a:xfrm flipV="1">
          <a:off x="6904373" y="252973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82797</xdr:colOff>
      <xdr:row>13</xdr:row>
      <xdr:rowOff>154837</xdr:rowOff>
    </xdr:from>
    <xdr:to>
      <xdr:col>14</xdr:col>
      <xdr:colOff>586744</xdr:colOff>
      <xdr:row>13</xdr:row>
      <xdr:rowOff>155994</xdr:rowOff>
    </xdr:to>
    <xdr:cxnSp macro="">
      <xdr:nvCxnSpPr>
        <xdr:cNvPr id="19" name="Straight Connector 18">
          <a:extLst>
            <a:ext uri="{FF2B5EF4-FFF2-40B4-BE49-F238E27FC236}">
              <a16:creationId xmlns:a16="http://schemas.microsoft.com/office/drawing/2014/main" id="{50FB5246-961B-4209-A32E-DF7D661B6AEF}"/>
            </a:ext>
          </a:extLst>
        </xdr:cNvPr>
        <xdr:cNvCxnSpPr/>
      </xdr:nvCxnSpPr>
      <xdr:spPr>
        <a:xfrm flipV="1">
          <a:off x="8121897" y="252973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92541</xdr:colOff>
      <xdr:row>13</xdr:row>
      <xdr:rowOff>154837</xdr:rowOff>
    </xdr:from>
    <xdr:to>
      <xdr:col>16</xdr:col>
      <xdr:colOff>596489</xdr:colOff>
      <xdr:row>13</xdr:row>
      <xdr:rowOff>155994</xdr:rowOff>
    </xdr:to>
    <xdr:cxnSp macro="">
      <xdr:nvCxnSpPr>
        <xdr:cNvPr id="20" name="Straight Connector 19">
          <a:extLst>
            <a:ext uri="{FF2B5EF4-FFF2-40B4-BE49-F238E27FC236}">
              <a16:creationId xmlns:a16="http://schemas.microsoft.com/office/drawing/2014/main" id="{E1EE6529-5626-4D3C-900C-D7E944F0D5C9}"/>
            </a:ext>
          </a:extLst>
        </xdr:cNvPr>
        <xdr:cNvCxnSpPr/>
      </xdr:nvCxnSpPr>
      <xdr:spPr>
        <a:xfrm flipV="1">
          <a:off x="9350841" y="2529737"/>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81638</xdr:colOff>
      <xdr:row>13</xdr:row>
      <xdr:rowOff>154837</xdr:rowOff>
    </xdr:from>
    <xdr:to>
      <xdr:col>18</xdr:col>
      <xdr:colOff>585586</xdr:colOff>
      <xdr:row>13</xdr:row>
      <xdr:rowOff>155994</xdr:rowOff>
    </xdr:to>
    <xdr:cxnSp macro="">
      <xdr:nvCxnSpPr>
        <xdr:cNvPr id="21" name="Straight Connector 20">
          <a:extLst>
            <a:ext uri="{FF2B5EF4-FFF2-40B4-BE49-F238E27FC236}">
              <a16:creationId xmlns:a16="http://schemas.microsoft.com/office/drawing/2014/main" id="{3DFEC45F-5F0A-4F6C-84DB-FF545B7D336F}"/>
            </a:ext>
          </a:extLst>
        </xdr:cNvPr>
        <xdr:cNvCxnSpPr/>
      </xdr:nvCxnSpPr>
      <xdr:spPr>
        <a:xfrm flipV="1">
          <a:off x="10559138" y="2529737"/>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81505</xdr:colOff>
      <xdr:row>13</xdr:row>
      <xdr:rowOff>154837</xdr:rowOff>
    </xdr:from>
    <xdr:to>
      <xdr:col>20</xdr:col>
      <xdr:colOff>585453</xdr:colOff>
      <xdr:row>13</xdr:row>
      <xdr:rowOff>155994</xdr:rowOff>
    </xdr:to>
    <xdr:cxnSp macro="">
      <xdr:nvCxnSpPr>
        <xdr:cNvPr id="22" name="Straight Connector 21">
          <a:extLst>
            <a:ext uri="{FF2B5EF4-FFF2-40B4-BE49-F238E27FC236}">
              <a16:creationId xmlns:a16="http://schemas.microsoft.com/office/drawing/2014/main" id="{79727C4A-E59C-4E80-8D28-938EC93B33A6}"/>
            </a:ext>
          </a:extLst>
        </xdr:cNvPr>
        <xdr:cNvCxnSpPr/>
      </xdr:nvCxnSpPr>
      <xdr:spPr>
        <a:xfrm flipV="1">
          <a:off x="11778205" y="2529737"/>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81981</xdr:colOff>
      <xdr:row>16</xdr:row>
      <xdr:rowOff>158334</xdr:rowOff>
    </xdr:from>
    <xdr:to>
      <xdr:col>10</xdr:col>
      <xdr:colOff>585928</xdr:colOff>
      <xdr:row>16</xdr:row>
      <xdr:rowOff>159491</xdr:rowOff>
    </xdr:to>
    <xdr:cxnSp macro="">
      <xdr:nvCxnSpPr>
        <xdr:cNvPr id="23" name="Straight Connector 22">
          <a:extLst>
            <a:ext uri="{FF2B5EF4-FFF2-40B4-BE49-F238E27FC236}">
              <a16:creationId xmlns:a16="http://schemas.microsoft.com/office/drawing/2014/main" id="{CDE4640C-3FF6-4C54-83EE-3D66A5687749}"/>
            </a:ext>
          </a:extLst>
        </xdr:cNvPr>
        <xdr:cNvCxnSpPr/>
      </xdr:nvCxnSpPr>
      <xdr:spPr>
        <a:xfrm flipV="1">
          <a:off x="5682681" y="3085684"/>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84473</xdr:colOff>
      <xdr:row>16</xdr:row>
      <xdr:rowOff>158334</xdr:rowOff>
    </xdr:from>
    <xdr:to>
      <xdr:col>12</xdr:col>
      <xdr:colOff>588420</xdr:colOff>
      <xdr:row>16</xdr:row>
      <xdr:rowOff>159491</xdr:rowOff>
    </xdr:to>
    <xdr:cxnSp macro="">
      <xdr:nvCxnSpPr>
        <xdr:cNvPr id="24" name="Straight Connector 23">
          <a:extLst>
            <a:ext uri="{FF2B5EF4-FFF2-40B4-BE49-F238E27FC236}">
              <a16:creationId xmlns:a16="http://schemas.microsoft.com/office/drawing/2014/main" id="{E803E8F9-AACE-4339-87DB-6C00433C598D}"/>
            </a:ext>
          </a:extLst>
        </xdr:cNvPr>
        <xdr:cNvCxnSpPr/>
      </xdr:nvCxnSpPr>
      <xdr:spPr>
        <a:xfrm flipV="1">
          <a:off x="6904373" y="3085684"/>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82797</xdr:colOff>
      <xdr:row>16</xdr:row>
      <xdr:rowOff>158334</xdr:rowOff>
    </xdr:from>
    <xdr:to>
      <xdr:col>14</xdr:col>
      <xdr:colOff>586744</xdr:colOff>
      <xdr:row>16</xdr:row>
      <xdr:rowOff>159491</xdr:rowOff>
    </xdr:to>
    <xdr:cxnSp macro="">
      <xdr:nvCxnSpPr>
        <xdr:cNvPr id="25" name="Straight Connector 24">
          <a:extLst>
            <a:ext uri="{FF2B5EF4-FFF2-40B4-BE49-F238E27FC236}">
              <a16:creationId xmlns:a16="http://schemas.microsoft.com/office/drawing/2014/main" id="{FDD13A39-8ADB-49BF-8BF7-011571AD7258}"/>
            </a:ext>
          </a:extLst>
        </xdr:cNvPr>
        <xdr:cNvCxnSpPr/>
      </xdr:nvCxnSpPr>
      <xdr:spPr>
        <a:xfrm flipV="1">
          <a:off x="8121897" y="3085684"/>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75886</xdr:colOff>
      <xdr:row>16</xdr:row>
      <xdr:rowOff>158334</xdr:rowOff>
    </xdr:from>
    <xdr:to>
      <xdr:col>16</xdr:col>
      <xdr:colOff>579834</xdr:colOff>
      <xdr:row>16</xdr:row>
      <xdr:rowOff>159491</xdr:rowOff>
    </xdr:to>
    <xdr:cxnSp macro="">
      <xdr:nvCxnSpPr>
        <xdr:cNvPr id="26" name="Straight Connector 25">
          <a:extLst>
            <a:ext uri="{FF2B5EF4-FFF2-40B4-BE49-F238E27FC236}">
              <a16:creationId xmlns:a16="http://schemas.microsoft.com/office/drawing/2014/main" id="{9C1D520A-920D-48B2-8C83-0777D4ECA6D6}"/>
            </a:ext>
          </a:extLst>
        </xdr:cNvPr>
        <xdr:cNvCxnSpPr/>
      </xdr:nvCxnSpPr>
      <xdr:spPr>
        <a:xfrm flipV="1">
          <a:off x="9334186" y="308568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81638</xdr:colOff>
      <xdr:row>16</xdr:row>
      <xdr:rowOff>158334</xdr:rowOff>
    </xdr:from>
    <xdr:to>
      <xdr:col>18</xdr:col>
      <xdr:colOff>585586</xdr:colOff>
      <xdr:row>16</xdr:row>
      <xdr:rowOff>159491</xdr:rowOff>
    </xdr:to>
    <xdr:cxnSp macro="">
      <xdr:nvCxnSpPr>
        <xdr:cNvPr id="27" name="Straight Connector 26">
          <a:extLst>
            <a:ext uri="{FF2B5EF4-FFF2-40B4-BE49-F238E27FC236}">
              <a16:creationId xmlns:a16="http://schemas.microsoft.com/office/drawing/2014/main" id="{96DABFC3-96C6-4F88-92A0-1E856E23530B}"/>
            </a:ext>
          </a:extLst>
        </xdr:cNvPr>
        <xdr:cNvCxnSpPr/>
      </xdr:nvCxnSpPr>
      <xdr:spPr>
        <a:xfrm flipV="1">
          <a:off x="10559138" y="308568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81505</xdr:colOff>
      <xdr:row>16</xdr:row>
      <xdr:rowOff>158334</xdr:rowOff>
    </xdr:from>
    <xdr:to>
      <xdr:col>20</xdr:col>
      <xdr:colOff>585453</xdr:colOff>
      <xdr:row>16</xdr:row>
      <xdr:rowOff>159491</xdr:rowOff>
    </xdr:to>
    <xdr:cxnSp macro="">
      <xdr:nvCxnSpPr>
        <xdr:cNvPr id="28" name="Straight Connector 27">
          <a:extLst>
            <a:ext uri="{FF2B5EF4-FFF2-40B4-BE49-F238E27FC236}">
              <a16:creationId xmlns:a16="http://schemas.microsoft.com/office/drawing/2014/main" id="{C1F90ABD-4DF5-4A3F-B10F-4084FE1D6436}"/>
            </a:ext>
          </a:extLst>
        </xdr:cNvPr>
        <xdr:cNvCxnSpPr/>
      </xdr:nvCxnSpPr>
      <xdr:spPr>
        <a:xfrm flipV="1">
          <a:off x="11778205" y="308568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81981</xdr:colOff>
      <xdr:row>18</xdr:row>
      <xdr:rowOff>166215</xdr:rowOff>
    </xdr:from>
    <xdr:to>
      <xdr:col>10</xdr:col>
      <xdr:colOff>585928</xdr:colOff>
      <xdr:row>18</xdr:row>
      <xdr:rowOff>167372</xdr:rowOff>
    </xdr:to>
    <xdr:cxnSp macro="">
      <xdr:nvCxnSpPr>
        <xdr:cNvPr id="29" name="Straight Connector 28">
          <a:extLst>
            <a:ext uri="{FF2B5EF4-FFF2-40B4-BE49-F238E27FC236}">
              <a16:creationId xmlns:a16="http://schemas.microsoft.com/office/drawing/2014/main" id="{A1E6A00D-54BC-4DDF-A801-6EAADCCA14C7}"/>
            </a:ext>
          </a:extLst>
        </xdr:cNvPr>
        <xdr:cNvCxnSpPr/>
      </xdr:nvCxnSpPr>
      <xdr:spPr>
        <a:xfrm flipV="1">
          <a:off x="5682681" y="346186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84473</xdr:colOff>
      <xdr:row>18</xdr:row>
      <xdr:rowOff>166215</xdr:rowOff>
    </xdr:from>
    <xdr:to>
      <xdr:col>12</xdr:col>
      <xdr:colOff>588420</xdr:colOff>
      <xdr:row>18</xdr:row>
      <xdr:rowOff>167372</xdr:rowOff>
    </xdr:to>
    <xdr:cxnSp macro="">
      <xdr:nvCxnSpPr>
        <xdr:cNvPr id="30" name="Straight Connector 29">
          <a:extLst>
            <a:ext uri="{FF2B5EF4-FFF2-40B4-BE49-F238E27FC236}">
              <a16:creationId xmlns:a16="http://schemas.microsoft.com/office/drawing/2014/main" id="{49008630-59E2-4875-B0F4-A0A40DBDDC1D}"/>
            </a:ext>
          </a:extLst>
        </xdr:cNvPr>
        <xdr:cNvCxnSpPr/>
      </xdr:nvCxnSpPr>
      <xdr:spPr>
        <a:xfrm flipV="1">
          <a:off x="6904373" y="346186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82797</xdr:colOff>
      <xdr:row>18</xdr:row>
      <xdr:rowOff>166215</xdr:rowOff>
    </xdr:from>
    <xdr:to>
      <xdr:col>14</xdr:col>
      <xdr:colOff>586744</xdr:colOff>
      <xdr:row>18</xdr:row>
      <xdr:rowOff>167372</xdr:rowOff>
    </xdr:to>
    <xdr:cxnSp macro="">
      <xdr:nvCxnSpPr>
        <xdr:cNvPr id="31" name="Straight Connector 30">
          <a:extLst>
            <a:ext uri="{FF2B5EF4-FFF2-40B4-BE49-F238E27FC236}">
              <a16:creationId xmlns:a16="http://schemas.microsoft.com/office/drawing/2014/main" id="{F6EEECDF-990C-4731-AD0B-15B721D644F1}"/>
            </a:ext>
          </a:extLst>
        </xdr:cNvPr>
        <xdr:cNvCxnSpPr/>
      </xdr:nvCxnSpPr>
      <xdr:spPr>
        <a:xfrm flipV="1">
          <a:off x="8121897" y="346186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92941</xdr:colOff>
      <xdr:row>18</xdr:row>
      <xdr:rowOff>166215</xdr:rowOff>
    </xdr:from>
    <xdr:to>
      <xdr:col>16</xdr:col>
      <xdr:colOff>596889</xdr:colOff>
      <xdr:row>18</xdr:row>
      <xdr:rowOff>167372</xdr:rowOff>
    </xdr:to>
    <xdr:cxnSp macro="">
      <xdr:nvCxnSpPr>
        <xdr:cNvPr id="32" name="Straight Connector 31">
          <a:extLst>
            <a:ext uri="{FF2B5EF4-FFF2-40B4-BE49-F238E27FC236}">
              <a16:creationId xmlns:a16="http://schemas.microsoft.com/office/drawing/2014/main" id="{7D864AE9-16E9-4554-B9E1-67B5FB1BE077}"/>
            </a:ext>
          </a:extLst>
        </xdr:cNvPr>
        <xdr:cNvCxnSpPr/>
      </xdr:nvCxnSpPr>
      <xdr:spPr>
        <a:xfrm flipV="1">
          <a:off x="9351241" y="3461865"/>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81638</xdr:colOff>
      <xdr:row>18</xdr:row>
      <xdr:rowOff>166215</xdr:rowOff>
    </xdr:from>
    <xdr:to>
      <xdr:col>18</xdr:col>
      <xdr:colOff>585586</xdr:colOff>
      <xdr:row>18</xdr:row>
      <xdr:rowOff>167372</xdr:rowOff>
    </xdr:to>
    <xdr:cxnSp macro="">
      <xdr:nvCxnSpPr>
        <xdr:cNvPr id="33" name="Straight Connector 32">
          <a:extLst>
            <a:ext uri="{FF2B5EF4-FFF2-40B4-BE49-F238E27FC236}">
              <a16:creationId xmlns:a16="http://schemas.microsoft.com/office/drawing/2014/main" id="{A63ECFA9-3CEE-4E39-A46B-5CC5ABE0304E}"/>
            </a:ext>
          </a:extLst>
        </xdr:cNvPr>
        <xdr:cNvCxnSpPr/>
      </xdr:nvCxnSpPr>
      <xdr:spPr>
        <a:xfrm flipV="1">
          <a:off x="10559138" y="3461865"/>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81505</xdr:colOff>
      <xdr:row>18</xdr:row>
      <xdr:rowOff>166215</xdr:rowOff>
    </xdr:from>
    <xdr:to>
      <xdr:col>20</xdr:col>
      <xdr:colOff>585453</xdr:colOff>
      <xdr:row>18</xdr:row>
      <xdr:rowOff>167372</xdr:rowOff>
    </xdr:to>
    <xdr:cxnSp macro="">
      <xdr:nvCxnSpPr>
        <xdr:cNvPr id="34" name="Straight Connector 33">
          <a:extLst>
            <a:ext uri="{FF2B5EF4-FFF2-40B4-BE49-F238E27FC236}">
              <a16:creationId xmlns:a16="http://schemas.microsoft.com/office/drawing/2014/main" id="{82FC8F90-D969-4070-8091-53A40775DD5C}"/>
            </a:ext>
          </a:extLst>
        </xdr:cNvPr>
        <xdr:cNvCxnSpPr/>
      </xdr:nvCxnSpPr>
      <xdr:spPr>
        <a:xfrm flipV="1">
          <a:off x="11778205" y="3461865"/>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96981</xdr:colOff>
      <xdr:row>23</xdr:row>
      <xdr:rowOff>152197</xdr:rowOff>
    </xdr:from>
    <xdr:to>
      <xdr:col>10</xdr:col>
      <xdr:colOff>600928</xdr:colOff>
      <xdr:row>23</xdr:row>
      <xdr:rowOff>153354</xdr:rowOff>
    </xdr:to>
    <xdr:cxnSp macro="">
      <xdr:nvCxnSpPr>
        <xdr:cNvPr id="35" name="Straight Connector 34">
          <a:extLst>
            <a:ext uri="{FF2B5EF4-FFF2-40B4-BE49-F238E27FC236}">
              <a16:creationId xmlns:a16="http://schemas.microsoft.com/office/drawing/2014/main" id="{C4CD69B9-2571-43AF-8D66-10DC70BB0E36}"/>
            </a:ext>
          </a:extLst>
        </xdr:cNvPr>
        <xdr:cNvCxnSpPr/>
      </xdr:nvCxnSpPr>
      <xdr:spPr>
        <a:xfrm flipV="1">
          <a:off x="5697681" y="423524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99035</xdr:colOff>
      <xdr:row>23</xdr:row>
      <xdr:rowOff>152197</xdr:rowOff>
    </xdr:from>
    <xdr:to>
      <xdr:col>12</xdr:col>
      <xdr:colOff>603858</xdr:colOff>
      <xdr:row>23</xdr:row>
      <xdr:rowOff>153354</xdr:rowOff>
    </xdr:to>
    <xdr:cxnSp macro="">
      <xdr:nvCxnSpPr>
        <xdr:cNvPr id="36" name="Straight Connector 35">
          <a:extLst>
            <a:ext uri="{FF2B5EF4-FFF2-40B4-BE49-F238E27FC236}">
              <a16:creationId xmlns:a16="http://schemas.microsoft.com/office/drawing/2014/main" id="{F6164131-144B-496D-B01D-0AB7A0B2ACFD}"/>
            </a:ext>
          </a:extLst>
        </xdr:cNvPr>
        <xdr:cNvCxnSpPr/>
      </xdr:nvCxnSpPr>
      <xdr:spPr>
        <a:xfrm flipV="1">
          <a:off x="6918935" y="4235247"/>
          <a:ext cx="1114423"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97360</xdr:colOff>
      <xdr:row>23</xdr:row>
      <xdr:rowOff>152197</xdr:rowOff>
    </xdr:from>
    <xdr:to>
      <xdr:col>14</xdr:col>
      <xdr:colOff>602182</xdr:colOff>
      <xdr:row>23</xdr:row>
      <xdr:rowOff>153354</xdr:rowOff>
    </xdr:to>
    <xdr:cxnSp macro="">
      <xdr:nvCxnSpPr>
        <xdr:cNvPr id="37" name="Straight Connector 36">
          <a:extLst>
            <a:ext uri="{FF2B5EF4-FFF2-40B4-BE49-F238E27FC236}">
              <a16:creationId xmlns:a16="http://schemas.microsoft.com/office/drawing/2014/main" id="{A7AABEF1-4A5D-46A4-88DD-364F76C874AD}"/>
            </a:ext>
          </a:extLst>
        </xdr:cNvPr>
        <xdr:cNvCxnSpPr/>
      </xdr:nvCxnSpPr>
      <xdr:spPr>
        <a:xfrm flipV="1">
          <a:off x="8136460" y="4235247"/>
          <a:ext cx="1114422"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107963</xdr:colOff>
      <xdr:row>23</xdr:row>
      <xdr:rowOff>152197</xdr:rowOff>
    </xdr:from>
    <xdr:to>
      <xdr:col>17</xdr:col>
      <xdr:colOff>1866</xdr:colOff>
      <xdr:row>23</xdr:row>
      <xdr:rowOff>153354</xdr:rowOff>
    </xdr:to>
    <xdr:cxnSp macro="">
      <xdr:nvCxnSpPr>
        <xdr:cNvPr id="38" name="Straight Connector 37">
          <a:extLst>
            <a:ext uri="{FF2B5EF4-FFF2-40B4-BE49-F238E27FC236}">
              <a16:creationId xmlns:a16="http://schemas.microsoft.com/office/drawing/2014/main" id="{6440932A-495B-4FC9-8347-39FD5F6424DC}"/>
            </a:ext>
          </a:extLst>
        </xdr:cNvPr>
        <xdr:cNvCxnSpPr/>
      </xdr:nvCxnSpPr>
      <xdr:spPr>
        <a:xfrm flipV="1">
          <a:off x="9366263" y="4235247"/>
          <a:ext cx="1113103"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96661</xdr:colOff>
      <xdr:row>23</xdr:row>
      <xdr:rowOff>152197</xdr:rowOff>
    </xdr:from>
    <xdr:to>
      <xdr:col>18</xdr:col>
      <xdr:colOff>600563</xdr:colOff>
      <xdr:row>23</xdr:row>
      <xdr:rowOff>153354</xdr:rowOff>
    </xdr:to>
    <xdr:cxnSp macro="">
      <xdr:nvCxnSpPr>
        <xdr:cNvPr id="39" name="Straight Connector 38">
          <a:extLst>
            <a:ext uri="{FF2B5EF4-FFF2-40B4-BE49-F238E27FC236}">
              <a16:creationId xmlns:a16="http://schemas.microsoft.com/office/drawing/2014/main" id="{A70B0F1F-53A2-4688-BD2E-5416BA2E9C27}"/>
            </a:ext>
          </a:extLst>
        </xdr:cNvPr>
        <xdr:cNvCxnSpPr/>
      </xdr:nvCxnSpPr>
      <xdr:spPr>
        <a:xfrm flipV="1">
          <a:off x="10574161" y="4235247"/>
          <a:ext cx="1113502"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81527</xdr:colOff>
      <xdr:row>23</xdr:row>
      <xdr:rowOff>152197</xdr:rowOff>
    </xdr:from>
    <xdr:to>
      <xdr:col>20</xdr:col>
      <xdr:colOff>585430</xdr:colOff>
      <xdr:row>23</xdr:row>
      <xdr:rowOff>153354</xdr:rowOff>
    </xdr:to>
    <xdr:cxnSp macro="">
      <xdr:nvCxnSpPr>
        <xdr:cNvPr id="40" name="Straight Connector 39">
          <a:extLst>
            <a:ext uri="{FF2B5EF4-FFF2-40B4-BE49-F238E27FC236}">
              <a16:creationId xmlns:a16="http://schemas.microsoft.com/office/drawing/2014/main" id="{67EC643B-D798-4CE7-BACB-48EB426E7CB1}"/>
            </a:ext>
          </a:extLst>
        </xdr:cNvPr>
        <xdr:cNvCxnSpPr/>
      </xdr:nvCxnSpPr>
      <xdr:spPr>
        <a:xfrm flipV="1">
          <a:off x="11778227" y="4235247"/>
          <a:ext cx="1113503"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81981</xdr:colOff>
      <xdr:row>24</xdr:row>
      <xdr:rowOff>191437</xdr:rowOff>
    </xdr:from>
    <xdr:to>
      <xdr:col>10</xdr:col>
      <xdr:colOff>585928</xdr:colOff>
      <xdr:row>24</xdr:row>
      <xdr:rowOff>192594</xdr:rowOff>
    </xdr:to>
    <xdr:cxnSp macro="">
      <xdr:nvCxnSpPr>
        <xdr:cNvPr id="41" name="Straight Connector 40">
          <a:extLst>
            <a:ext uri="{FF2B5EF4-FFF2-40B4-BE49-F238E27FC236}">
              <a16:creationId xmlns:a16="http://schemas.microsoft.com/office/drawing/2014/main" id="{F216CEBC-FCA1-4239-8D3E-BC3987A090FA}"/>
            </a:ext>
          </a:extLst>
        </xdr:cNvPr>
        <xdr:cNvCxnSpPr/>
      </xdr:nvCxnSpPr>
      <xdr:spPr>
        <a:xfrm flipV="1">
          <a:off x="5682681" y="445228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84473</xdr:colOff>
      <xdr:row>24</xdr:row>
      <xdr:rowOff>191437</xdr:rowOff>
    </xdr:from>
    <xdr:to>
      <xdr:col>12</xdr:col>
      <xdr:colOff>588420</xdr:colOff>
      <xdr:row>24</xdr:row>
      <xdr:rowOff>192594</xdr:rowOff>
    </xdr:to>
    <xdr:cxnSp macro="">
      <xdr:nvCxnSpPr>
        <xdr:cNvPr id="42" name="Straight Connector 41">
          <a:extLst>
            <a:ext uri="{FF2B5EF4-FFF2-40B4-BE49-F238E27FC236}">
              <a16:creationId xmlns:a16="http://schemas.microsoft.com/office/drawing/2014/main" id="{21D56FDB-D27E-46A8-A02D-33D66795CB41}"/>
            </a:ext>
          </a:extLst>
        </xdr:cNvPr>
        <xdr:cNvCxnSpPr/>
      </xdr:nvCxnSpPr>
      <xdr:spPr>
        <a:xfrm flipV="1">
          <a:off x="6904373" y="445228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82797</xdr:colOff>
      <xdr:row>24</xdr:row>
      <xdr:rowOff>191437</xdr:rowOff>
    </xdr:from>
    <xdr:to>
      <xdr:col>14</xdr:col>
      <xdr:colOff>586744</xdr:colOff>
      <xdr:row>24</xdr:row>
      <xdr:rowOff>192594</xdr:rowOff>
    </xdr:to>
    <xdr:cxnSp macro="">
      <xdr:nvCxnSpPr>
        <xdr:cNvPr id="43" name="Straight Connector 42">
          <a:extLst>
            <a:ext uri="{FF2B5EF4-FFF2-40B4-BE49-F238E27FC236}">
              <a16:creationId xmlns:a16="http://schemas.microsoft.com/office/drawing/2014/main" id="{711D405B-B0CD-45BC-B5F0-EAEF76189C80}"/>
            </a:ext>
          </a:extLst>
        </xdr:cNvPr>
        <xdr:cNvCxnSpPr/>
      </xdr:nvCxnSpPr>
      <xdr:spPr>
        <a:xfrm flipV="1">
          <a:off x="8121897" y="445228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92941</xdr:colOff>
      <xdr:row>24</xdr:row>
      <xdr:rowOff>191437</xdr:rowOff>
    </xdr:from>
    <xdr:to>
      <xdr:col>16</xdr:col>
      <xdr:colOff>596889</xdr:colOff>
      <xdr:row>24</xdr:row>
      <xdr:rowOff>192594</xdr:rowOff>
    </xdr:to>
    <xdr:cxnSp macro="">
      <xdr:nvCxnSpPr>
        <xdr:cNvPr id="44" name="Straight Connector 43">
          <a:extLst>
            <a:ext uri="{FF2B5EF4-FFF2-40B4-BE49-F238E27FC236}">
              <a16:creationId xmlns:a16="http://schemas.microsoft.com/office/drawing/2014/main" id="{8A9715A4-141D-4617-ACC8-8AA8F378F8B8}"/>
            </a:ext>
          </a:extLst>
        </xdr:cNvPr>
        <xdr:cNvCxnSpPr/>
      </xdr:nvCxnSpPr>
      <xdr:spPr>
        <a:xfrm flipV="1">
          <a:off x="9351241" y="4452287"/>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81638</xdr:colOff>
      <xdr:row>24</xdr:row>
      <xdr:rowOff>191437</xdr:rowOff>
    </xdr:from>
    <xdr:to>
      <xdr:col>18</xdr:col>
      <xdr:colOff>585586</xdr:colOff>
      <xdr:row>24</xdr:row>
      <xdr:rowOff>192594</xdr:rowOff>
    </xdr:to>
    <xdr:cxnSp macro="">
      <xdr:nvCxnSpPr>
        <xdr:cNvPr id="45" name="Straight Connector 44">
          <a:extLst>
            <a:ext uri="{FF2B5EF4-FFF2-40B4-BE49-F238E27FC236}">
              <a16:creationId xmlns:a16="http://schemas.microsoft.com/office/drawing/2014/main" id="{13EEB9C0-EC2A-45A9-9AC7-95DAEB334681}"/>
            </a:ext>
          </a:extLst>
        </xdr:cNvPr>
        <xdr:cNvCxnSpPr/>
      </xdr:nvCxnSpPr>
      <xdr:spPr>
        <a:xfrm flipV="1">
          <a:off x="10559138" y="4452287"/>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81505</xdr:colOff>
      <xdr:row>24</xdr:row>
      <xdr:rowOff>191437</xdr:rowOff>
    </xdr:from>
    <xdr:to>
      <xdr:col>20</xdr:col>
      <xdr:colOff>585453</xdr:colOff>
      <xdr:row>24</xdr:row>
      <xdr:rowOff>192594</xdr:rowOff>
    </xdr:to>
    <xdr:cxnSp macro="">
      <xdr:nvCxnSpPr>
        <xdr:cNvPr id="46" name="Straight Connector 45">
          <a:extLst>
            <a:ext uri="{FF2B5EF4-FFF2-40B4-BE49-F238E27FC236}">
              <a16:creationId xmlns:a16="http://schemas.microsoft.com/office/drawing/2014/main" id="{BF89EF1D-2572-4D04-B5F7-0EE996CE00D3}"/>
            </a:ext>
          </a:extLst>
        </xdr:cNvPr>
        <xdr:cNvCxnSpPr/>
      </xdr:nvCxnSpPr>
      <xdr:spPr>
        <a:xfrm flipV="1">
          <a:off x="11778205" y="4452287"/>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81981</xdr:colOff>
      <xdr:row>25</xdr:row>
      <xdr:rowOff>5545</xdr:rowOff>
    </xdr:from>
    <xdr:to>
      <xdr:col>10</xdr:col>
      <xdr:colOff>585928</xdr:colOff>
      <xdr:row>25</xdr:row>
      <xdr:rowOff>6702</xdr:rowOff>
    </xdr:to>
    <xdr:cxnSp macro="">
      <xdr:nvCxnSpPr>
        <xdr:cNvPr id="47" name="Straight Connector 46">
          <a:extLst>
            <a:ext uri="{FF2B5EF4-FFF2-40B4-BE49-F238E27FC236}">
              <a16:creationId xmlns:a16="http://schemas.microsoft.com/office/drawing/2014/main" id="{260B228E-2478-49D2-A9AE-01504646165C}"/>
            </a:ext>
          </a:extLst>
        </xdr:cNvPr>
        <xdr:cNvCxnSpPr/>
      </xdr:nvCxnSpPr>
      <xdr:spPr>
        <a:xfrm flipV="1">
          <a:off x="5682681" y="445689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84473</xdr:colOff>
      <xdr:row>25</xdr:row>
      <xdr:rowOff>5545</xdr:rowOff>
    </xdr:from>
    <xdr:to>
      <xdr:col>12</xdr:col>
      <xdr:colOff>588420</xdr:colOff>
      <xdr:row>25</xdr:row>
      <xdr:rowOff>6702</xdr:rowOff>
    </xdr:to>
    <xdr:cxnSp macro="">
      <xdr:nvCxnSpPr>
        <xdr:cNvPr id="48" name="Straight Connector 47">
          <a:extLst>
            <a:ext uri="{FF2B5EF4-FFF2-40B4-BE49-F238E27FC236}">
              <a16:creationId xmlns:a16="http://schemas.microsoft.com/office/drawing/2014/main" id="{6B5206BF-1DF6-4480-812C-92B4D549CF15}"/>
            </a:ext>
          </a:extLst>
        </xdr:cNvPr>
        <xdr:cNvCxnSpPr/>
      </xdr:nvCxnSpPr>
      <xdr:spPr>
        <a:xfrm flipV="1">
          <a:off x="6904373" y="445689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82797</xdr:colOff>
      <xdr:row>25</xdr:row>
      <xdr:rowOff>5545</xdr:rowOff>
    </xdr:from>
    <xdr:to>
      <xdr:col>14</xdr:col>
      <xdr:colOff>586744</xdr:colOff>
      <xdr:row>25</xdr:row>
      <xdr:rowOff>6702</xdr:rowOff>
    </xdr:to>
    <xdr:cxnSp macro="">
      <xdr:nvCxnSpPr>
        <xdr:cNvPr id="49" name="Straight Connector 48">
          <a:extLst>
            <a:ext uri="{FF2B5EF4-FFF2-40B4-BE49-F238E27FC236}">
              <a16:creationId xmlns:a16="http://schemas.microsoft.com/office/drawing/2014/main" id="{5935CD23-C198-429D-B9ED-6D358BC4D413}"/>
            </a:ext>
          </a:extLst>
        </xdr:cNvPr>
        <xdr:cNvCxnSpPr/>
      </xdr:nvCxnSpPr>
      <xdr:spPr>
        <a:xfrm flipV="1">
          <a:off x="8121897" y="445689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92941</xdr:colOff>
      <xdr:row>25</xdr:row>
      <xdr:rowOff>5545</xdr:rowOff>
    </xdr:from>
    <xdr:to>
      <xdr:col>16</xdr:col>
      <xdr:colOff>596889</xdr:colOff>
      <xdr:row>25</xdr:row>
      <xdr:rowOff>6702</xdr:rowOff>
    </xdr:to>
    <xdr:cxnSp macro="">
      <xdr:nvCxnSpPr>
        <xdr:cNvPr id="50" name="Straight Connector 49">
          <a:extLst>
            <a:ext uri="{FF2B5EF4-FFF2-40B4-BE49-F238E27FC236}">
              <a16:creationId xmlns:a16="http://schemas.microsoft.com/office/drawing/2014/main" id="{E787F432-B824-4957-8282-8D79E1C46D24}"/>
            </a:ext>
          </a:extLst>
        </xdr:cNvPr>
        <xdr:cNvCxnSpPr/>
      </xdr:nvCxnSpPr>
      <xdr:spPr>
        <a:xfrm flipV="1">
          <a:off x="9351241" y="4456895"/>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81638</xdr:colOff>
      <xdr:row>25</xdr:row>
      <xdr:rowOff>5545</xdr:rowOff>
    </xdr:from>
    <xdr:to>
      <xdr:col>18</xdr:col>
      <xdr:colOff>585586</xdr:colOff>
      <xdr:row>25</xdr:row>
      <xdr:rowOff>6702</xdr:rowOff>
    </xdr:to>
    <xdr:cxnSp macro="">
      <xdr:nvCxnSpPr>
        <xdr:cNvPr id="51" name="Straight Connector 50">
          <a:extLst>
            <a:ext uri="{FF2B5EF4-FFF2-40B4-BE49-F238E27FC236}">
              <a16:creationId xmlns:a16="http://schemas.microsoft.com/office/drawing/2014/main" id="{971FA930-2715-4AC6-BF56-872331454BF7}"/>
            </a:ext>
          </a:extLst>
        </xdr:cNvPr>
        <xdr:cNvCxnSpPr/>
      </xdr:nvCxnSpPr>
      <xdr:spPr>
        <a:xfrm flipV="1">
          <a:off x="10559138" y="4456895"/>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81505</xdr:colOff>
      <xdr:row>25</xdr:row>
      <xdr:rowOff>5545</xdr:rowOff>
    </xdr:from>
    <xdr:to>
      <xdr:col>20</xdr:col>
      <xdr:colOff>585453</xdr:colOff>
      <xdr:row>25</xdr:row>
      <xdr:rowOff>6702</xdr:rowOff>
    </xdr:to>
    <xdr:cxnSp macro="">
      <xdr:nvCxnSpPr>
        <xdr:cNvPr id="52" name="Straight Connector 51">
          <a:extLst>
            <a:ext uri="{FF2B5EF4-FFF2-40B4-BE49-F238E27FC236}">
              <a16:creationId xmlns:a16="http://schemas.microsoft.com/office/drawing/2014/main" id="{D1075131-2009-4EB0-ADA2-16F0F34224FC}"/>
            </a:ext>
          </a:extLst>
        </xdr:cNvPr>
        <xdr:cNvCxnSpPr/>
      </xdr:nvCxnSpPr>
      <xdr:spPr>
        <a:xfrm flipV="1">
          <a:off x="11778205" y="4456895"/>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66609</xdr:colOff>
      <xdr:row>10</xdr:row>
      <xdr:rowOff>179312</xdr:rowOff>
    </xdr:from>
    <xdr:to>
      <xdr:col>14</xdr:col>
      <xdr:colOff>581713</xdr:colOff>
      <xdr:row>10</xdr:row>
      <xdr:rowOff>179312</xdr:rowOff>
    </xdr:to>
    <xdr:cxnSp macro="">
      <xdr:nvCxnSpPr>
        <xdr:cNvPr id="53" name="Straight Connector 52">
          <a:extLst>
            <a:ext uri="{FF2B5EF4-FFF2-40B4-BE49-F238E27FC236}">
              <a16:creationId xmlns:a16="http://schemas.microsoft.com/office/drawing/2014/main" id="{833872DC-CE3C-43CC-AD64-BEF63336976A}"/>
            </a:ext>
          </a:extLst>
        </xdr:cNvPr>
        <xdr:cNvCxnSpPr/>
      </xdr:nvCxnSpPr>
      <xdr:spPr>
        <a:xfrm>
          <a:off x="5667309" y="1995412"/>
          <a:ext cx="3563104"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9641</xdr:colOff>
      <xdr:row>31</xdr:row>
      <xdr:rowOff>163361</xdr:rowOff>
    </xdr:from>
    <xdr:to>
      <xdr:col>21</xdr:col>
      <xdr:colOff>41413</xdr:colOff>
      <xdr:row>31</xdr:row>
      <xdr:rowOff>163361</xdr:rowOff>
    </xdr:to>
    <xdr:cxnSp macro="">
      <xdr:nvCxnSpPr>
        <xdr:cNvPr id="54" name="Straight Connector 53">
          <a:extLst>
            <a:ext uri="{FF2B5EF4-FFF2-40B4-BE49-F238E27FC236}">
              <a16:creationId xmlns:a16="http://schemas.microsoft.com/office/drawing/2014/main" id="{1365B6DB-C6AB-4B43-9B07-132D8D3103A2}"/>
            </a:ext>
          </a:extLst>
        </xdr:cNvPr>
        <xdr:cNvCxnSpPr/>
      </xdr:nvCxnSpPr>
      <xdr:spPr>
        <a:xfrm>
          <a:off x="3781541" y="5725961"/>
          <a:ext cx="9175772" cy="0"/>
        </a:xfrm>
        <a:prstGeom prst="line">
          <a:avLst/>
        </a:prstGeom>
        <a:ln w="12700">
          <a:solidFill>
            <a:schemeClr val="bg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76881</xdr:colOff>
      <xdr:row>33</xdr:row>
      <xdr:rowOff>162327</xdr:rowOff>
    </xdr:from>
    <xdr:to>
      <xdr:col>10</xdr:col>
      <xdr:colOff>580828</xdr:colOff>
      <xdr:row>33</xdr:row>
      <xdr:rowOff>163484</xdr:rowOff>
    </xdr:to>
    <xdr:cxnSp macro="">
      <xdr:nvCxnSpPr>
        <xdr:cNvPr id="55" name="Straight Connector 54">
          <a:extLst>
            <a:ext uri="{FF2B5EF4-FFF2-40B4-BE49-F238E27FC236}">
              <a16:creationId xmlns:a16="http://schemas.microsoft.com/office/drawing/2014/main" id="{F88BF9FF-0A10-4D9C-BA4A-D2B5DD26085A}"/>
            </a:ext>
          </a:extLst>
        </xdr:cNvPr>
        <xdr:cNvCxnSpPr/>
      </xdr:nvCxnSpPr>
      <xdr:spPr>
        <a:xfrm flipV="1">
          <a:off x="5677581" y="609957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78935</xdr:colOff>
      <xdr:row>33</xdr:row>
      <xdr:rowOff>162327</xdr:rowOff>
    </xdr:from>
    <xdr:to>
      <xdr:col>12</xdr:col>
      <xdr:colOff>583758</xdr:colOff>
      <xdr:row>33</xdr:row>
      <xdr:rowOff>163484</xdr:rowOff>
    </xdr:to>
    <xdr:cxnSp macro="">
      <xdr:nvCxnSpPr>
        <xdr:cNvPr id="56" name="Straight Connector 55">
          <a:extLst>
            <a:ext uri="{FF2B5EF4-FFF2-40B4-BE49-F238E27FC236}">
              <a16:creationId xmlns:a16="http://schemas.microsoft.com/office/drawing/2014/main" id="{FB0145FE-539B-4BAB-8B5F-3727EC6FC421}"/>
            </a:ext>
          </a:extLst>
        </xdr:cNvPr>
        <xdr:cNvCxnSpPr/>
      </xdr:nvCxnSpPr>
      <xdr:spPr>
        <a:xfrm flipV="1">
          <a:off x="6898835" y="6099577"/>
          <a:ext cx="1114423"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77260</xdr:colOff>
      <xdr:row>33</xdr:row>
      <xdr:rowOff>162327</xdr:rowOff>
    </xdr:from>
    <xdr:to>
      <xdr:col>14</xdr:col>
      <xdr:colOff>582082</xdr:colOff>
      <xdr:row>33</xdr:row>
      <xdr:rowOff>163484</xdr:rowOff>
    </xdr:to>
    <xdr:cxnSp macro="">
      <xdr:nvCxnSpPr>
        <xdr:cNvPr id="57" name="Straight Connector 56">
          <a:extLst>
            <a:ext uri="{FF2B5EF4-FFF2-40B4-BE49-F238E27FC236}">
              <a16:creationId xmlns:a16="http://schemas.microsoft.com/office/drawing/2014/main" id="{7BA2A483-6F99-45D6-A641-442C16971351}"/>
            </a:ext>
          </a:extLst>
        </xdr:cNvPr>
        <xdr:cNvCxnSpPr/>
      </xdr:nvCxnSpPr>
      <xdr:spPr>
        <a:xfrm flipV="1">
          <a:off x="8116360" y="6099577"/>
          <a:ext cx="1114422"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87863</xdr:colOff>
      <xdr:row>33</xdr:row>
      <xdr:rowOff>162327</xdr:rowOff>
    </xdr:from>
    <xdr:to>
      <xdr:col>16</xdr:col>
      <xdr:colOff>591766</xdr:colOff>
      <xdr:row>33</xdr:row>
      <xdr:rowOff>163484</xdr:rowOff>
    </xdr:to>
    <xdr:cxnSp macro="">
      <xdr:nvCxnSpPr>
        <xdr:cNvPr id="58" name="Straight Connector 57">
          <a:extLst>
            <a:ext uri="{FF2B5EF4-FFF2-40B4-BE49-F238E27FC236}">
              <a16:creationId xmlns:a16="http://schemas.microsoft.com/office/drawing/2014/main" id="{985F87A6-23A7-46F7-B55D-188FC0C62F63}"/>
            </a:ext>
          </a:extLst>
        </xdr:cNvPr>
        <xdr:cNvCxnSpPr/>
      </xdr:nvCxnSpPr>
      <xdr:spPr>
        <a:xfrm flipV="1">
          <a:off x="9346163" y="6099577"/>
          <a:ext cx="1113503"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76561</xdr:colOff>
      <xdr:row>33</xdr:row>
      <xdr:rowOff>162327</xdr:rowOff>
    </xdr:from>
    <xdr:to>
      <xdr:col>18</xdr:col>
      <xdr:colOff>580463</xdr:colOff>
      <xdr:row>33</xdr:row>
      <xdr:rowOff>163484</xdr:rowOff>
    </xdr:to>
    <xdr:cxnSp macro="">
      <xdr:nvCxnSpPr>
        <xdr:cNvPr id="59" name="Straight Connector 58">
          <a:extLst>
            <a:ext uri="{FF2B5EF4-FFF2-40B4-BE49-F238E27FC236}">
              <a16:creationId xmlns:a16="http://schemas.microsoft.com/office/drawing/2014/main" id="{3129C373-9A13-46EC-9877-3CFAA0B41E93}"/>
            </a:ext>
          </a:extLst>
        </xdr:cNvPr>
        <xdr:cNvCxnSpPr/>
      </xdr:nvCxnSpPr>
      <xdr:spPr>
        <a:xfrm flipV="1">
          <a:off x="10554061" y="6099577"/>
          <a:ext cx="1113502"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61427</xdr:colOff>
      <xdr:row>33</xdr:row>
      <xdr:rowOff>162327</xdr:rowOff>
    </xdr:from>
    <xdr:to>
      <xdr:col>20</xdr:col>
      <xdr:colOff>565330</xdr:colOff>
      <xdr:row>33</xdr:row>
      <xdr:rowOff>163484</xdr:rowOff>
    </xdr:to>
    <xdr:cxnSp macro="">
      <xdr:nvCxnSpPr>
        <xdr:cNvPr id="60" name="Straight Connector 59">
          <a:extLst>
            <a:ext uri="{FF2B5EF4-FFF2-40B4-BE49-F238E27FC236}">
              <a16:creationId xmlns:a16="http://schemas.microsoft.com/office/drawing/2014/main" id="{F7645869-7510-478C-90E8-FDA81B057433}"/>
            </a:ext>
          </a:extLst>
        </xdr:cNvPr>
        <xdr:cNvCxnSpPr/>
      </xdr:nvCxnSpPr>
      <xdr:spPr>
        <a:xfrm flipV="1">
          <a:off x="11758127" y="6099577"/>
          <a:ext cx="1113503"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76881</xdr:colOff>
      <xdr:row>40</xdr:row>
      <xdr:rowOff>159727</xdr:rowOff>
    </xdr:from>
    <xdr:to>
      <xdr:col>10</xdr:col>
      <xdr:colOff>580828</xdr:colOff>
      <xdr:row>40</xdr:row>
      <xdr:rowOff>160884</xdr:rowOff>
    </xdr:to>
    <xdr:cxnSp macro="">
      <xdr:nvCxnSpPr>
        <xdr:cNvPr id="61" name="Straight Connector 60">
          <a:extLst>
            <a:ext uri="{FF2B5EF4-FFF2-40B4-BE49-F238E27FC236}">
              <a16:creationId xmlns:a16="http://schemas.microsoft.com/office/drawing/2014/main" id="{3D83B5DF-6C51-49BF-8943-44028F1ECE1F}"/>
            </a:ext>
          </a:extLst>
        </xdr:cNvPr>
        <xdr:cNvCxnSpPr/>
      </xdr:nvCxnSpPr>
      <xdr:spPr>
        <a:xfrm flipV="1">
          <a:off x="5677581" y="724632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78935</xdr:colOff>
      <xdr:row>40</xdr:row>
      <xdr:rowOff>159727</xdr:rowOff>
    </xdr:from>
    <xdr:to>
      <xdr:col>12</xdr:col>
      <xdr:colOff>583758</xdr:colOff>
      <xdr:row>40</xdr:row>
      <xdr:rowOff>160884</xdr:rowOff>
    </xdr:to>
    <xdr:cxnSp macro="">
      <xdr:nvCxnSpPr>
        <xdr:cNvPr id="62" name="Straight Connector 61">
          <a:extLst>
            <a:ext uri="{FF2B5EF4-FFF2-40B4-BE49-F238E27FC236}">
              <a16:creationId xmlns:a16="http://schemas.microsoft.com/office/drawing/2014/main" id="{E84CACF7-5E50-43EE-9B51-27DD7AB02DE4}"/>
            </a:ext>
          </a:extLst>
        </xdr:cNvPr>
        <xdr:cNvCxnSpPr/>
      </xdr:nvCxnSpPr>
      <xdr:spPr>
        <a:xfrm flipV="1">
          <a:off x="6898835" y="7246327"/>
          <a:ext cx="1114423"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77260</xdr:colOff>
      <xdr:row>40</xdr:row>
      <xdr:rowOff>159727</xdr:rowOff>
    </xdr:from>
    <xdr:to>
      <xdr:col>14</xdr:col>
      <xdr:colOff>582082</xdr:colOff>
      <xdr:row>40</xdr:row>
      <xdr:rowOff>160884</xdr:rowOff>
    </xdr:to>
    <xdr:cxnSp macro="">
      <xdr:nvCxnSpPr>
        <xdr:cNvPr id="63" name="Straight Connector 62">
          <a:extLst>
            <a:ext uri="{FF2B5EF4-FFF2-40B4-BE49-F238E27FC236}">
              <a16:creationId xmlns:a16="http://schemas.microsoft.com/office/drawing/2014/main" id="{4505A12E-3BCB-4585-8956-118AA465D1B9}"/>
            </a:ext>
          </a:extLst>
        </xdr:cNvPr>
        <xdr:cNvCxnSpPr/>
      </xdr:nvCxnSpPr>
      <xdr:spPr>
        <a:xfrm flipV="1">
          <a:off x="8116360" y="7246327"/>
          <a:ext cx="1114422"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87863</xdr:colOff>
      <xdr:row>40</xdr:row>
      <xdr:rowOff>159727</xdr:rowOff>
    </xdr:from>
    <xdr:to>
      <xdr:col>16</xdr:col>
      <xdr:colOff>591766</xdr:colOff>
      <xdr:row>40</xdr:row>
      <xdr:rowOff>160884</xdr:rowOff>
    </xdr:to>
    <xdr:cxnSp macro="">
      <xdr:nvCxnSpPr>
        <xdr:cNvPr id="64" name="Straight Connector 63">
          <a:extLst>
            <a:ext uri="{FF2B5EF4-FFF2-40B4-BE49-F238E27FC236}">
              <a16:creationId xmlns:a16="http://schemas.microsoft.com/office/drawing/2014/main" id="{4F5596D4-1D45-44DB-A398-646AF2ACEEA1}"/>
            </a:ext>
          </a:extLst>
        </xdr:cNvPr>
        <xdr:cNvCxnSpPr/>
      </xdr:nvCxnSpPr>
      <xdr:spPr>
        <a:xfrm flipV="1">
          <a:off x="9346163" y="7246327"/>
          <a:ext cx="1113503"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76561</xdr:colOff>
      <xdr:row>40</xdr:row>
      <xdr:rowOff>159727</xdr:rowOff>
    </xdr:from>
    <xdr:to>
      <xdr:col>18</xdr:col>
      <xdr:colOff>580463</xdr:colOff>
      <xdr:row>40</xdr:row>
      <xdr:rowOff>160884</xdr:rowOff>
    </xdr:to>
    <xdr:cxnSp macro="">
      <xdr:nvCxnSpPr>
        <xdr:cNvPr id="65" name="Straight Connector 64">
          <a:extLst>
            <a:ext uri="{FF2B5EF4-FFF2-40B4-BE49-F238E27FC236}">
              <a16:creationId xmlns:a16="http://schemas.microsoft.com/office/drawing/2014/main" id="{429A0518-26C6-400F-B761-607C738DA1D4}"/>
            </a:ext>
          </a:extLst>
        </xdr:cNvPr>
        <xdr:cNvCxnSpPr/>
      </xdr:nvCxnSpPr>
      <xdr:spPr>
        <a:xfrm flipV="1">
          <a:off x="10554061" y="7246327"/>
          <a:ext cx="1113502"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61427</xdr:colOff>
      <xdr:row>40</xdr:row>
      <xdr:rowOff>159727</xdr:rowOff>
    </xdr:from>
    <xdr:to>
      <xdr:col>20</xdr:col>
      <xdr:colOff>565330</xdr:colOff>
      <xdr:row>40</xdr:row>
      <xdr:rowOff>160884</xdr:rowOff>
    </xdr:to>
    <xdr:cxnSp macro="">
      <xdr:nvCxnSpPr>
        <xdr:cNvPr id="66" name="Straight Connector 65">
          <a:extLst>
            <a:ext uri="{FF2B5EF4-FFF2-40B4-BE49-F238E27FC236}">
              <a16:creationId xmlns:a16="http://schemas.microsoft.com/office/drawing/2014/main" id="{C6D8271E-E6F5-4727-9B57-0780A4FBD420}"/>
            </a:ext>
          </a:extLst>
        </xdr:cNvPr>
        <xdr:cNvCxnSpPr/>
      </xdr:nvCxnSpPr>
      <xdr:spPr>
        <a:xfrm flipV="1">
          <a:off x="11758127" y="7246327"/>
          <a:ext cx="1113503"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58081</xdr:colOff>
      <xdr:row>44</xdr:row>
      <xdr:rowOff>162046</xdr:rowOff>
    </xdr:from>
    <xdr:to>
      <xdr:col>10</xdr:col>
      <xdr:colOff>562028</xdr:colOff>
      <xdr:row>44</xdr:row>
      <xdr:rowOff>163364</xdr:rowOff>
    </xdr:to>
    <xdr:cxnSp macro="">
      <xdr:nvCxnSpPr>
        <xdr:cNvPr id="67" name="Straight Connector 66">
          <a:extLst>
            <a:ext uri="{FF2B5EF4-FFF2-40B4-BE49-F238E27FC236}">
              <a16:creationId xmlns:a16="http://schemas.microsoft.com/office/drawing/2014/main" id="{C47BF4F0-A2E7-436D-AD68-DA7C3F74A5F6}"/>
            </a:ext>
          </a:extLst>
        </xdr:cNvPr>
        <xdr:cNvCxnSpPr/>
      </xdr:nvCxnSpPr>
      <xdr:spPr>
        <a:xfrm flipV="1">
          <a:off x="5658781" y="79852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60135</xdr:colOff>
      <xdr:row>44</xdr:row>
      <xdr:rowOff>162046</xdr:rowOff>
    </xdr:from>
    <xdr:to>
      <xdr:col>12</xdr:col>
      <xdr:colOff>564958</xdr:colOff>
      <xdr:row>44</xdr:row>
      <xdr:rowOff>163364</xdr:rowOff>
    </xdr:to>
    <xdr:cxnSp macro="">
      <xdr:nvCxnSpPr>
        <xdr:cNvPr id="68" name="Straight Connector 67">
          <a:extLst>
            <a:ext uri="{FF2B5EF4-FFF2-40B4-BE49-F238E27FC236}">
              <a16:creationId xmlns:a16="http://schemas.microsoft.com/office/drawing/2014/main" id="{1B9916B1-1F0C-4DDD-A7CF-78BB366EFBEE}"/>
            </a:ext>
          </a:extLst>
        </xdr:cNvPr>
        <xdr:cNvCxnSpPr/>
      </xdr:nvCxnSpPr>
      <xdr:spPr>
        <a:xfrm flipV="1">
          <a:off x="6880035" y="7985246"/>
          <a:ext cx="1114423"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58460</xdr:colOff>
      <xdr:row>44</xdr:row>
      <xdr:rowOff>162046</xdr:rowOff>
    </xdr:from>
    <xdr:to>
      <xdr:col>14</xdr:col>
      <xdr:colOff>563282</xdr:colOff>
      <xdr:row>44</xdr:row>
      <xdr:rowOff>163364</xdr:rowOff>
    </xdr:to>
    <xdr:cxnSp macro="">
      <xdr:nvCxnSpPr>
        <xdr:cNvPr id="69" name="Straight Connector 68">
          <a:extLst>
            <a:ext uri="{FF2B5EF4-FFF2-40B4-BE49-F238E27FC236}">
              <a16:creationId xmlns:a16="http://schemas.microsoft.com/office/drawing/2014/main" id="{856CA23A-0373-450D-A5E4-E839D7C5A83C}"/>
            </a:ext>
          </a:extLst>
        </xdr:cNvPr>
        <xdr:cNvCxnSpPr/>
      </xdr:nvCxnSpPr>
      <xdr:spPr>
        <a:xfrm flipV="1">
          <a:off x="8097560" y="7985246"/>
          <a:ext cx="1114422"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69063</xdr:colOff>
      <xdr:row>44</xdr:row>
      <xdr:rowOff>162046</xdr:rowOff>
    </xdr:from>
    <xdr:to>
      <xdr:col>16</xdr:col>
      <xdr:colOff>572966</xdr:colOff>
      <xdr:row>44</xdr:row>
      <xdr:rowOff>163364</xdr:rowOff>
    </xdr:to>
    <xdr:cxnSp macro="">
      <xdr:nvCxnSpPr>
        <xdr:cNvPr id="70" name="Straight Connector 69">
          <a:extLst>
            <a:ext uri="{FF2B5EF4-FFF2-40B4-BE49-F238E27FC236}">
              <a16:creationId xmlns:a16="http://schemas.microsoft.com/office/drawing/2014/main" id="{11FA581C-2433-440D-AFF4-43FBF36448E5}"/>
            </a:ext>
          </a:extLst>
        </xdr:cNvPr>
        <xdr:cNvCxnSpPr/>
      </xdr:nvCxnSpPr>
      <xdr:spPr>
        <a:xfrm flipV="1">
          <a:off x="9327363" y="7985246"/>
          <a:ext cx="1113503"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57761</xdr:colOff>
      <xdr:row>44</xdr:row>
      <xdr:rowOff>162046</xdr:rowOff>
    </xdr:from>
    <xdr:to>
      <xdr:col>18</xdr:col>
      <xdr:colOff>561663</xdr:colOff>
      <xdr:row>44</xdr:row>
      <xdr:rowOff>163364</xdr:rowOff>
    </xdr:to>
    <xdr:cxnSp macro="">
      <xdr:nvCxnSpPr>
        <xdr:cNvPr id="71" name="Straight Connector 70">
          <a:extLst>
            <a:ext uri="{FF2B5EF4-FFF2-40B4-BE49-F238E27FC236}">
              <a16:creationId xmlns:a16="http://schemas.microsoft.com/office/drawing/2014/main" id="{1CE04313-094E-4770-B8AF-3EF53E69E480}"/>
            </a:ext>
          </a:extLst>
        </xdr:cNvPr>
        <xdr:cNvCxnSpPr/>
      </xdr:nvCxnSpPr>
      <xdr:spPr>
        <a:xfrm flipV="1">
          <a:off x="10535261" y="7985246"/>
          <a:ext cx="1113502"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42627</xdr:colOff>
      <xdr:row>44</xdr:row>
      <xdr:rowOff>162046</xdr:rowOff>
    </xdr:from>
    <xdr:to>
      <xdr:col>20</xdr:col>
      <xdr:colOff>546530</xdr:colOff>
      <xdr:row>44</xdr:row>
      <xdr:rowOff>163364</xdr:rowOff>
    </xdr:to>
    <xdr:cxnSp macro="">
      <xdr:nvCxnSpPr>
        <xdr:cNvPr id="72" name="Straight Connector 71">
          <a:extLst>
            <a:ext uri="{FF2B5EF4-FFF2-40B4-BE49-F238E27FC236}">
              <a16:creationId xmlns:a16="http://schemas.microsoft.com/office/drawing/2014/main" id="{B8BBCB4F-681D-46DB-895D-0DD889A04DAD}"/>
            </a:ext>
          </a:extLst>
        </xdr:cNvPr>
        <xdr:cNvCxnSpPr/>
      </xdr:nvCxnSpPr>
      <xdr:spPr>
        <a:xfrm flipV="1">
          <a:off x="11739327" y="7985246"/>
          <a:ext cx="1113503"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58081</xdr:colOff>
      <xdr:row>53</xdr:row>
      <xdr:rowOff>159446</xdr:rowOff>
    </xdr:from>
    <xdr:to>
      <xdr:col>10</xdr:col>
      <xdr:colOff>562028</xdr:colOff>
      <xdr:row>53</xdr:row>
      <xdr:rowOff>160764</xdr:rowOff>
    </xdr:to>
    <xdr:cxnSp macro="">
      <xdr:nvCxnSpPr>
        <xdr:cNvPr id="73" name="Straight Connector 72">
          <a:extLst>
            <a:ext uri="{FF2B5EF4-FFF2-40B4-BE49-F238E27FC236}">
              <a16:creationId xmlns:a16="http://schemas.microsoft.com/office/drawing/2014/main" id="{3E4F21EA-BA18-453F-ADEC-5B9FE3783DEA}"/>
            </a:ext>
          </a:extLst>
        </xdr:cNvPr>
        <xdr:cNvCxnSpPr/>
      </xdr:nvCxnSpPr>
      <xdr:spPr>
        <a:xfrm flipV="1">
          <a:off x="5658781" y="94875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60135</xdr:colOff>
      <xdr:row>53</xdr:row>
      <xdr:rowOff>159446</xdr:rowOff>
    </xdr:from>
    <xdr:to>
      <xdr:col>12</xdr:col>
      <xdr:colOff>564958</xdr:colOff>
      <xdr:row>53</xdr:row>
      <xdr:rowOff>160764</xdr:rowOff>
    </xdr:to>
    <xdr:cxnSp macro="">
      <xdr:nvCxnSpPr>
        <xdr:cNvPr id="74" name="Straight Connector 73">
          <a:extLst>
            <a:ext uri="{FF2B5EF4-FFF2-40B4-BE49-F238E27FC236}">
              <a16:creationId xmlns:a16="http://schemas.microsoft.com/office/drawing/2014/main" id="{EAB1EF21-1CAF-4E33-AB30-8B7180B76294}"/>
            </a:ext>
          </a:extLst>
        </xdr:cNvPr>
        <xdr:cNvCxnSpPr/>
      </xdr:nvCxnSpPr>
      <xdr:spPr>
        <a:xfrm flipV="1">
          <a:off x="6880035" y="9487596"/>
          <a:ext cx="1114423"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58460</xdr:colOff>
      <xdr:row>53</xdr:row>
      <xdr:rowOff>159446</xdr:rowOff>
    </xdr:from>
    <xdr:to>
      <xdr:col>14</xdr:col>
      <xdr:colOff>563282</xdr:colOff>
      <xdr:row>53</xdr:row>
      <xdr:rowOff>160764</xdr:rowOff>
    </xdr:to>
    <xdr:cxnSp macro="">
      <xdr:nvCxnSpPr>
        <xdr:cNvPr id="75" name="Straight Connector 74">
          <a:extLst>
            <a:ext uri="{FF2B5EF4-FFF2-40B4-BE49-F238E27FC236}">
              <a16:creationId xmlns:a16="http://schemas.microsoft.com/office/drawing/2014/main" id="{4EB3C009-4E53-44F5-A5C6-1D438130571C}"/>
            </a:ext>
          </a:extLst>
        </xdr:cNvPr>
        <xdr:cNvCxnSpPr/>
      </xdr:nvCxnSpPr>
      <xdr:spPr>
        <a:xfrm flipV="1">
          <a:off x="8097560" y="9487596"/>
          <a:ext cx="1114422"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69063</xdr:colOff>
      <xdr:row>53</xdr:row>
      <xdr:rowOff>159446</xdr:rowOff>
    </xdr:from>
    <xdr:to>
      <xdr:col>16</xdr:col>
      <xdr:colOff>572966</xdr:colOff>
      <xdr:row>53</xdr:row>
      <xdr:rowOff>160764</xdr:rowOff>
    </xdr:to>
    <xdr:cxnSp macro="">
      <xdr:nvCxnSpPr>
        <xdr:cNvPr id="76" name="Straight Connector 75">
          <a:extLst>
            <a:ext uri="{FF2B5EF4-FFF2-40B4-BE49-F238E27FC236}">
              <a16:creationId xmlns:a16="http://schemas.microsoft.com/office/drawing/2014/main" id="{8715D480-F907-4936-B4B3-19FF5BA541A6}"/>
            </a:ext>
          </a:extLst>
        </xdr:cNvPr>
        <xdr:cNvCxnSpPr/>
      </xdr:nvCxnSpPr>
      <xdr:spPr>
        <a:xfrm flipV="1">
          <a:off x="9327363" y="9487596"/>
          <a:ext cx="1113503"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57761</xdr:colOff>
      <xdr:row>53</xdr:row>
      <xdr:rowOff>159446</xdr:rowOff>
    </xdr:from>
    <xdr:to>
      <xdr:col>18</xdr:col>
      <xdr:colOff>561663</xdr:colOff>
      <xdr:row>53</xdr:row>
      <xdr:rowOff>160764</xdr:rowOff>
    </xdr:to>
    <xdr:cxnSp macro="">
      <xdr:nvCxnSpPr>
        <xdr:cNvPr id="77" name="Straight Connector 76">
          <a:extLst>
            <a:ext uri="{FF2B5EF4-FFF2-40B4-BE49-F238E27FC236}">
              <a16:creationId xmlns:a16="http://schemas.microsoft.com/office/drawing/2014/main" id="{E7B20040-B28A-4A72-9742-F9868921EA5A}"/>
            </a:ext>
          </a:extLst>
        </xdr:cNvPr>
        <xdr:cNvCxnSpPr/>
      </xdr:nvCxnSpPr>
      <xdr:spPr>
        <a:xfrm flipV="1">
          <a:off x="10535261" y="9487596"/>
          <a:ext cx="1113502"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42627</xdr:colOff>
      <xdr:row>53</xdr:row>
      <xdr:rowOff>159446</xdr:rowOff>
    </xdr:from>
    <xdr:to>
      <xdr:col>20</xdr:col>
      <xdr:colOff>546530</xdr:colOff>
      <xdr:row>53</xdr:row>
      <xdr:rowOff>160764</xdr:rowOff>
    </xdr:to>
    <xdr:cxnSp macro="">
      <xdr:nvCxnSpPr>
        <xdr:cNvPr id="78" name="Straight Connector 77">
          <a:extLst>
            <a:ext uri="{FF2B5EF4-FFF2-40B4-BE49-F238E27FC236}">
              <a16:creationId xmlns:a16="http://schemas.microsoft.com/office/drawing/2014/main" id="{054C2BAC-712A-42D2-ACD5-24393E68128B}"/>
            </a:ext>
          </a:extLst>
        </xdr:cNvPr>
        <xdr:cNvCxnSpPr/>
      </xdr:nvCxnSpPr>
      <xdr:spPr>
        <a:xfrm flipV="1">
          <a:off x="11739327" y="9487596"/>
          <a:ext cx="1113503"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58081</xdr:colOff>
      <xdr:row>54</xdr:row>
      <xdr:rowOff>161846</xdr:rowOff>
    </xdr:from>
    <xdr:to>
      <xdr:col>10</xdr:col>
      <xdr:colOff>562028</xdr:colOff>
      <xdr:row>54</xdr:row>
      <xdr:rowOff>163164</xdr:rowOff>
    </xdr:to>
    <xdr:cxnSp macro="">
      <xdr:nvCxnSpPr>
        <xdr:cNvPr id="79" name="Straight Connector 78">
          <a:extLst>
            <a:ext uri="{FF2B5EF4-FFF2-40B4-BE49-F238E27FC236}">
              <a16:creationId xmlns:a16="http://schemas.microsoft.com/office/drawing/2014/main" id="{96933C87-4295-41D3-B36F-8810449B413F}"/>
            </a:ext>
          </a:extLst>
        </xdr:cNvPr>
        <xdr:cNvCxnSpPr/>
      </xdr:nvCxnSpPr>
      <xdr:spPr>
        <a:xfrm flipV="1">
          <a:off x="5658781" y="96741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60135</xdr:colOff>
      <xdr:row>54</xdr:row>
      <xdr:rowOff>161846</xdr:rowOff>
    </xdr:from>
    <xdr:to>
      <xdr:col>12</xdr:col>
      <xdr:colOff>564958</xdr:colOff>
      <xdr:row>54</xdr:row>
      <xdr:rowOff>163164</xdr:rowOff>
    </xdr:to>
    <xdr:cxnSp macro="">
      <xdr:nvCxnSpPr>
        <xdr:cNvPr id="80" name="Straight Connector 79">
          <a:extLst>
            <a:ext uri="{FF2B5EF4-FFF2-40B4-BE49-F238E27FC236}">
              <a16:creationId xmlns:a16="http://schemas.microsoft.com/office/drawing/2014/main" id="{288AE677-B435-4B14-A0D7-03E9AB6DD411}"/>
            </a:ext>
          </a:extLst>
        </xdr:cNvPr>
        <xdr:cNvCxnSpPr/>
      </xdr:nvCxnSpPr>
      <xdr:spPr>
        <a:xfrm flipV="1">
          <a:off x="6880035" y="9674146"/>
          <a:ext cx="1114423"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58460</xdr:colOff>
      <xdr:row>54</xdr:row>
      <xdr:rowOff>161846</xdr:rowOff>
    </xdr:from>
    <xdr:to>
      <xdr:col>14</xdr:col>
      <xdr:colOff>563282</xdr:colOff>
      <xdr:row>54</xdr:row>
      <xdr:rowOff>163164</xdr:rowOff>
    </xdr:to>
    <xdr:cxnSp macro="">
      <xdr:nvCxnSpPr>
        <xdr:cNvPr id="81" name="Straight Connector 80">
          <a:extLst>
            <a:ext uri="{FF2B5EF4-FFF2-40B4-BE49-F238E27FC236}">
              <a16:creationId xmlns:a16="http://schemas.microsoft.com/office/drawing/2014/main" id="{E92BE965-6D86-4659-8EC9-B37D7711999F}"/>
            </a:ext>
          </a:extLst>
        </xdr:cNvPr>
        <xdr:cNvCxnSpPr/>
      </xdr:nvCxnSpPr>
      <xdr:spPr>
        <a:xfrm flipV="1">
          <a:off x="8097560" y="9674146"/>
          <a:ext cx="1114422"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69063</xdr:colOff>
      <xdr:row>54</xdr:row>
      <xdr:rowOff>161846</xdr:rowOff>
    </xdr:from>
    <xdr:to>
      <xdr:col>16</xdr:col>
      <xdr:colOff>572966</xdr:colOff>
      <xdr:row>54</xdr:row>
      <xdr:rowOff>163164</xdr:rowOff>
    </xdr:to>
    <xdr:cxnSp macro="">
      <xdr:nvCxnSpPr>
        <xdr:cNvPr id="82" name="Straight Connector 81">
          <a:extLst>
            <a:ext uri="{FF2B5EF4-FFF2-40B4-BE49-F238E27FC236}">
              <a16:creationId xmlns:a16="http://schemas.microsoft.com/office/drawing/2014/main" id="{CA72F9AA-5AFF-492C-B2B0-4CD5342BE84B}"/>
            </a:ext>
          </a:extLst>
        </xdr:cNvPr>
        <xdr:cNvCxnSpPr/>
      </xdr:nvCxnSpPr>
      <xdr:spPr>
        <a:xfrm flipV="1">
          <a:off x="9327363" y="9674146"/>
          <a:ext cx="1113503"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57761</xdr:colOff>
      <xdr:row>54</xdr:row>
      <xdr:rowOff>161846</xdr:rowOff>
    </xdr:from>
    <xdr:to>
      <xdr:col>18</xdr:col>
      <xdr:colOff>561663</xdr:colOff>
      <xdr:row>54</xdr:row>
      <xdr:rowOff>163164</xdr:rowOff>
    </xdr:to>
    <xdr:cxnSp macro="">
      <xdr:nvCxnSpPr>
        <xdr:cNvPr id="83" name="Straight Connector 82">
          <a:extLst>
            <a:ext uri="{FF2B5EF4-FFF2-40B4-BE49-F238E27FC236}">
              <a16:creationId xmlns:a16="http://schemas.microsoft.com/office/drawing/2014/main" id="{2D1477D4-ADCB-4EC2-969E-491343BA6716}"/>
            </a:ext>
          </a:extLst>
        </xdr:cNvPr>
        <xdr:cNvCxnSpPr/>
      </xdr:nvCxnSpPr>
      <xdr:spPr>
        <a:xfrm flipV="1">
          <a:off x="10535261" y="9674146"/>
          <a:ext cx="1113502"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42627</xdr:colOff>
      <xdr:row>54</xdr:row>
      <xdr:rowOff>161846</xdr:rowOff>
    </xdr:from>
    <xdr:to>
      <xdr:col>20</xdr:col>
      <xdr:colOff>546530</xdr:colOff>
      <xdr:row>54</xdr:row>
      <xdr:rowOff>163164</xdr:rowOff>
    </xdr:to>
    <xdr:cxnSp macro="">
      <xdr:nvCxnSpPr>
        <xdr:cNvPr id="84" name="Straight Connector 83">
          <a:extLst>
            <a:ext uri="{FF2B5EF4-FFF2-40B4-BE49-F238E27FC236}">
              <a16:creationId xmlns:a16="http://schemas.microsoft.com/office/drawing/2014/main" id="{8E7C783E-8250-49ED-86F0-D4A5FE16AC4D}"/>
            </a:ext>
          </a:extLst>
        </xdr:cNvPr>
        <xdr:cNvCxnSpPr/>
      </xdr:nvCxnSpPr>
      <xdr:spPr>
        <a:xfrm flipV="1">
          <a:off x="11739327" y="9674146"/>
          <a:ext cx="1113503"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58081</xdr:colOff>
      <xdr:row>55</xdr:row>
      <xdr:rowOff>4246</xdr:rowOff>
    </xdr:from>
    <xdr:to>
      <xdr:col>10</xdr:col>
      <xdr:colOff>562028</xdr:colOff>
      <xdr:row>55</xdr:row>
      <xdr:rowOff>5564</xdr:rowOff>
    </xdr:to>
    <xdr:cxnSp macro="">
      <xdr:nvCxnSpPr>
        <xdr:cNvPr id="85" name="Straight Connector 84">
          <a:extLst>
            <a:ext uri="{FF2B5EF4-FFF2-40B4-BE49-F238E27FC236}">
              <a16:creationId xmlns:a16="http://schemas.microsoft.com/office/drawing/2014/main" id="{2315A993-747E-4E27-8A05-224C19F50B01}"/>
            </a:ext>
          </a:extLst>
        </xdr:cNvPr>
        <xdr:cNvCxnSpPr/>
      </xdr:nvCxnSpPr>
      <xdr:spPr>
        <a:xfrm flipV="1">
          <a:off x="5658781" y="97006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60135</xdr:colOff>
      <xdr:row>55</xdr:row>
      <xdr:rowOff>4246</xdr:rowOff>
    </xdr:from>
    <xdr:to>
      <xdr:col>12</xdr:col>
      <xdr:colOff>564958</xdr:colOff>
      <xdr:row>55</xdr:row>
      <xdr:rowOff>5564</xdr:rowOff>
    </xdr:to>
    <xdr:cxnSp macro="">
      <xdr:nvCxnSpPr>
        <xdr:cNvPr id="86" name="Straight Connector 85">
          <a:extLst>
            <a:ext uri="{FF2B5EF4-FFF2-40B4-BE49-F238E27FC236}">
              <a16:creationId xmlns:a16="http://schemas.microsoft.com/office/drawing/2014/main" id="{33237E70-4DB4-4E54-8F32-054453ED5C11}"/>
            </a:ext>
          </a:extLst>
        </xdr:cNvPr>
        <xdr:cNvCxnSpPr/>
      </xdr:nvCxnSpPr>
      <xdr:spPr>
        <a:xfrm flipV="1">
          <a:off x="6880035" y="9700696"/>
          <a:ext cx="1114423"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58460</xdr:colOff>
      <xdr:row>55</xdr:row>
      <xdr:rowOff>4246</xdr:rowOff>
    </xdr:from>
    <xdr:to>
      <xdr:col>14</xdr:col>
      <xdr:colOff>563282</xdr:colOff>
      <xdr:row>55</xdr:row>
      <xdr:rowOff>5564</xdr:rowOff>
    </xdr:to>
    <xdr:cxnSp macro="">
      <xdr:nvCxnSpPr>
        <xdr:cNvPr id="87" name="Straight Connector 86">
          <a:extLst>
            <a:ext uri="{FF2B5EF4-FFF2-40B4-BE49-F238E27FC236}">
              <a16:creationId xmlns:a16="http://schemas.microsoft.com/office/drawing/2014/main" id="{6B332A13-713C-48BC-98BD-72D59C1F753B}"/>
            </a:ext>
          </a:extLst>
        </xdr:cNvPr>
        <xdr:cNvCxnSpPr/>
      </xdr:nvCxnSpPr>
      <xdr:spPr>
        <a:xfrm flipV="1">
          <a:off x="8097560" y="9700696"/>
          <a:ext cx="1114422"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69063</xdr:colOff>
      <xdr:row>55</xdr:row>
      <xdr:rowOff>4246</xdr:rowOff>
    </xdr:from>
    <xdr:to>
      <xdr:col>16</xdr:col>
      <xdr:colOff>572966</xdr:colOff>
      <xdr:row>55</xdr:row>
      <xdr:rowOff>5564</xdr:rowOff>
    </xdr:to>
    <xdr:cxnSp macro="">
      <xdr:nvCxnSpPr>
        <xdr:cNvPr id="88" name="Straight Connector 87">
          <a:extLst>
            <a:ext uri="{FF2B5EF4-FFF2-40B4-BE49-F238E27FC236}">
              <a16:creationId xmlns:a16="http://schemas.microsoft.com/office/drawing/2014/main" id="{B08D6D01-3522-4C13-B778-342DA033B621}"/>
            </a:ext>
          </a:extLst>
        </xdr:cNvPr>
        <xdr:cNvCxnSpPr/>
      </xdr:nvCxnSpPr>
      <xdr:spPr>
        <a:xfrm flipV="1">
          <a:off x="9327363" y="9700696"/>
          <a:ext cx="1113503"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57761</xdr:colOff>
      <xdr:row>55</xdr:row>
      <xdr:rowOff>4246</xdr:rowOff>
    </xdr:from>
    <xdr:to>
      <xdr:col>18</xdr:col>
      <xdr:colOff>561663</xdr:colOff>
      <xdr:row>55</xdr:row>
      <xdr:rowOff>5564</xdr:rowOff>
    </xdr:to>
    <xdr:cxnSp macro="">
      <xdr:nvCxnSpPr>
        <xdr:cNvPr id="89" name="Straight Connector 88">
          <a:extLst>
            <a:ext uri="{FF2B5EF4-FFF2-40B4-BE49-F238E27FC236}">
              <a16:creationId xmlns:a16="http://schemas.microsoft.com/office/drawing/2014/main" id="{4B937E39-B620-4E3C-8D5D-A00EE1E41394}"/>
            </a:ext>
          </a:extLst>
        </xdr:cNvPr>
        <xdr:cNvCxnSpPr/>
      </xdr:nvCxnSpPr>
      <xdr:spPr>
        <a:xfrm flipV="1">
          <a:off x="10535261" y="9700696"/>
          <a:ext cx="1113502"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42627</xdr:colOff>
      <xdr:row>55</xdr:row>
      <xdr:rowOff>4246</xdr:rowOff>
    </xdr:from>
    <xdr:to>
      <xdr:col>20</xdr:col>
      <xdr:colOff>546530</xdr:colOff>
      <xdr:row>55</xdr:row>
      <xdr:rowOff>5564</xdr:rowOff>
    </xdr:to>
    <xdr:cxnSp macro="">
      <xdr:nvCxnSpPr>
        <xdr:cNvPr id="90" name="Straight Connector 89">
          <a:extLst>
            <a:ext uri="{FF2B5EF4-FFF2-40B4-BE49-F238E27FC236}">
              <a16:creationId xmlns:a16="http://schemas.microsoft.com/office/drawing/2014/main" id="{B752CAEB-F66D-4FB0-B3B3-77298A4223EB}"/>
            </a:ext>
          </a:extLst>
        </xdr:cNvPr>
        <xdr:cNvCxnSpPr/>
      </xdr:nvCxnSpPr>
      <xdr:spPr>
        <a:xfrm flipV="1">
          <a:off x="11739327" y="9700696"/>
          <a:ext cx="1113503"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9641</xdr:colOff>
      <xdr:row>61</xdr:row>
      <xdr:rowOff>152722</xdr:rowOff>
    </xdr:from>
    <xdr:to>
      <xdr:col>21</xdr:col>
      <xdr:colOff>41413</xdr:colOff>
      <xdr:row>61</xdr:row>
      <xdr:rowOff>152722</xdr:rowOff>
    </xdr:to>
    <xdr:cxnSp macro="">
      <xdr:nvCxnSpPr>
        <xdr:cNvPr id="91" name="Straight Connector 90">
          <a:extLst>
            <a:ext uri="{FF2B5EF4-FFF2-40B4-BE49-F238E27FC236}">
              <a16:creationId xmlns:a16="http://schemas.microsoft.com/office/drawing/2014/main" id="{FBEF8EEB-E6ED-4D56-8132-8473847143C7}"/>
            </a:ext>
          </a:extLst>
        </xdr:cNvPr>
        <xdr:cNvCxnSpPr/>
      </xdr:nvCxnSpPr>
      <xdr:spPr>
        <a:xfrm>
          <a:off x="3781541" y="10827072"/>
          <a:ext cx="9175772" cy="0"/>
        </a:xfrm>
        <a:prstGeom prst="line">
          <a:avLst/>
        </a:prstGeom>
        <a:ln w="12700">
          <a:solidFill>
            <a:schemeClr val="bg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0</xdr:colOff>
      <xdr:row>64</xdr:row>
      <xdr:rowOff>155963</xdr:rowOff>
    </xdr:from>
    <xdr:to>
      <xdr:col>5</xdr:col>
      <xdr:colOff>0</xdr:colOff>
      <xdr:row>64</xdr:row>
      <xdr:rowOff>163262</xdr:rowOff>
    </xdr:to>
    <xdr:cxnSp macro="">
      <xdr:nvCxnSpPr>
        <xdr:cNvPr id="92" name="Straight Connector 91">
          <a:extLst>
            <a:ext uri="{FF2B5EF4-FFF2-40B4-BE49-F238E27FC236}">
              <a16:creationId xmlns:a16="http://schemas.microsoft.com/office/drawing/2014/main" id="{29439223-E5D2-45E9-A1C0-E9074172F82E}"/>
            </a:ext>
          </a:extLst>
        </xdr:cNvPr>
        <xdr:cNvCxnSpPr/>
      </xdr:nvCxnSpPr>
      <xdr:spPr>
        <a:xfrm>
          <a:off x="609600" y="11389113"/>
          <a:ext cx="2552700" cy="7299"/>
        </a:xfrm>
        <a:prstGeom prst="line">
          <a:avLst/>
        </a:prstGeom>
        <a:ln w="12700">
          <a:solidFill>
            <a:schemeClr val="bg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604796</xdr:colOff>
      <xdr:row>68</xdr:row>
      <xdr:rowOff>154145</xdr:rowOff>
    </xdr:from>
    <xdr:to>
      <xdr:col>27</xdr:col>
      <xdr:colOff>0</xdr:colOff>
      <xdr:row>68</xdr:row>
      <xdr:rowOff>157534</xdr:rowOff>
    </xdr:to>
    <xdr:cxnSp macro="">
      <xdr:nvCxnSpPr>
        <xdr:cNvPr id="93" name="Straight Connector 92">
          <a:extLst>
            <a:ext uri="{FF2B5EF4-FFF2-40B4-BE49-F238E27FC236}">
              <a16:creationId xmlns:a16="http://schemas.microsoft.com/office/drawing/2014/main" id="{E5269EB9-ECC5-429C-8E2E-6DF82FD801BC}"/>
            </a:ext>
          </a:extLst>
        </xdr:cNvPr>
        <xdr:cNvCxnSpPr/>
      </xdr:nvCxnSpPr>
      <xdr:spPr>
        <a:xfrm flipV="1">
          <a:off x="3767096" y="12130245"/>
          <a:ext cx="13454104" cy="3389"/>
        </a:xfrm>
        <a:prstGeom prst="line">
          <a:avLst/>
        </a:prstGeom>
        <a:ln w="12700">
          <a:solidFill>
            <a:schemeClr val="bg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0</xdr:colOff>
      <xdr:row>38</xdr:row>
      <xdr:rowOff>155032</xdr:rowOff>
    </xdr:from>
    <xdr:to>
      <xdr:col>27</xdr:col>
      <xdr:colOff>0</xdr:colOff>
      <xdr:row>38</xdr:row>
      <xdr:rowOff>155124</xdr:rowOff>
    </xdr:to>
    <xdr:cxnSp macro="">
      <xdr:nvCxnSpPr>
        <xdr:cNvPr id="94" name="Straight Connector 93">
          <a:extLst>
            <a:ext uri="{FF2B5EF4-FFF2-40B4-BE49-F238E27FC236}">
              <a16:creationId xmlns:a16="http://schemas.microsoft.com/office/drawing/2014/main" id="{9A09C835-DC37-414C-A973-64B940E2F4C5}"/>
            </a:ext>
          </a:extLst>
        </xdr:cNvPr>
        <xdr:cNvCxnSpPr/>
      </xdr:nvCxnSpPr>
      <xdr:spPr>
        <a:xfrm flipV="1">
          <a:off x="13525500" y="6873332"/>
          <a:ext cx="3695700" cy="92"/>
        </a:xfrm>
        <a:prstGeom prst="line">
          <a:avLst/>
        </a:prstGeom>
        <a:ln w="12700">
          <a:solidFill>
            <a:schemeClr val="bg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62365</xdr:colOff>
      <xdr:row>9</xdr:row>
      <xdr:rowOff>159148</xdr:rowOff>
    </xdr:from>
    <xdr:to>
      <xdr:col>25</xdr:col>
      <xdr:colOff>702445</xdr:colOff>
      <xdr:row>9</xdr:row>
      <xdr:rowOff>159148</xdr:rowOff>
    </xdr:to>
    <xdr:cxnSp macro="">
      <xdr:nvCxnSpPr>
        <xdr:cNvPr id="95" name="Straight Connector 94">
          <a:extLst>
            <a:ext uri="{FF2B5EF4-FFF2-40B4-BE49-F238E27FC236}">
              <a16:creationId xmlns:a16="http://schemas.microsoft.com/office/drawing/2014/main" id="{53F53FE8-FE39-4EEC-84CA-A02C0C2A3154}"/>
            </a:ext>
          </a:extLst>
        </xdr:cNvPr>
        <xdr:cNvCxnSpPr/>
      </xdr:nvCxnSpPr>
      <xdr:spPr>
        <a:xfrm>
          <a:off x="15873865" y="1791098"/>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58251</xdr:colOff>
      <xdr:row>9</xdr:row>
      <xdr:rowOff>159148</xdr:rowOff>
    </xdr:from>
    <xdr:to>
      <xdr:col>26</xdr:col>
      <xdr:colOff>698331</xdr:colOff>
      <xdr:row>9</xdr:row>
      <xdr:rowOff>159148</xdr:rowOff>
    </xdr:to>
    <xdr:cxnSp macro="">
      <xdr:nvCxnSpPr>
        <xdr:cNvPr id="96" name="Straight Connector 95">
          <a:extLst>
            <a:ext uri="{FF2B5EF4-FFF2-40B4-BE49-F238E27FC236}">
              <a16:creationId xmlns:a16="http://schemas.microsoft.com/office/drawing/2014/main" id="{4517F4C1-1AAB-4F66-9FBA-A91FD6E8E4F9}"/>
            </a:ext>
          </a:extLst>
        </xdr:cNvPr>
        <xdr:cNvCxnSpPr/>
      </xdr:nvCxnSpPr>
      <xdr:spPr>
        <a:xfrm>
          <a:off x="16631751" y="1791098"/>
          <a:ext cx="5892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67196</xdr:colOff>
      <xdr:row>13</xdr:row>
      <xdr:rowOff>159506</xdr:rowOff>
    </xdr:from>
    <xdr:to>
      <xdr:col>25</xdr:col>
      <xdr:colOff>707276</xdr:colOff>
      <xdr:row>13</xdr:row>
      <xdr:rowOff>159506</xdr:rowOff>
    </xdr:to>
    <xdr:cxnSp macro="">
      <xdr:nvCxnSpPr>
        <xdr:cNvPr id="97" name="Straight Connector 96">
          <a:extLst>
            <a:ext uri="{FF2B5EF4-FFF2-40B4-BE49-F238E27FC236}">
              <a16:creationId xmlns:a16="http://schemas.microsoft.com/office/drawing/2014/main" id="{3F5B242A-A58A-4691-8413-D43579DC51BF}"/>
            </a:ext>
          </a:extLst>
        </xdr:cNvPr>
        <xdr:cNvCxnSpPr/>
      </xdr:nvCxnSpPr>
      <xdr:spPr>
        <a:xfrm>
          <a:off x="15878696" y="2534406"/>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63082</xdr:colOff>
      <xdr:row>13</xdr:row>
      <xdr:rowOff>159506</xdr:rowOff>
    </xdr:from>
    <xdr:to>
      <xdr:col>26</xdr:col>
      <xdr:colOff>703162</xdr:colOff>
      <xdr:row>13</xdr:row>
      <xdr:rowOff>159506</xdr:rowOff>
    </xdr:to>
    <xdr:cxnSp macro="">
      <xdr:nvCxnSpPr>
        <xdr:cNvPr id="98" name="Straight Connector 97">
          <a:extLst>
            <a:ext uri="{FF2B5EF4-FFF2-40B4-BE49-F238E27FC236}">
              <a16:creationId xmlns:a16="http://schemas.microsoft.com/office/drawing/2014/main" id="{DF639E38-DB0B-4732-8683-A0642D99B123}"/>
            </a:ext>
          </a:extLst>
        </xdr:cNvPr>
        <xdr:cNvCxnSpPr/>
      </xdr:nvCxnSpPr>
      <xdr:spPr>
        <a:xfrm>
          <a:off x="16636582" y="2534406"/>
          <a:ext cx="58293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68004</xdr:colOff>
      <xdr:row>18</xdr:row>
      <xdr:rowOff>171282</xdr:rowOff>
    </xdr:from>
    <xdr:to>
      <xdr:col>25</xdr:col>
      <xdr:colOff>708084</xdr:colOff>
      <xdr:row>18</xdr:row>
      <xdr:rowOff>171282</xdr:rowOff>
    </xdr:to>
    <xdr:cxnSp macro="">
      <xdr:nvCxnSpPr>
        <xdr:cNvPr id="99" name="Straight Connector 98">
          <a:extLst>
            <a:ext uri="{FF2B5EF4-FFF2-40B4-BE49-F238E27FC236}">
              <a16:creationId xmlns:a16="http://schemas.microsoft.com/office/drawing/2014/main" id="{A7F4E73F-3573-4ADB-A4E3-ADD094A890EC}"/>
            </a:ext>
          </a:extLst>
        </xdr:cNvPr>
        <xdr:cNvCxnSpPr/>
      </xdr:nvCxnSpPr>
      <xdr:spPr>
        <a:xfrm>
          <a:off x="15879504" y="3466932"/>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63890</xdr:colOff>
      <xdr:row>18</xdr:row>
      <xdr:rowOff>171282</xdr:rowOff>
    </xdr:from>
    <xdr:to>
      <xdr:col>26</xdr:col>
      <xdr:colOff>703970</xdr:colOff>
      <xdr:row>18</xdr:row>
      <xdr:rowOff>171282</xdr:rowOff>
    </xdr:to>
    <xdr:cxnSp macro="">
      <xdr:nvCxnSpPr>
        <xdr:cNvPr id="100" name="Straight Connector 99">
          <a:extLst>
            <a:ext uri="{FF2B5EF4-FFF2-40B4-BE49-F238E27FC236}">
              <a16:creationId xmlns:a16="http://schemas.microsoft.com/office/drawing/2014/main" id="{44F3EF2B-68D2-46A3-88C4-EEA89031CF13}"/>
            </a:ext>
          </a:extLst>
        </xdr:cNvPr>
        <xdr:cNvCxnSpPr/>
      </xdr:nvCxnSpPr>
      <xdr:spPr>
        <a:xfrm>
          <a:off x="16637390" y="3466932"/>
          <a:ext cx="58293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69448</xdr:colOff>
      <xdr:row>20</xdr:row>
      <xdr:rowOff>166161</xdr:rowOff>
    </xdr:from>
    <xdr:to>
      <xdr:col>25</xdr:col>
      <xdr:colOff>709528</xdr:colOff>
      <xdr:row>20</xdr:row>
      <xdr:rowOff>166161</xdr:rowOff>
    </xdr:to>
    <xdr:cxnSp macro="">
      <xdr:nvCxnSpPr>
        <xdr:cNvPr id="101" name="Straight Connector 100">
          <a:extLst>
            <a:ext uri="{FF2B5EF4-FFF2-40B4-BE49-F238E27FC236}">
              <a16:creationId xmlns:a16="http://schemas.microsoft.com/office/drawing/2014/main" id="{7F0EC86B-3DBF-4EAF-896B-FC749C74B25F}"/>
            </a:ext>
          </a:extLst>
        </xdr:cNvPr>
        <xdr:cNvCxnSpPr/>
      </xdr:nvCxnSpPr>
      <xdr:spPr>
        <a:xfrm>
          <a:off x="15880948" y="3696761"/>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65334</xdr:colOff>
      <xdr:row>20</xdr:row>
      <xdr:rowOff>166161</xdr:rowOff>
    </xdr:from>
    <xdr:to>
      <xdr:col>26</xdr:col>
      <xdr:colOff>705414</xdr:colOff>
      <xdr:row>20</xdr:row>
      <xdr:rowOff>166161</xdr:rowOff>
    </xdr:to>
    <xdr:cxnSp macro="">
      <xdr:nvCxnSpPr>
        <xdr:cNvPr id="102" name="Straight Connector 101">
          <a:extLst>
            <a:ext uri="{FF2B5EF4-FFF2-40B4-BE49-F238E27FC236}">
              <a16:creationId xmlns:a16="http://schemas.microsoft.com/office/drawing/2014/main" id="{6386F08A-9DEB-49CF-B64A-D760EBAEF12C}"/>
            </a:ext>
          </a:extLst>
        </xdr:cNvPr>
        <xdr:cNvCxnSpPr/>
      </xdr:nvCxnSpPr>
      <xdr:spPr>
        <a:xfrm>
          <a:off x="16638834" y="3696761"/>
          <a:ext cx="58293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74167</xdr:colOff>
      <xdr:row>24</xdr:row>
      <xdr:rowOff>159033</xdr:rowOff>
    </xdr:from>
    <xdr:to>
      <xdr:col>25</xdr:col>
      <xdr:colOff>714247</xdr:colOff>
      <xdr:row>24</xdr:row>
      <xdr:rowOff>159033</xdr:rowOff>
    </xdr:to>
    <xdr:cxnSp macro="">
      <xdr:nvCxnSpPr>
        <xdr:cNvPr id="103" name="Straight Connector 102">
          <a:extLst>
            <a:ext uri="{FF2B5EF4-FFF2-40B4-BE49-F238E27FC236}">
              <a16:creationId xmlns:a16="http://schemas.microsoft.com/office/drawing/2014/main" id="{248EDFF0-88F0-4B22-8E14-E2F4DF7F0650}"/>
            </a:ext>
          </a:extLst>
        </xdr:cNvPr>
        <xdr:cNvCxnSpPr/>
      </xdr:nvCxnSpPr>
      <xdr:spPr>
        <a:xfrm>
          <a:off x="15885667" y="4426233"/>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70053</xdr:colOff>
      <xdr:row>24</xdr:row>
      <xdr:rowOff>159033</xdr:rowOff>
    </xdr:from>
    <xdr:to>
      <xdr:col>26</xdr:col>
      <xdr:colOff>710133</xdr:colOff>
      <xdr:row>24</xdr:row>
      <xdr:rowOff>159033</xdr:rowOff>
    </xdr:to>
    <xdr:cxnSp macro="">
      <xdr:nvCxnSpPr>
        <xdr:cNvPr id="104" name="Straight Connector 103">
          <a:extLst>
            <a:ext uri="{FF2B5EF4-FFF2-40B4-BE49-F238E27FC236}">
              <a16:creationId xmlns:a16="http://schemas.microsoft.com/office/drawing/2014/main" id="{9956D22B-4160-41DC-9DFD-FFC61848D515}"/>
            </a:ext>
          </a:extLst>
        </xdr:cNvPr>
        <xdr:cNvCxnSpPr/>
      </xdr:nvCxnSpPr>
      <xdr:spPr>
        <a:xfrm>
          <a:off x="16643553" y="4426233"/>
          <a:ext cx="5765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74167</xdr:colOff>
      <xdr:row>28</xdr:row>
      <xdr:rowOff>166653</xdr:rowOff>
    </xdr:from>
    <xdr:to>
      <xdr:col>25</xdr:col>
      <xdr:colOff>714247</xdr:colOff>
      <xdr:row>28</xdr:row>
      <xdr:rowOff>166653</xdr:rowOff>
    </xdr:to>
    <xdr:cxnSp macro="">
      <xdr:nvCxnSpPr>
        <xdr:cNvPr id="105" name="Straight Connector 104">
          <a:extLst>
            <a:ext uri="{FF2B5EF4-FFF2-40B4-BE49-F238E27FC236}">
              <a16:creationId xmlns:a16="http://schemas.microsoft.com/office/drawing/2014/main" id="{7C5E6697-7511-49CC-BD2A-593742470563}"/>
            </a:ext>
          </a:extLst>
        </xdr:cNvPr>
        <xdr:cNvCxnSpPr/>
      </xdr:nvCxnSpPr>
      <xdr:spPr>
        <a:xfrm>
          <a:off x="15885667" y="5170453"/>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70053</xdr:colOff>
      <xdr:row>28</xdr:row>
      <xdr:rowOff>166653</xdr:rowOff>
    </xdr:from>
    <xdr:to>
      <xdr:col>26</xdr:col>
      <xdr:colOff>710133</xdr:colOff>
      <xdr:row>28</xdr:row>
      <xdr:rowOff>166653</xdr:rowOff>
    </xdr:to>
    <xdr:cxnSp macro="">
      <xdr:nvCxnSpPr>
        <xdr:cNvPr id="106" name="Straight Connector 105">
          <a:extLst>
            <a:ext uri="{FF2B5EF4-FFF2-40B4-BE49-F238E27FC236}">
              <a16:creationId xmlns:a16="http://schemas.microsoft.com/office/drawing/2014/main" id="{4AB24A12-76A7-43CB-BD4E-BA4455718AE1}"/>
            </a:ext>
          </a:extLst>
        </xdr:cNvPr>
        <xdr:cNvCxnSpPr/>
      </xdr:nvCxnSpPr>
      <xdr:spPr>
        <a:xfrm>
          <a:off x="16643553" y="5170453"/>
          <a:ext cx="5765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74167</xdr:colOff>
      <xdr:row>33</xdr:row>
      <xdr:rowOff>161573</xdr:rowOff>
    </xdr:from>
    <xdr:to>
      <xdr:col>25</xdr:col>
      <xdr:colOff>714247</xdr:colOff>
      <xdr:row>33</xdr:row>
      <xdr:rowOff>161573</xdr:rowOff>
    </xdr:to>
    <xdr:cxnSp macro="">
      <xdr:nvCxnSpPr>
        <xdr:cNvPr id="107" name="Straight Connector 106">
          <a:extLst>
            <a:ext uri="{FF2B5EF4-FFF2-40B4-BE49-F238E27FC236}">
              <a16:creationId xmlns:a16="http://schemas.microsoft.com/office/drawing/2014/main" id="{95FD8472-5E19-46C9-A967-1C19857276CE}"/>
            </a:ext>
          </a:extLst>
        </xdr:cNvPr>
        <xdr:cNvCxnSpPr/>
      </xdr:nvCxnSpPr>
      <xdr:spPr>
        <a:xfrm>
          <a:off x="15885667" y="6098823"/>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70053</xdr:colOff>
      <xdr:row>33</xdr:row>
      <xdr:rowOff>161573</xdr:rowOff>
    </xdr:from>
    <xdr:to>
      <xdr:col>26</xdr:col>
      <xdr:colOff>710133</xdr:colOff>
      <xdr:row>33</xdr:row>
      <xdr:rowOff>161573</xdr:rowOff>
    </xdr:to>
    <xdr:cxnSp macro="">
      <xdr:nvCxnSpPr>
        <xdr:cNvPr id="108" name="Straight Connector 107">
          <a:extLst>
            <a:ext uri="{FF2B5EF4-FFF2-40B4-BE49-F238E27FC236}">
              <a16:creationId xmlns:a16="http://schemas.microsoft.com/office/drawing/2014/main" id="{2C158602-8DEC-4319-A1B8-92E17F012862}"/>
            </a:ext>
          </a:extLst>
        </xdr:cNvPr>
        <xdr:cNvCxnSpPr/>
      </xdr:nvCxnSpPr>
      <xdr:spPr>
        <a:xfrm>
          <a:off x="16643553" y="6098823"/>
          <a:ext cx="5765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71627</xdr:colOff>
      <xdr:row>34</xdr:row>
      <xdr:rowOff>164113</xdr:rowOff>
    </xdr:from>
    <xdr:to>
      <xdr:col>25</xdr:col>
      <xdr:colOff>711707</xdr:colOff>
      <xdr:row>34</xdr:row>
      <xdr:rowOff>164113</xdr:rowOff>
    </xdr:to>
    <xdr:cxnSp macro="">
      <xdr:nvCxnSpPr>
        <xdr:cNvPr id="109" name="Straight Connector 108">
          <a:extLst>
            <a:ext uri="{FF2B5EF4-FFF2-40B4-BE49-F238E27FC236}">
              <a16:creationId xmlns:a16="http://schemas.microsoft.com/office/drawing/2014/main" id="{F69E2A90-D919-4600-BD51-174C058EECA9}"/>
            </a:ext>
          </a:extLst>
        </xdr:cNvPr>
        <xdr:cNvCxnSpPr/>
      </xdr:nvCxnSpPr>
      <xdr:spPr>
        <a:xfrm>
          <a:off x="15883127" y="6285513"/>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67513</xdr:colOff>
      <xdr:row>34</xdr:row>
      <xdr:rowOff>164113</xdr:rowOff>
    </xdr:from>
    <xdr:to>
      <xdr:col>26</xdr:col>
      <xdr:colOff>707593</xdr:colOff>
      <xdr:row>34</xdr:row>
      <xdr:rowOff>164113</xdr:rowOff>
    </xdr:to>
    <xdr:cxnSp macro="">
      <xdr:nvCxnSpPr>
        <xdr:cNvPr id="110" name="Straight Connector 109">
          <a:extLst>
            <a:ext uri="{FF2B5EF4-FFF2-40B4-BE49-F238E27FC236}">
              <a16:creationId xmlns:a16="http://schemas.microsoft.com/office/drawing/2014/main" id="{B5D781AE-44BD-4D96-8E44-FB536671782D}"/>
            </a:ext>
          </a:extLst>
        </xdr:cNvPr>
        <xdr:cNvCxnSpPr/>
      </xdr:nvCxnSpPr>
      <xdr:spPr>
        <a:xfrm>
          <a:off x="16641013" y="6285513"/>
          <a:ext cx="58293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67221</xdr:colOff>
      <xdr:row>41</xdr:row>
      <xdr:rowOff>164521</xdr:rowOff>
    </xdr:from>
    <xdr:to>
      <xdr:col>26</xdr:col>
      <xdr:colOff>707301</xdr:colOff>
      <xdr:row>41</xdr:row>
      <xdr:rowOff>164521</xdr:rowOff>
    </xdr:to>
    <xdr:cxnSp macro="">
      <xdr:nvCxnSpPr>
        <xdr:cNvPr id="111" name="Straight Connector 110">
          <a:extLst>
            <a:ext uri="{FF2B5EF4-FFF2-40B4-BE49-F238E27FC236}">
              <a16:creationId xmlns:a16="http://schemas.microsoft.com/office/drawing/2014/main" id="{ED46EC17-FA82-40F4-B1B2-585179433BC4}"/>
            </a:ext>
          </a:extLst>
        </xdr:cNvPr>
        <xdr:cNvCxnSpPr/>
      </xdr:nvCxnSpPr>
      <xdr:spPr>
        <a:xfrm>
          <a:off x="16640721" y="7435271"/>
          <a:ext cx="58293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67221</xdr:colOff>
      <xdr:row>43</xdr:row>
      <xdr:rowOff>165008</xdr:rowOff>
    </xdr:from>
    <xdr:to>
      <xdr:col>26</xdr:col>
      <xdr:colOff>707301</xdr:colOff>
      <xdr:row>43</xdr:row>
      <xdr:rowOff>165008</xdr:rowOff>
    </xdr:to>
    <xdr:cxnSp macro="">
      <xdr:nvCxnSpPr>
        <xdr:cNvPr id="112" name="Straight Connector 111">
          <a:extLst>
            <a:ext uri="{FF2B5EF4-FFF2-40B4-BE49-F238E27FC236}">
              <a16:creationId xmlns:a16="http://schemas.microsoft.com/office/drawing/2014/main" id="{CB360E7B-CA28-45B6-8F1B-33355C779762}"/>
            </a:ext>
          </a:extLst>
        </xdr:cNvPr>
        <xdr:cNvCxnSpPr/>
      </xdr:nvCxnSpPr>
      <xdr:spPr>
        <a:xfrm>
          <a:off x="16640721" y="7804058"/>
          <a:ext cx="58293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64183</xdr:colOff>
      <xdr:row>48</xdr:row>
      <xdr:rowOff>167497</xdr:rowOff>
    </xdr:from>
    <xdr:to>
      <xdr:col>22</xdr:col>
      <xdr:colOff>704263</xdr:colOff>
      <xdr:row>48</xdr:row>
      <xdr:rowOff>167497</xdr:rowOff>
    </xdr:to>
    <xdr:cxnSp macro="">
      <xdr:nvCxnSpPr>
        <xdr:cNvPr id="113" name="Straight Connector 112">
          <a:extLst>
            <a:ext uri="{FF2B5EF4-FFF2-40B4-BE49-F238E27FC236}">
              <a16:creationId xmlns:a16="http://schemas.microsoft.com/office/drawing/2014/main" id="{51EBFEBB-47FE-41DF-BED9-45B627A3D21F}"/>
            </a:ext>
          </a:extLst>
        </xdr:cNvPr>
        <xdr:cNvCxnSpPr/>
      </xdr:nvCxnSpPr>
      <xdr:spPr>
        <a:xfrm>
          <a:off x="13589683" y="8727297"/>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606525</xdr:colOff>
      <xdr:row>46</xdr:row>
      <xdr:rowOff>139367</xdr:rowOff>
    </xdr:from>
    <xdr:to>
      <xdr:col>27</xdr:col>
      <xdr:colOff>0</xdr:colOff>
      <xdr:row>46</xdr:row>
      <xdr:rowOff>139367</xdr:rowOff>
    </xdr:to>
    <xdr:cxnSp macro="">
      <xdr:nvCxnSpPr>
        <xdr:cNvPr id="114" name="Straight Connector 113">
          <a:extLst>
            <a:ext uri="{FF2B5EF4-FFF2-40B4-BE49-F238E27FC236}">
              <a16:creationId xmlns:a16="http://schemas.microsoft.com/office/drawing/2014/main" id="{80B9E533-5252-45ED-A4EC-DB97BE2A35E4}"/>
            </a:ext>
          </a:extLst>
        </xdr:cNvPr>
        <xdr:cNvCxnSpPr/>
      </xdr:nvCxnSpPr>
      <xdr:spPr>
        <a:xfrm>
          <a:off x="13522425" y="8330867"/>
          <a:ext cx="3698775"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61632</xdr:colOff>
      <xdr:row>48</xdr:row>
      <xdr:rowOff>167497</xdr:rowOff>
    </xdr:from>
    <xdr:to>
      <xdr:col>23</xdr:col>
      <xdr:colOff>701712</xdr:colOff>
      <xdr:row>48</xdr:row>
      <xdr:rowOff>167497</xdr:rowOff>
    </xdr:to>
    <xdr:cxnSp macro="">
      <xdr:nvCxnSpPr>
        <xdr:cNvPr id="115" name="Straight Connector 114">
          <a:extLst>
            <a:ext uri="{FF2B5EF4-FFF2-40B4-BE49-F238E27FC236}">
              <a16:creationId xmlns:a16="http://schemas.microsoft.com/office/drawing/2014/main" id="{C9A7F1FB-2085-4CD5-9FBE-47E4D77CC17F}"/>
            </a:ext>
          </a:extLst>
        </xdr:cNvPr>
        <xdr:cNvCxnSpPr/>
      </xdr:nvCxnSpPr>
      <xdr:spPr>
        <a:xfrm>
          <a:off x="14349132" y="8727297"/>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24</xdr:col>
      <xdr:colOff>59079</xdr:colOff>
      <xdr:row>48</xdr:row>
      <xdr:rowOff>167497</xdr:rowOff>
    </xdr:from>
    <xdr:to>
      <xdr:col>24</xdr:col>
      <xdr:colOff>699159</xdr:colOff>
      <xdr:row>48</xdr:row>
      <xdr:rowOff>167497</xdr:rowOff>
    </xdr:to>
    <xdr:cxnSp macro="">
      <xdr:nvCxnSpPr>
        <xdr:cNvPr id="116" name="Straight Connector 115">
          <a:extLst>
            <a:ext uri="{FF2B5EF4-FFF2-40B4-BE49-F238E27FC236}">
              <a16:creationId xmlns:a16="http://schemas.microsoft.com/office/drawing/2014/main" id="{3826F247-9991-464C-BCE0-17BB136BF381}"/>
            </a:ext>
          </a:extLst>
        </xdr:cNvPr>
        <xdr:cNvCxnSpPr/>
      </xdr:nvCxnSpPr>
      <xdr:spPr>
        <a:xfrm>
          <a:off x="15108579" y="8727297"/>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68679</xdr:colOff>
      <xdr:row>48</xdr:row>
      <xdr:rowOff>167497</xdr:rowOff>
    </xdr:from>
    <xdr:to>
      <xdr:col>25</xdr:col>
      <xdr:colOff>708759</xdr:colOff>
      <xdr:row>48</xdr:row>
      <xdr:rowOff>167497</xdr:rowOff>
    </xdr:to>
    <xdr:cxnSp macro="">
      <xdr:nvCxnSpPr>
        <xdr:cNvPr id="117" name="Straight Connector 116">
          <a:extLst>
            <a:ext uri="{FF2B5EF4-FFF2-40B4-BE49-F238E27FC236}">
              <a16:creationId xmlns:a16="http://schemas.microsoft.com/office/drawing/2014/main" id="{550CC22F-778E-4B53-985E-075F14632F7F}"/>
            </a:ext>
          </a:extLst>
        </xdr:cNvPr>
        <xdr:cNvCxnSpPr/>
      </xdr:nvCxnSpPr>
      <xdr:spPr>
        <a:xfrm>
          <a:off x="15880179" y="8727297"/>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63090</xdr:colOff>
      <xdr:row>48</xdr:row>
      <xdr:rowOff>167497</xdr:rowOff>
    </xdr:from>
    <xdr:to>
      <xdr:col>26</xdr:col>
      <xdr:colOff>703170</xdr:colOff>
      <xdr:row>48</xdr:row>
      <xdr:rowOff>167497</xdr:rowOff>
    </xdr:to>
    <xdr:cxnSp macro="">
      <xdr:nvCxnSpPr>
        <xdr:cNvPr id="118" name="Straight Connector 117">
          <a:extLst>
            <a:ext uri="{FF2B5EF4-FFF2-40B4-BE49-F238E27FC236}">
              <a16:creationId xmlns:a16="http://schemas.microsoft.com/office/drawing/2014/main" id="{0470C180-2119-46CA-AE6E-F1D308FB40F2}"/>
            </a:ext>
          </a:extLst>
        </xdr:cNvPr>
        <xdr:cNvCxnSpPr/>
      </xdr:nvCxnSpPr>
      <xdr:spPr>
        <a:xfrm>
          <a:off x="16636590" y="8727297"/>
          <a:ext cx="58293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61274</xdr:colOff>
      <xdr:row>54</xdr:row>
      <xdr:rowOff>154333</xdr:rowOff>
    </xdr:from>
    <xdr:to>
      <xdr:col>23</xdr:col>
      <xdr:colOff>701354</xdr:colOff>
      <xdr:row>54</xdr:row>
      <xdr:rowOff>154333</xdr:rowOff>
    </xdr:to>
    <xdr:cxnSp macro="">
      <xdr:nvCxnSpPr>
        <xdr:cNvPr id="119" name="Straight Connector 118">
          <a:extLst>
            <a:ext uri="{FF2B5EF4-FFF2-40B4-BE49-F238E27FC236}">
              <a16:creationId xmlns:a16="http://schemas.microsoft.com/office/drawing/2014/main" id="{2F2633E4-C72B-4851-B5D6-4E511863C38F}"/>
            </a:ext>
          </a:extLst>
        </xdr:cNvPr>
        <xdr:cNvCxnSpPr/>
      </xdr:nvCxnSpPr>
      <xdr:spPr>
        <a:xfrm>
          <a:off x="14348774" y="9666633"/>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24</xdr:col>
      <xdr:colOff>58721</xdr:colOff>
      <xdr:row>54</xdr:row>
      <xdr:rowOff>154333</xdr:rowOff>
    </xdr:from>
    <xdr:to>
      <xdr:col>24</xdr:col>
      <xdr:colOff>698801</xdr:colOff>
      <xdr:row>54</xdr:row>
      <xdr:rowOff>154333</xdr:rowOff>
    </xdr:to>
    <xdr:cxnSp macro="">
      <xdr:nvCxnSpPr>
        <xdr:cNvPr id="120" name="Straight Connector 119">
          <a:extLst>
            <a:ext uri="{FF2B5EF4-FFF2-40B4-BE49-F238E27FC236}">
              <a16:creationId xmlns:a16="http://schemas.microsoft.com/office/drawing/2014/main" id="{F244D604-1208-4F71-A8D8-921B70A043EF}"/>
            </a:ext>
          </a:extLst>
        </xdr:cNvPr>
        <xdr:cNvCxnSpPr/>
      </xdr:nvCxnSpPr>
      <xdr:spPr>
        <a:xfrm>
          <a:off x="15108221" y="9666633"/>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14238</xdr:colOff>
      <xdr:row>57</xdr:row>
      <xdr:rowOff>155953</xdr:rowOff>
    </xdr:from>
    <xdr:to>
      <xdr:col>27</xdr:col>
      <xdr:colOff>0</xdr:colOff>
      <xdr:row>57</xdr:row>
      <xdr:rowOff>156614</xdr:rowOff>
    </xdr:to>
    <xdr:cxnSp macro="">
      <xdr:nvCxnSpPr>
        <xdr:cNvPr id="121" name="Straight Connector 120">
          <a:extLst>
            <a:ext uri="{FF2B5EF4-FFF2-40B4-BE49-F238E27FC236}">
              <a16:creationId xmlns:a16="http://schemas.microsoft.com/office/drawing/2014/main" id="{7D45D83B-CB9F-4B32-82AB-9A35744C3D0D}"/>
            </a:ext>
          </a:extLst>
        </xdr:cNvPr>
        <xdr:cNvCxnSpPr/>
      </xdr:nvCxnSpPr>
      <xdr:spPr>
        <a:xfrm flipV="1">
          <a:off x="13539738" y="10087353"/>
          <a:ext cx="3681462" cy="661"/>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73838</xdr:colOff>
      <xdr:row>59</xdr:row>
      <xdr:rowOff>155229</xdr:rowOff>
    </xdr:from>
    <xdr:to>
      <xdr:col>23</xdr:col>
      <xdr:colOff>713918</xdr:colOff>
      <xdr:row>59</xdr:row>
      <xdr:rowOff>155229</xdr:rowOff>
    </xdr:to>
    <xdr:cxnSp macro="">
      <xdr:nvCxnSpPr>
        <xdr:cNvPr id="122" name="Straight Connector 121">
          <a:extLst>
            <a:ext uri="{FF2B5EF4-FFF2-40B4-BE49-F238E27FC236}">
              <a16:creationId xmlns:a16="http://schemas.microsoft.com/office/drawing/2014/main" id="{ED84F805-9902-4DF3-A846-E4DCA1DF2597}"/>
            </a:ext>
          </a:extLst>
        </xdr:cNvPr>
        <xdr:cNvCxnSpPr/>
      </xdr:nvCxnSpPr>
      <xdr:spPr>
        <a:xfrm>
          <a:off x="14361338" y="10461279"/>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24</xdr:col>
      <xdr:colOff>71285</xdr:colOff>
      <xdr:row>59</xdr:row>
      <xdr:rowOff>155229</xdr:rowOff>
    </xdr:from>
    <xdr:to>
      <xdr:col>24</xdr:col>
      <xdr:colOff>711365</xdr:colOff>
      <xdr:row>59</xdr:row>
      <xdr:rowOff>155229</xdr:rowOff>
    </xdr:to>
    <xdr:cxnSp macro="">
      <xdr:nvCxnSpPr>
        <xdr:cNvPr id="123" name="Straight Connector 122">
          <a:extLst>
            <a:ext uri="{FF2B5EF4-FFF2-40B4-BE49-F238E27FC236}">
              <a16:creationId xmlns:a16="http://schemas.microsoft.com/office/drawing/2014/main" id="{06ED4039-7231-4440-B5FA-E0E9E2C1C1FC}"/>
            </a:ext>
          </a:extLst>
        </xdr:cNvPr>
        <xdr:cNvCxnSpPr/>
      </xdr:nvCxnSpPr>
      <xdr:spPr>
        <a:xfrm>
          <a:off x="15120785" y="10461279"/>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80885</xdr:colOff>
      <xdr:row>59</xdr:row>
      <xdr:rowOff>155229</xdr:rowOff>
    </xdr:from>
    <xdr:to>
      <xdr:col>25</xdr:col>
      <xdr:colOff>720965</xdr:colOff>
      <xdr:row>59</xdr:row>
      <xdr:rowOff>155229</xdr:rowOff>
    </xdr:to>
    <xdr:cxnSp macro="">
      <xdr:nvCxnSpPr>
        <xdr:cNvPr id="124" name="Straight Connector 123">
          <a:extLst>
            <a:ext uri="{FF2B5EF4-FFF2-40B4-BE49-F238E27FC236}">
              <a16:creationId xmlns:a16="http://schemas.microsoft.com/office/drawing/2014/main" id="{437ADD1B-B616-4EB9-95B0-1841B44A2DF9}"/>
            </a:ext>
          </a:extLst>
        </xdr:cNvPr>
        <xdr:cNvCxnSpPr/>
      </xdr:nvCxnSpPr>
      <xdr:spPr>
        <a:xfrm>
          <a:off x="15892385" y="10461279"/>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75296</xdr:colOff>
      <xdr:row>59</xdr:row>
      <xdr:rowOff>155229</xdr:rowOff>
    </xdr:from>
    <xdr:to>
      <xdr:col>26</xdr:col>
      <xdr:colOff>715376</xdr:colOff>
      <xdr:row>59</xdr:row>
      <xdr:rowOff>155229</xdr:rowOff>
    </xdr:to>
    <xdr:cxnSp macro="">
      <xdr:nvCxnSpPr>
        <xdr:cNvPr id="125" name="Straight Connector 124">
          <a:extLst>
            <a:ext uri="{FF2B5EF4-FFF2-40B4-BE49-F238E27FC236}">
              <a16:creationId xmlns:a16="http://schemas.microsoft.com/office/drawing/2014/main" id="{31A8EEF7-BA35-49B2-A6AB-6CB03E971D62}"/>
            </a:ext>
          </a:extLst>
        </xdr:cNvPr>
        <xdr:cNvCxnSpPr/>
      </xdr:nvCxnSpPr>
      <xdr:spPr>
        <a:xfrm>
          <a:off x="16648796" y="10461279"/>
          <a:ext cx="57023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76885</xdr:colOff>
      <xdr:row>64</xdr:row>
      <xdr:rowOff>159393</xdr:rowOff>
    </xdr:from>
    <xdr:to>
      <xdr:col>23</xdr:col>
      <xdr:colOff>716965</xdr:colOff>
      <xdr:row>64</xdr:row>
      <xdr:rowOff>159393</xdr:rowOff>
    </xdr:to>
    <xdr:cxnSp macro="">
      <xdr:nvCxnSpPr>
        <xdr:cNvPr id="126" name="Straight Connector 125">
          <a:extLst>
            <a:ext uri="{FF2B5EF4-FFF2-40B4-BE49-F238E27FC236}">
              <a16:creationId xmlns:a16="http://schemas.microsoft.com/office/drawing/2014/main" id="{D4D7B1C5-5090-4561-9D04-B7B31F7A069F}"/>
            </a:ext>
          </a:extLst>
        </xdr:cNvPr>
        <xdr:cNvCxnSpPr/>
      </xdr:nvCxnSpPr>
      <xdr:spPr>
        <a:xfrm>
          <a:off x="14364385" y="11392543"/>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24</xdr:col>
      <xdr:colOff>74332</xdr:colOff>
      <xdr:row>64</xdr:row>
      <xdr:rowOff>159393</xdr:rowOff>
    </xdr:from>
    <xdr:to>
      <xdr:col>24</xdr:col>
      <xdr:colOff>714412</xdr:colOff>
      <xdr:row>64</xdr:row>
      <xdr:rowOff>159393</xdr:rowOff>
    </xdr:to>
    <xdr:cxnSp macro="">
      <xdr:nvCxnSpPr>
        <xdr:cNvPr id="127" name="Straight Connector 126">
          <a:extLst>
            <a:ext uri="{FF2B5EF4-FFF2-40B4-BE49-F238E27FC236}">
              <a16:creationId xmlns:a16="http://schemas.microsoft.com/office/drawing/2014/main" id="{A2B29FE3-999E-42B2-9822-67CED4583335}"/>
            </a:ext>
          </a:extLst>
        </xdr:cNvPr>
        <xdr:cNvCxnSpPr/>
      </xdr:nvCxnSpPr>
      <xdr:spPr>
        <a:xfrm>
          <a:off x="15123832" y="11392543"/>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83932</xdr:colOff>
      <xdr:row>64</xdr:row>
      <xdr:rowOff>159393</xdr:rowOff>
    </xdr:from>
    <xdr:to>
      <xdr:col>25</xdr:col>
      <xdr:colOff>724012</xdr:colOff>
      <xdr:row>64</xdr:row>
      <xdr:rowOff>159393</xdr:rowOff>
    </xdr:to>
    <xdr:cxnSp macro="">
      <xdr:nvCxnSpPr>
        <xdr:cNvPr id="128" name="Straight Connector 127">
          <a:extLst>
            <a:ext uri="{FF2B5EF4-FFF2-40B4-BE49-F238E27FC236}">
              <a16:creationId xmlns:a16="http://schemas.microsoft.com/office/drawing/2014/main" id="{67C43421-10F9-4C2F-93AB-73204340BA6D}"/>
            </a:ext>
          </a:extLst>
        </xdr:cNvPr>
        <xdr:cNvCxnSpPr/>
      </xdr:nvCxnSpPr>
      <xdr:spPr>
        <a:xfrm>
          <a:off x="15895432" y="11392543"/>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78343</xdr:colOff>
      <xdr:row>64</xdr:row>
      <xdr:rowOff>159393</xdr:rowOff>
    </xdr:from>
    <xdr:to>
      <xdr:col>26</xdr:col>
      <xdr:colOff>718423</xdr:colOff>
      <xdr:row>64</xdr:row>
      <xdr:rowOff>159393</xdr:rowOff>
    </xdr:to>
    <xdr:cxnSp macro="">
      <xdr:nvCxnSpPr>
        <xdr:cNvPr id="129" name="Straight Connector 128">
          <a:extLst>
            <a:ext uri="{FF2B5EF4-FFF2-40B4-BE49-F238E27FC236}">
              <a16:creationId xmlns:a16="http://schemas.microsoft.com/office/drawing/2014/main" id="{5D666225-6599-4B9F-A397-A32B31C20FC5}"/>
            </a:ext>
          </a:extLst>
        </xdr:cNvPr>
        <xdr:cNvCxnSpPr/>
      </xdr:nvCxnSpPr>
      <xdr:spPr>
        <a:xfrm>
          <a:off x="16651843" y="11392543"/>
          <a:ext cx="57023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31112</xdr:colOff>
      <xdr:row>1</xdr:row>
      <xdr:rowOff>162229</xdr:rowOff>
    </xdr:from>
    <xdr:to>
      <xdr:col>26</xdr:col>
      <xdr:colOff>639653</xdr:colOff>
      <xdr:row>1</xdr:row>
      <xdr:rowOff>162321</xdr:rowOff>
    </xdr:to>
    <xdr:cxnSp macro="">
      <xdr:nvCxnSpPr>
        <xdr:cNvPr id="130" name="Straight Connector 129">
          <a:extLst>
            <a:ext uri="{FF2B5EF4-FFF2-40B4-BE49-F238E27FC236}">
              <a16:creationId xmlns:a16="http://schemas.microsoft.com/office/drawing/2014/main" id="{F0445B38-7B56-44B1-8AF2-C21EDF41B9DD}"/>
            </a:ext>
          </a:extLst>
        </xdr:cNvPr>
        <xdr:cNvCxnSpPr/>
      </xdr:nvCxnSpPr>
      <xdr:spPr>
        <a:xfrm flipV="1">
          <a:off x="13556612" y="346379"/>
          <a:ext cx="3656541" cy="92"/>
        </a:xfrm>
        <a:prstGeom prst="line">
          <a:avLst/>
        </a:prstGeom>
        <a:ln w="12700">
          <a:solidFill>
            <a:schemeClr val="bg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81638</xdr:colOff>
      <xdr:row>11</xdr:row>
      <xdr:rowOff>169534</xdr:rowOff>
    </xdr:from>
    <xdr:to>
      <xdr:col>20</xdr:col>
      <xdr:colOff>585586</xdr:colOff>
      <xdr:row>11</xdr:row>
      <xdr:rowOff>170691</xdr:rowOff>
    </xdr:to>
    <xdr:cxnSp macro="">
      <xdr:nvCxnSpPr>
        <xdr:cNvPr id="131" name="Straight Connector 130">
          <a:extLst>
            <a:ext uri="{FF2B5EF4-FFF2-40B4-BE49-F238E27FC236}">
              <a16:creationId xmlns:a16="http://schemas.microsoft.com/office/drawing/2014/main" id="{3A378B2F-C1D6-48F7-B9A1-7D58E57EEA58}"/>
            </a:ext>
          </a:extLst>
        </xdr:cNvPr>
        <xdr:cNvCxnSpPr/>
      </xdr:nvCxnSpPr>
      <xdr:spPr>
        <a:xfrm flipV="1">
          <a:off x="11778338" y="216978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84473</xdr:colOff>
      <xdr:row>16</xdr:row>
      <xdr:rowOff>154837</xdr:rowOff>
    </xdr:from>
    <xdr:to>
      <xdr:col>12</xdr:col>
      <xdr:colOff>588420</xdr:colOff>
      <xdr:row>16</xdr:row>
      <xdr:rowOff>155994</xdr:rowOff>
    </xdr:to>
    <xdr:cxnSp macro="">
      <xdr:nvCxnSpPr>
        <xdr:cNvPr id="132" name="Straight Connector 131">
          <a:extLst>
            <a:ext uri="{FF2B5EF4-FFF2-40B4-BE49-F238E27FC236}">
              <a16:creationId xmlns:a16="http://schemas.microsoft.com/office/drawing/2014/main" id="{983FDFED-8662-4799-976C-80334ABEE8C7}"/>
            </a:ext>
          </a:extLst>
        </xdr:cNvPr>
        <xdr:cNvCxnSpPr/>
      </xdr:nvCxnSpPr>
      <xdr:spPr>
        <a:xfrm flipV="1">
          <a:off x="6904373" y="308218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82797</xdr:colOff>
      <xdr:row>16</xdr:row>
      <xdr:rowOff>154837</xdr:rowOff>
    </xdr:from>
    <xdr:to>
      <xdr:col>14</xdr:col>
      <xdr:colOff>586744</xdr:colOff>
      <xdr:row>16</xdr:row>
      <xdr:rowOff>155994</xdr:rowOff>
    </xdr:to>
    <xdr:cxnSp macro="">
      <xdr:nvCxnSpPr>
        <xdr:cNvPr id="133" name="Straight Connector 132">
          <a:extLst>
            <a:ext uri="{FF2B5EF4-FFF2-40B4-BE49-F238E27FC236}">
              <a16:creationId xmlns:a16="http://schemas.microsoft.com/office/drawing/2014/main" id="{28F13B15-D614-4C37-A74D-2CDD8A9DCDEC}"/>
            </a:ext>
          </a:extLst>
        </xdr:cNvPr>
        <xdr:cNvCxnSpPr/>
      </xdr:nvCxnSpPr>
      <xdr:spPr>
        <a:xfrm flipV="1">
          <a:off x="8121897" y="308218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92541</xdr:colOff>
      <xdr:row>16</xdr:row>
      <xdr:rowOff>154837</xdr:rowOff>
    </xdr:from>
    <xdr:to>
      <xdr:col>16</xdr:col>
      <xdr:colOff>596489</xdr:colOff>
      <xdr:row>16</xdr:row>
      <xdr:rowOff>155994</xdr:rowOff>
    </xdr:to>
    <xdr:cxnSp macro="">
      <xdr:nvCxnSpPr>
        <xdr:cNvPr id="134" name="Straight Connector 133">
          <a:extLst>
            <a:ext uri="{FF2B5EF4-FFF2-40B4-BE49-F238E27FC236}">
              <a16:creationId xmlns:a16="http://schemas.microsoft.com/office/drawing/2014/main" id="{507D9EA3-B089-4AE9-BD7A-9224E617BE60}"/>
            </a:ext>
          </a:extLst>
        </xdr:cNvPr>
        <xdr:cNvCxnSpPr/>
      </xdr:nvCxnSpPr>
      <xdr:spPr>
        <a:xfrm flipV="1">
          <a:off x="9350841" y="3082187"/>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81638</xdr:colOff>
      <xdr:row>16</xdr:row>
      <xdr:rowOff>154837</xdr:rowOff>
    </xdr:from>
    <xdr:to>
      <xdr:col>18</xdr:col>
      <xdr:colOff>585586</xdr:colOff>
      <xdr:row>16</xdr:row>
      <xdr:rowOff>155994</xdr:rowOff>
    </xdr:to>
    <xdr:cxnSp macro="">
      <xdr:nvCxnSpPr>
        <xdr:cNvPr id="135" name="Straight Connector 134">
          <a:extLst>
            <a:ext uri="{FF2B5EF4-FFF2-40B4-BE49-F238E27FC236}">
              <a16:creationId xmlns:a16="http://schemas.microsoft.com/office/drawing/2014/main" id="{98AA1F46-69F8-4A81-89F7-C7FF65EB3E94}"/>
            </a:ext>
          </a:extLst>
        </xdr:cNvPr>
        <xdr:cNvCxnSpPr/>
      </xdr:nvCxnSpPr>
      <xdr:spPr>
        <a:xfrm flipV="1">
          <a:off x="10559138" y="3082187"/>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81638</xdr:colOff>
      <xdr:row>11</xdr:row>
      <xdr:rowOff>169534</xdr:rowOff>
    </xdr:from>
    <xdr:to>
      <xdr:col>20</xdr:col>
      <xdr:colOff>585586</xdr:colOff>
      <xdr:row>11</xdr:row>
      <xdr:rowOff>170691</xdr:rowOff>
    </xdr:to>
    <xdr:cxnSp macro="">
      <xdr:nvCxnSpPr>
        <xdr:cNvPr id="136" name="Straight Connector 135">
          <a:extLst>
            <a:ext uri="{FF2B5EF4-FFF2-40B4-BE49-F238E27FC236}">
              <a16:creationId xmlns:a16="http://schemas.microsoft.com/office/drawing/2014/main" id="{9F87DBD0-CA7E-47BF-A06C-1BF585798593}"/>
            </a:ext>
          </a:extLst>
        </xdr:cNvPr>
        <xdr:cNvCxnSpPr/>
      </xdr:nvCxnSpPr>
      <xdr:spPr>
        <a:xfrm flipV="1">
          <a:off x="11778338" y="216978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81638</xdr:colOff>
      <xdr:row>13</xdr:row>
      <xdr:rowOff>154837</xdr:rowOff>
    </xdr:from>
    <xdr:to>
      <xdr:col>20</xdr:col>
      <xdr:colOff>585586</xdr:colOff>
      <xdr:row>13</xdr:row>
      <xdr:rowOff>155994</xdr:rowOff>
    </xdr:to>
    <xdr:cxnSp macro="">
      <xdr:nvCxnSpPr>
        <xdr:cNvPr id="137" name="Straight Connector 136">
          <a:extLst>
            <a:ext uri="{FF2B5EF4-FFF2-40B4-BE49-F238E27FC236}">
              <a16:creationId xmlns:a16="http://schemas.microsoft.com/office/drawing/2014/main" id="{EB37707C-B0FF-4E49-A561-53CFB51EFE67}"/>
            </a:ext>
          </a:extLst>
        </xdr:cNvPr>
        <xdr:cNvCxnSpPr/>
      </xdr:nvCxnSpPr>
      <xdr:spPr>
        <a:xfrm flipV="1">
          <a:off x="11778338" y="2529737"/>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81638</xdr:colOff>
      <xdr:row>16</xdr:row>
      <xdr:rowOff>158334</xdr:rowOff>
    </xdr:from>
    <xdr:to>
      <xdr:col>20</xdr:col>
      <xdr:colOff>585586</xdr:colOff>
      <xdr:row>16</xdr:row>
      <xdr:rowOff>159491</xdr:rowOff>
    </xdr:to>
    <xdr:cxnSp macro="">
      <xdr:nvCxnSpPr>
        <xdr:cNvPr id="138" name="Straight Connector 137">
          <a:extLst>
            <a:ext uri="{FF2B5EF4-FFF2-40B4-BE49-F238E27FC236}">
              <a16:creationId xmlns:a16="http://schemas.microsoft.com/office/drawing/2014/main" id="{73B108AD-1CC8-4AF9-ACF3-64C9B46F0E68}"/>
            </a:ext>
          </a:extLst>
        </xdr:cNvPr>
        <xdr:cNvCxnSpPr/>
      </xdr:nvCxnSpPr>
      <xdr:spPr>
        <a:xfrm flipV="1">
          <a:off x="11778338" y="308568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81638</xdr:colOff>
      <xdr:row>18</xdr:row>
      <xdr:rowOff>166215</xdr:rowOff>
    </xdr:from>
    <xdr:to>
      <xdr:col>20</xdr:col>
      <xdr:colOff>585586</xdr:colOff>
      <xdr:row>18</xdr:row>
      <xdr:rowOff>167372</xdr:rowOff>
    </xdr:to>
    <xdr:cxnSp macro="">
      <xdr:nvCxnSpPr>
        <xdr:cNvPr id="139" name="Straight Connector 138">
          <a:extLst>
            <a:ext uri="{FF2B5EF4-FFF2-40B4-BE49-F238E27FC236}">
              <a16:creationId xmlns:a16="http://schemas.microsoft.com/office/drawing/2014/main" id="{D685F74E-6A2B-4BF5-A6C4-C3F2BE5D4230}"/>
            </a:ext>
          </a:extLst>
        </xdr:cNvPr>
        <xdr:cNvCxnSpPr/>
      </xdr:nvCxnSpPr>
      <xdr:spPr>
        <a:xfrm flipV="1">
          <a:off x="11778338" y="3461865"/>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96661</xdr:colOff>
      <xdr:row>23</xdr:row>
      <xdr:rowOff>152197</xdr:rowOff>
    </xdr:from>
    <xdr:to>
      <xdr:col>20</xdr:col>
      <xdr:colOff>600563</xdr:colOff>
      <xdr:row>23</xdr:row>
      <xdr:rowOff>153354</xdr:rowOff>
    </xdr:to>
    <xdr:cxnSp macro="">
      <xdr:nvCxnSpPr>
        <xdr:cNvPr id="140" name="Straight Connector 139">
          <a:extLst>
            <a:ext uri="{FF2B5EF4-FFF2-40B4-BE49-F238E27FC236}">
              <a16:creationId xmlns:a16="http://schemas.microsoft.com/office/drawing/2014/main" id="{5B492F28-A081-4571-8761-C968A2F90DE4}"/>
            </a:ext>
          </a:extLst>
        </xdr:cNvPr>
        <xdr:cNvCxnSpPr/>
      </xdr:nvCxnSpPr>
      <xdr:spPr>
        <a:xfrm flipV="1">
          <a:off x="11793361" y="4235247"/>
          <a:ext cx="1113502"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81638</xdr:colOff>
      <xdr:row>24</xdr:row>
      <xdr:rowOff>191437</xdr:rowOff>
    </xdr:from>
    <xdr:to>
      <xdr:col>20</xdr:col>
      <xdr:colOff>585586</xdr:colOff>
      <xdr:row>24</xdr:row>
      <xdr:rowOff>192594</xdr:rowOff>
    </xdr:to>
    <xdr:cxnSp macro="">
      <xdr:nvCxnSpPr>
        <xdr:cNvPr id="141" name="Straight Connector 140">
          <a:extLst>
            <a:ext uri="{FF2B5EF4-FFF2-40B4-BE49-F238E27FC236}">
              <a16:creationId xmlns:a16="http://schemas.microsoft.com/office/drawing/2014/main" id="{424A47DF-C123-4397-AFEF-604FE2E47A6F}"/>
            </a:ext>
          </a:extLst>
        </xdr:cNvPr>
        <xdr:cNvCxnSpPr/>
      </xdr:nvCxnSpPr>
      <xdr:spPr>
        <a:xfrm flipV="1">
          <a:off x="11778338" y="4452287"/>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81638</xdr:colOff>
      <xdr:row>25</xdr:row>
      <xdr:rowOff>5545</xdr:rowOff>
    </xdr:from>
    <xdr:to>
      <xdr:col>20</xdr:col>
      <xdr:colOff>585586</xdr:colOff>
      <xdr:row>25</xdr:row>
      <xdr:rowOff>6702</xdr:rowOff>
    </xdr:to>
    <xdr:cxnSp macro="">
      <xdr:nvCxnSpPr>
        <xdr:cNvPr id="142" name="Straight Connector 141">
          <a:extLst>
            <a:ext uri="{FF2B5EF4-FFF2-40B4-BE49-F238E27FC236}">
              <a16:creationId xmlns:a16="http://schemas.microsoft.com/office/drawing/2014/main" id="{3E5D5969-DC01-4213-A5D1-FEC63C736344}"/>
            </a:ext>
          </a:extLst>
        </xdr:cNvPr>
        <xdr:cNvCxnSpPr/>
      </xdr:nvCxnSpPr>
      <xdr:spPr>
        <a:xfrm flipV="1">
          <a:off x="11778338" y="4456895"/>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76561</xdr:colOff>
      <xdr:row>33</xdr:row>
      <xdr:rowOff>162327</xdr:rowOff>
    </xdr:from>
    <xdr:to>
      <xdr:col>20</xdr:col>
      <xdr:colOff>580463</xdr:colOff>
      <xdr:row>33</xdr:row>
      <xdr:rowOff>163484</xdr:rowOff>
    </xdr:to>
    <xdr:cxnSp macro="">
      <xdr:nvCxnSpPr>
        <xdr:cNvPr id="143" name="Straight Connector 142">
          <a:extLst>
            <a:ext uri="{FF2B5EF4-FFF2-40B4-BE49-F238E27FC236}">
              <a16:creationId xmlns:a16="http://schemas.microsoft.com/office/drawing/2014/main" id="{845DBED5-6C53-419C-B5B8-1BDE10C25803}"/>
            </a:ext>
          </a:extLst>
        </xdr:cNvPr>
        <xdr:cNvCxnSpPr/>
      </xdr:nvCxnSpPr>
      <xdr:spPr>
        <a:xfrm flipV="1">
          <a:off x="11773261" y="6099577"/>
          <a:ext cx="1113502"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76561</xdr:colOff>
      <xdr:row>40</xdr:row>
      <xdr:rowOff>159727</xdr:rowOff>
    </xdr:from>
    <xdr:to>
      <xdr:col>20</xdr:col>
      <xdr:colOff>580463</xdr:colOff>
      <xdr:row>40</xdr:row>
      <xdr:rowOff>160884</xdr:rowOff>
    </xdr:to>
    <xdr:cxnSp macro="">
      <xdr:nvCxnSpPr>
        <xdr:cNvPr id="144" name="Straight Connector 143">
          <a:extLst>
            <a:ext uri="{FF2B5EF4-FFF2-40B4-BE49-F238E27FC236}">
              <a16:creationId xmlns:a16="http://schemas.microsoft.com/office/drawing/2014/main" id="{B8898523-7061-40E8-B9ED-FA65CBA1F1FC}"/>
            </a:ext>
          </a:extLst>
        </xdr:cNvPr>
        <xdr:cNvCxnSpPr/>
      </xdr:nvCxnSpPr>
      <xdr:spPr>
        <a:xfrm flipV="1">
          <a:off x="11773261" y="7246327"/>
          <a:ext cx="1113502"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57761</xdr:colOff>
      <xdr:row>44</xdr:row>
      <xdr:rowOff>162046</xdr:rowOff>
    </xdr:from>
    <xdr:to>
      <xdr:col>20</xdr:col>
      <xdr:colOff>561663</xdr:colOff>
      <xdr:row>44</xdr:row>
      <xdr:rowOff>163364</xdr:rowOff>
    </xdr:to>
    <xdr:cxnSp macro="">
      <xdr:nvCxnSpPr>
        <xdr:cNvPr id="145" name="Straight Connector 144">
          <a:extLst>
            <a:ext uri="{FF2B5EF4-FFF2-40B4-BE49-F238E27FC236}">
              <a16:creationId xmlns:a16="http://schemas.microsoft.com/office/drawing/2014/main" id="{94246403-C1C4-4737-A506-4B9BECB516D8}"/>
            </a:ext>
          </a:extLst>
        </xdr:cNvPr>
        <xdr:cNvCxnSpPr/>
      </xdr:nvCxnSpPr>
      <xdr:spPr>
        <a:xfrm flipV="1">
          <a:off x="11754461" y="7985246"/>
          <a:ext cx="1113502"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57761</xdr:colOff>
      <xdr:row>53</xdr:row>
      <xdr:rowOff>159446</xdr:rowOff>
    </xdr:from>
    <xdr:to>
      <xdr:col>20</xdr:col>
      <xdr:colOff>561663</xdr:colOff>
      <xdr:row>53</xdr:row>
      <xdr:rowOff>160764</xdr:rowOff>
    </xdr:to>
    <xdr:cxnSp macro="">
      <xdr:nvCxnSpPr>
        <xdr:cNvPr id="146" name="Straight Connector 145">
          <a:extLst>
            <a:ext uri="{FF2B5EF4-FFF2-40B4-BE49-F238E27FC236}">
              <a16:creationId xmlns:a16="http://schemas.microsoft.com/office/drawing/2014/main" id="{D7DE44A8-4ABD-4474-9E01-7A5DDB192036}"/>
            </a:ext>
          </a:extLst>
        </xdr:cNvPr>
        <xdr:cNvCxnSpPr/>
      </xdr:nvCxnSpPr>
      <xdr:spPr>
        <a:xfrm flipV="1">
          <a:off x="11754461" y="9487596"/>
          <a:ext cx="1113502"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57761</xdr:colOff>
      <xdr:row>54</xdr:row>
      <xdr:rowOff>161846</xdr:rowOff>
    </xdr:from>
    <xdr:to>
      <xdr:col>20</xdr:col>
      <xdr:colOff>561663</xdr:colOff>
      <xdr:row>54</xdr:row>
      <xdr:rowOff>163164</xdr:rowOff>
    </xdr:to>
    <xdr:cxnSp macro="">
      <xdr:nvCxnSpPr>
        <xdr:cNvPr id="147" name="Straight Connector 146">
          <a:extLst>
            <a:ext uri="{FF2B5EF4-FFF2-40B4-BE49-F238E27FC236}">
              <a16:creationId xmlns:a16="http://schemas.microsoft.com/office/drawing/2014/main" id="{B6C028A7-5AC5-43BE-A251-970F356483B5}"/>
            </a:ext>
          </a:extLst>
        </xdr:cNvPr>
        <xdr:cNvCxnSpPr/>
      </xdr:nvCxnSpPr>
      <xdr:spPr>
        <a:xfrm flipV="1">
          <a:off x="11754461" y="9674146"/>
          <a:ext cx="1113502"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57761</xdr:colOff>
      <xdr:row>55</xdr:row>
      <xdr:rowOff>4246</xdr:rowOff>
    </xdr:from>
    <xdr:to>
      <xdr:col>20</xdr:col>
      <xdr:colOff>561663</xdr:colOff>
      <xdr:row>55</xdr:row>
      <xdr:rowOff>5564</xdr:rowOff>
    </xdr:to>
    <xdr:cxnSp macro="">
      <xdr:nvCxnSpPr>
        <xdr:cNvPr id="148" name="Straight Connector 147">
          <a:extLst>
            <a:ext uri="{FF2B5EF4-FFF2-40B4-BE49-F238E27FC236}">
              <a16:creationId xmlns:a16="http://schemas.microsoft.com/office/drawing/2014/main" id="{CE943117-879B-4A59-8ABD-94AA45494D07}"/>
            </a:ext>
          </a:extLst>
        </xdr:cNvPr>
        <xdr:cNvCxnSpPr/>
      </xdr:nvCxnSpPr>
      <xdr:spPr>
        <a:xfrm flipV="1">
          <a:off x="11754461" y="9700696"/>
          <a:ext cx="1113502"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81638</xdr:colOff>
      <xdr:row>16</xdr:row>
      <xdr:rowOff>154837</xdr:rowOff>
    </xdr:from>
    <xdr:to>
      <xdr:col>20</xdr:col>
      <xdr:colOff>585586</xdr:colOff>
      <xdr:row>16</xdr:row>
      <xdr:rowOff>155994</xdr:rowOff>
    </xdr:to>
    <xdr:cxnSp macro="">
      <xdr:nvCxnSpPr>
        <xdr:cNvPr id="149" name="Straight Connector 148">
          <a:extLst>
            <a:ext uri="{FF2B5EF4-FFF2-40B4-BE49-F238E27FC236}">
              <a16:creationId xmlns:a16="http://schemas.microsoft.com/office/drawing/2014/main" id="{613CC20D-38F0-42F2-AA33-A6688D3747EE}"/>
            </a:ext>
          </a:extLst>
        </xdr:cNvPr>
        <xdr:cNvCxnSpPr/>
      </xdr:nvCxnSpPr>
      <xdr:spPr>
        <a:xfrm flipV="1">
          <a:off x="11778338" y="3082187"/>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81981</xdr:colOff>
      <xdr:row>24</xdr:row>
      <xdr:rowOff>191437</xdr:rowOff>
    </xdr:from>
    <xdr:to>
      <xdr:col>12</xdr:col>
      <xdr:colOff>585928</xdr:colOff>
      <xdr:row>24</xdr:row>
      <xdr:rowOff>192594</xdr:rowOff>
    </xdr:to>
    <xdr:cxnSp macro="">
      <xdr:nvCxnSpPr>
        <xdr:cNvPr id="150" name="Straight Connector 149">
          <a:extLst>
            <a:ext uri="{FF2B5EF4-FFF2-40B4-BE49-F238E27FC236}">
              <a16:creationId xmlns:a16="http://schemas.microsoft.com/office/drawing/2014/main" id="{3C44DA83-73BA-4F53-B53C-A78039CCC354}"/>
            </a:ext>
          </a:extLst>
        </xdr:cNvPr>
        <xdr:cNvCxnSpPr/>
      </xdr:nvCxnSpPr>
      <xdr:spPr>
        <a:xfrm flipV="1">
          <a:off x="6901881" y="445228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81981</xdr:colOff>
      <xdr:row>25</xdr:row>
      <xdr:rowOff>5545</xdr:rowOff>
    </xdr:from>
    <xdr:to>
      <xdr:col>12</xdr:col>
      <xdr:colOff>585928</xdr:colOff>
      <xdr:row>25</xdr:row>
      <xdr:rowOff>6702</xdr:rowOff>
    </xdr:to>
    <xdr:cxnSp macro="">
      <xdr:nvCxnSpPr>
        <xdr:cNvPr id="151" name="Straight Connector 150">
          <a:extLst>
            <a:ext uri="{FF2B5EF4-FFF2-40B4-BE49-F238E27FC236}">
              <a16:creationId xmlns:a16="http://schemas.microsoft.com/office/drawing/2014/main" id="{14F31199-830A-4253-B494-E0060B41C74D}"/>
            </a:ext>
          </a:extLst>
        </xdr:cNvPr>
        <xdr:cNvCxnSpPr/>
      </xdr:nvCxnSpPr>
      <xdr:spPr>
        <a:xfrm flipV="1">
          <a:off x="6901881" y="445689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81981</xdr:colOff>
      <xdr:row>24</xdr:row>
      <xdr:rowOff>191437</xdr:rowOff>
    </xdr:from>
    <xdr:to>
      <xdr:col>14</xdr:col>
      <xdr:colOff>585928</xdr:colOff>
      <xdr:row>24</xdr:row>
      <xdr:rowOff>192594</xdr:rowOff>
    </xdr:to>
    <xdr:cxnSp macro="">
      <xdr:nvCxnSpPr>
        <xdr:cNvPr id="152" name="Straight Connector 151">
          <a:extLst>
            <a:ext uri="{FF2B5EF4-FFF2-40B4-BE49-F238E27FC236}">
              <a16:creationId xmlns:a16="http://schemas.microsoft.com/office/drawing/2014/main" id="{55732110-9BF7-49C6-9C45-7A9372941E0D}"/>
            </a:ext>
          </a:extLst>
        </xdr:cNvPr>
        <xdr:cNvCxnSpPr/>
      </xdr:nvCxnSpPr>
      <xdr:spPr>
        <a:xfrm flipV="1">
          <a:off x="8121081" y="445228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81981</xdr:colOff>
      <xdr:row>25</xdr:row>
      <xdr:rowOff>5545</xdr:rowOff>
    </xdr:from>
    <xdr:to>
      <xdr:col>14</xdr:col>
      <xdr:colOff>585928</xdr:colOff>
      <xdr:row>25</xdr:row>
      <xdr:rowOff>6702</xdr:rowOff>
    </xdr:to>
    <xdr:cxnSp macro="">
      <xdr:nvCxnSpPr>
        <xdr:cNvPr id="153" name="Straight Connector 152">
          <a:extLst>
            <a:ext uri="{FF2B5EF4-FFF2-40B4-BE49-F238E27FC236}">
              <a16:creationId xmlns:a16="http://schemas.microsoft.com/office/drawing/2014/main" id="{F11389DF-7328-4AB2-9DC8-976F6701ADB5}"/>
            </a:ext>
          </a:extLst>
        </xdr:cNvPr>
        <xdr:cNvCxnSpPr/>
      </xdr:nvCxnSpPr>
      <xdr:spPr>
        <a:xfrm flipV="1">
          <a:off x="8121081" y="445689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81981</xdr:colOff>
      <xdr:row>24</xdr:row>
      <xdr:rowOff>191437</xdr:rowOff>
    </xdr:from>
    <xdr:to>
      <xdr:col>16</xdr:col>
      <xdr:colOff>585928</xdr:colOff>
      <xdr:row>24</xdr:row>
      <xdr:rowOff>192594</xdr:rowOff>
    </xdr:to>
    <xdr:cxnSp macro="">
      <xdr:nvCxnSpPr>
        <xdr:cNvPr id="154" name="Straight Connector 153">
          <a:extLst>
            <a:ext uri="{FF2B5EF4-FFF2-40B4-BE49-F238E27FC236}">
              <a16:creationId xmlns:a16="http://schemas.microsoft.com/office/drawing/2014/main" id="{E1B616C1-949B-4A77-8A0C-301A481F39C5}"/>
            </a:ext>
          </a:extLst>
        </xdr:cNvPr>
        <xdr:cNvCxnSpPr/>
      </xdr:nvCxnSpPr>
      <xdr:spPr>
        <a:xfrm flipV="1">
          <a:off x="9340281" y="445228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81981</xdr:colOff>
      <xdr:row>25</xdr:row>
      <xdr:rowOff>5545</xdr:rowOff>
    </xdr:from>
    <xdr:to>
      <xdr:col>16</xdr:col>
      <xdr:colOff>585928</xdr:colOff>
      <xdr:row>25</xdr:row>
      <xdr:rowOff>6702</xdr:rowOff>
    </xdr:to>
    <xdr:cxnSp macro="">
      <xdr:nvCxnSpPr>
        <xdr:cNvPr id="155" name="Straight Connector 154">
          <a:extLst>
            <a:ext uri="{FF2B5EF4-FFF2-40B4-BE49-F238E27FC236}">
              <a16:creationId xmlns:a16="http://schemas.microsoft.com/office/drawing/2014/main" id="{D894ED27-77EF-4B7E-84CB-4439E6CFF8BF}"/>
            </a:ext>
          </a:extLst>
        </xdr:cNvPr>
        <xdr:cNvCxnSpPr/>
      </xdr:nvCxnSpPr>
      <xdr:spPr>
        <a:xfrm flipV="1">
          <a:off x="9340281" y="445689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81981</xdr:colOff>
      <xdr:row>24</xdr:row>
      <xdr:rowOff>191437</xdr:rowOff>
    </xdr:from>
    <xdr:to>
      <xdr:col>18</xdr:col>
      <xdr:colOff>585928</xdr:colOff>
      <xdr:row>24</xdr:row>
      <xdr:rowOff>192594</xdr:rowOff>
    </xdr:to>
    <xdr:cxnSp macro="">
      <xdr:nvCxnSpPr>
        <xdr:cNvPr id="156" name="Straight Connector 155">
          <a:extLst>
            <a:ext uri="{FF2B5EF4-FFF2-40B4-BE49-F238E27FC236}">
              <a16:creationId xmlns:a16="http://schemas.microsoft.com/office/drawing/2014/main" id="{FB22F7B8-B25C-43A3-98B4-C06C3C2310E5}"/>
            </a:ext>
          </a:extLst>
        </xdr:cNvPr>
        <xdr:cNvCxnSpPr/>
      </xdr:nvCxnSpPr>
      <xdr:spPr>
        <a:xfrm flipV="1">
          <a:off x="10559481" y="445228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81981</xdr:colOff>
      <xdr:row>25</xdr:row>
      <xdr:rowOff>5545</xdr:rowOff>
    </xdr:from>
    <xdr:to>
      <xdr:col>18</xdr:col>
      <xdr:colOff>585928</xdr:colOff>
      <xdr:row>25</xdr:row>
      <xdr:rowOff>6702</xdr:rowOff>
    </xdr:to>
    <xdr:cxnSp macro="">
      <xdr:nvCxnSpPr>
        <xdr:cNvPr id="157" name="Straight Connector 156">
          <a:extLst>
            <a:ext uri="{FF2B5EF4-FFF2-40B4-BE49-F238E27FC236}">
              <a16:creationId xmlns:a16="http://schemas.microsoft.com/office/drawing/2014/main" id="{B624828E-287F-42A9-A265-026A61F83DD2}"/>
            </a:ext>
          </a:extLst>
        </xdr:cNvPr>
        <xdr:cNvCxnSpPr/>
      </xdr:nvCxnSpPr>
      <xdr:spPr>
        <a:xfrm flipV="1">
          <a:off x="10559481" y="445689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81981</xdr:colOff>
      <xdr:row>24</xdr:row>
      <xdr:rowOff>191437</xdr:rowOff>
    </xdr:from>
    <xdr:to>
      <xdr:col>20</xdr:col>
      <xdr:colOff>585928</xdr:colOff>
      <xdr:row>24</xdr:row>
      <xdr:rowOff>192594</xdr:rowOff>
    </xdr:to>
    <xdr:cxnSp macro="">
      <xdr:nvCxnSpPr>
        <xdr:cNvPr id="158" name="Straight Connector 157">
          <a:extLst>
            <a:ext uri="{FF2B5EF4-FFF2-40B4-BE49-F238E27FC236}">
              <a16:creationId xmlns:a16="http://schemas.microsoft.com/office/drawing/2014/main" id="{ACBC0567-1368-42C0-8F86-CCC6AC7EC3EE}"/>
            </a:ext>
          </a:extLst>
        </xdr:cNvPr>
        <xdr:cNvCxnSpPr/>
      </xdr:nvCxnSpPr>
      <xdr:spPr>
        <a:xfrm flipV="1">
          <a:off x="11778681" y="445228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81981</xdr:colOff>
      <xdr:row>25</xdr:row>
      <xdr:rowOff>5545</xdr:rowOff>
    </xdr:from>
    <xdr:to>
      <xdr:col>20</xdr:col>
      <xdr:colOff>585928</xdr:colOff>
      <xdr:row>25</xdr:row>
      <xdr:rowOff>6702</xdr:rowOff>
    </xdr:to>
    <xdr:cxnSp macro="">
      <xdr:nvCxnSpPr>
        <xdr:cNvPr id="159" name="Straight Connector 158">
          <a:extLst>
            <a:ext uri="{FF2B5EF4-FFF2-40B4-BE49-F238E27FC236}">
              <a16:creationId xmlns:a16="http://schemas.microsoft.com/office/drawing/2014/main" id="{F7AC03A7-BF05-4F9D-8D37-1641B2320707}"/>
            </a:ext>
          </a:extLst>
        </xdr:cNvPr>
        <xdr:cNvCxnSpPr/>
      </xdr:nvCxnSpPr>
      <xdr:spPr>
        <a:xfrm flipV="1">
          <a:off x="11778681" y="445689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81981</xdr:colOff>
      <xdr:row>27</xdr:row>
      <xdr:rowOff>191437</xdr:rowOff>
    </xdr:from>
    <xdr:to>
      <xdr:col>10</xdr:col>
      <xdr:colOff>585928</xdr:colOff>
      <xdr:row>27</xdr:row>
      <xdr:rowOff>192594</xdr:rowOff>
    </xdr:to>
    <xdr:cxnSp macro="">
      <xdr:nvCxnSpPr>
        <xdr:cNvPr id="160" name="Straight Connector 159">
          <a:extLst>
            <a:ext uri="{FF2B5EF4-FFF2-40B4-BE49-F238E27FC236}">
              <a16:creationId xmlns:a16="http://schemas.microsoft.com/office/drawing/2014/main" id="{9ED9401A-AF42-4D40-AE11-2A9D6C699DC1}"/>
            </a:ext>
          </a:extLst>
        </xdr:cNvPr>
        <xdr:cNvCxnSpPr/>
      </xdr:nvCxnSpPr>
      <xdr:spPr>
        <a:xfrm flipV="1">
          <a:off x="5682681" y="500473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81981</xdr:colOff>
      <xdr:row>28</xdr:row>
      <xdr:rowOff>5545</xdr:rowOff>
    </xdr:from>
    <xdr:to>
      <xdr:col>10</xdr:col>
      <xdr:colOff>585928</xdr:colOff>
      <xdr:row>28</xdr:row>
      <xdr:rowOff>6702</xdr:rowOff>
    </xdr:to>
    <xdr:cxnSp macro="">
      <xdr:nvCxnSpPr>
        <xdr:cNvPr id="161" name="Straight Connector 160">
          <a:extLst>
            <a:ext uri="{FF2B5EF4-FFF2-40B4-BE49-F238E27FC236}">
              <a16:creationId xmlns:a16="http://schemas.microsoft.com/office/drawing/2014/main" id="{75A16C98-69C3-4CE0-8BA6-D2793DBB92A1}"/>
            </a:ext>
          </a:extLst>
        </xdr:cNvPr>
        <xdr:cNvCxnSpPr/>
      </xdr:nvCxnSpPr>
      <xdr:spPr>
        <a:xfrm flipV="1">
          <a:off x="5682681" y="500934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81981</xdr:colOff>
      <xdr:row>27</xdr:row>
      <xdr:rowOff>191437</xdr:rowOff>
    </xdr:from>
    <xdr:to>
      <xdr:col>12</xdr:col>
      <xdr:colOff>585928</xdr:colOff>
      <xdr:row>27</xdr:row>
      <xdr:rowOff>192594</xdr:rowOff>
    </xdr:to>
    <xdr:cxnSp macro="">
      <xdr:nvCxnSpPr>
        <xdr:cNvPr id="162" name="Straight Connector 161">
          <a:extLst>
            <a:ext uri="{FF2B5EF4-FFF2-40B4-BE49-F238E27FC236}">
              <a16:creationId xmlns:a16="http://schemas.microsoft.com/office/drawing/2014/main" id="{B0753B73-14B0-4AFB-979E-018DEE81A58C}"/>
            </a:ext>
          </a:extLst>
        </xdr:cNvPr>
        <xdr:cNvCxnSpPr/>
      </xdr:nvCxnSpPr>
      <xdr:spPr>
        <a:xfrm flipV="1">
          <a:off x="6901881" y="500473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81981</xdr:colOff>
      <xdr:row>28</xdr:row>
      <xdr:rowOff>5545</xdr:rowOff>
    </xdr:from>
    <xdr:to>
      <xdr:col>12</xdr:col>
      <xdr:colOff>585928</xdr:colOff>
      <xdr:row>28</xdr:row>
      <xdr:rowOff>6702</xdr:rowOff>
    </xdr:to>
    <xdr:cxnSp macro="">
      <xdr:nvCxnSpPr>
        <xdr:cNvPr id="163" name="Straight Connector 162">
          <a:extLst>
            <a:ext uri="{FF2B5EF4-FFF2-40B4-BE49-F238E27FC236}">
              <a16:creationId xmlns:a16="http://schemas.microsoft.com/office/drawing/2014/main" id="{097D64D2-DFA5-48C7-94DC-D69F1C251F7D}"/>
            </a:ext>
          </a:extLst>
        </xdr:cNvPr>
        <xdr:cNvCxnSpPr/>
      </xdr:nvCxnSpPr>
      <xdr:spPr>
        <a:xfrm flipV="1">
          <a:off x="6901881" y="500934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81981</xdr:colOff>
      <xdr:row>27</xdr:row>
      <xdr:rowOff>191437</xdr:rowOff>
    </xdr:from>
    <xdr:to>
      <xdr:col>14</xdr:col>
      <xdr:colOff>585928</xdr:colOff>
      <xdr:row>27</xdr:row>
      <xdr:rowOff>192594</xdr:rowOff>
    </xdr:to>
    <xdr:cxnSp macro="">
      <xdr:nvCxnSpPr>
        <xdr:cNvPr id="164" name="Straight Connector 163">
          <a:extLst>
            <a:ext uri="{FF2B5EF4-FFF2-40B4-BE49-F238E27FC236}">
              <a16:creationId xmlns:a16="http://schemas.microsoft.com/office/drawing/2014/main" id="{43421913-A7F6-4A2F-B320-B260B746F869}"/>
            </a:ext>
          </a:extLst>
        </xdr:cNvPr>
        <xdr:cNvCxnSpPr/>
      </xdr:nvCxnSpPr>
      <xdr:spPr>
        <a:xfrm flipV="1">
          <a:off x="8121081" y="500473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81981</xdr:colOff>
      <xdr:row>28</xdr:row>
      <xdr:rowOff>5545</xdr:rowOff>
    </xdr:from>
    <xdr:to>
      <xdr:col>14</xdr:col>
      <xdr:colOff>585928</xdr:colOff>
      <xdr:row>28</xdr:row>
      <xdr:rowOff>6702</xdr:rowOff>
    </xdr:to>
    <xdr:cxnSp macro="">
      <xdr:nvCxnSpPr>
        <xdr:cNvPr id="165" name="Straight Connector 164">
          <a:extLst>
            <a:ext uri="{FF2B5EF4-FFF2-40B4-BE49-F238E27FC236}">
              <a16:creationId xmlns:a16="http://schemas.microsoft.com/office/drawing/2014/main" id="{972916A8-81B3-4671-B005-5C4C9183E189}"/>
            </a:ext>
          </a:extLst>
        </xdr:cNvPr>
        <xdr:cNvCxnSpPr/>
      </xdr:nvCxnSpPr>
      <xdr:spPr>
        <a:xfrm flipV="1">
          <a:off x="8121081" y="500934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81981</xdr:colOff>
      <xdr:row>27</xdr:row>
      <xdr:rowOff>191437</xdr:rowOff>
    </xdr:from>
    <xdr:to>
      <xdr:col>16</xdr:col>
      <xdr:colOff>585928</xdr:colOff>
      <xdr:row>27</xdr:row>
      <xdr:rowOff>192594</xdr:rowOff>
    </xdr:to>
    <xdr:cxnSp macro="">
      <xdr:nvCxnSpPr>
        <xdr:cNvPr id="166" name="Straight Connector 165">
          <a:extLst>
            <a:ext uri="{FF2B5EF4-FFF2-40B4-BE49-F238E27FC236}">
              <a16:creationId xmlns:a16="http://schemas.microsoft.com/office/drawing/2014/main" id="{A28F12A9-0E99-4559-97A3-9925EF9ED4BB}"/>
            </a:ext>
          </a:extLst>
        </xdr:cNvPr>
        <xdr:cNvCxnSpPr/>
      </xdr:nvCxnSpPr>
      <xdr:spPr>
        <a:xfrm flipV="1">
          <a:off x="9340281" y="500473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81981</xdr:colOff>
      <xdr:row>28</xdr:row>
      <xdr:rowOff>5545</xdr:rowOff>
    </xdr:from>
    <xdr:to>
      <xdr:col>16</xdr:col>
      <xdr:colOff>585928</xdr:colOff>
      <xdr:row>28</xdr:row>
      <xdr:rowOff>6702</xdr:rowOff>
    </xdr:to>
    <xdr:cxnSp macro="">
      <xdr:nvCxnSpPr>
        <xdr:cNvPr id="167" name="Straight Connector 166">
          <a:extLst>
            <a:ext uri="{FF2B5EF4-FFF2-40B4-BE49-F238E27FC236}">
              <a16:creationId xmlns:a16="http://schemas.microsoft.com/office/drawing/2014/main" id="{BB6AB204-F04B-4A75-BB1A-8425D8156D1E}"/>
            </a:ext>
          </a:extLst>
        </xdr:cNvPr>
        <xdr:cNvCxnSpPr/>
      </xdr:nvCxnSpPr>
      <xdr:spPr>
        <a:xfrm flipV="1">
          <a:off x="9340281" y="500934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81981</xdr:colOff>
      <xdr:row>27</xdr:row>
      <xdr:rowOff>191437</xdr:rowOff>
    </xdr:from>
    <xdr:to>
      <xdr:col>18</xdr:col>
      <xdr:colOff>585928</xdr:colOff>
      <xdr:row>27</xdr:row>
      <xdr:rowOff>192594</xdr:rowOff>
    </xdr:to>
    <xdr:cxnSp macro="">
      <xdr:nvCxnSpPr>
        <xdr:cNvPr id="168" name="Straight Connector 167">
          <a:extLst>
            <a:ext uri="{FF2B5EF4-FFF2-40B4-BE49-F238E27FC236}">
              <a16:creationId xmlns:a16="http://schemas.microsoft.com/office/drawing/2014/main" id="{45E0451B-6489-4871-A472-93F5295FADFB}"/>
            </a:ext>
          </a:extLst>
        </xdr:cNvPr>
        <xdr:cNvCxnSpPr/>
      </xdr:nvCxnSpPr>
      <xdr:spPr>
        <a:xfrm flipV="1">
          <a:off x="10559481" y="500473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81981</xdr:colOff>
      <xdr:row>28</xdr:row>
      <xdr:rowOff>5545</xdr:rowOff>
    </xdr:from>
    <xdr:to>
      <xdr:col>18</xdr:col>
      <xdr:colOff>585928</xdr:colOff>
      <xdr:row>28</xdr:row>
      <xdr:rowOff>6702</xdr:rowOff>
    </xdr:to>
    <xdr:cxnSp macro="">
      <xdr:nvCxnSpPr>
        <xdr:cNvPr id="169" name="Straight Connector 168">
          <a:extLst>
            <a:ext uri="{FF2B5EF4-FFF2-40B4-BE49-F238E27FC236}">
              <a16:creationId xmlns:a16="http://schemas.microsoft.com/office/drawing/2014/main" id="{42A3BF81-AB93-4E29-AF89-5EE456CF78DD}"/>
            </a:ext>
          </a:extLst>
        </xdr:cNvPr>
        <xdr:cNvCxnSpPr/>
      </xdr:nvCxnSpPr>
      <xdr:spPr>
        <a:xfrm flipV="1">
          <a:off x="10559481" y="500934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81981</xdr:colOff>
      <xdr:row>27</xdr:row>
      <xdr:rowOff>191437</xdr:rowOff>
    </xdr:from>
    <xdr:to>
      <xdr:col>20</xdr:col>
      <xdr:colOff>585928</xdr:colOff>
      <xdr:row>27</xdr:row>
      <xdr:rowOff>192594</xdr:rowOff>
    </xdr:to>
    <xdr:cxnSp macro="">
      <xdr:nvCxnSpPr>
        <xdr:cNvPr id="170" name="Straight Connector 169">
          <a:extLst>
            <a:ext uri="{FF2B5EF4-FFF2-40B4-BE49-F238E27FC236}">
              <a16:creationId xmlns:a16="http://schemas.microsoft.com/office/drawing/2014/main" id="{132250FB-1629-42F5-94A0-71B09A8EB4AA}"/>
            </a:ext>
          </a:extLst>
        </xdr:cNvPr>
        <xdr:cNvCxnSpPr/>
      </xdr:nvCxnSpPr>
      <xdr:spPr>
        <a:xfrm flipV="1">
          <a:off x="11778681" y="500473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81981</xdr:colOff>
      <xdr:row>28</xdr:row>
      <xdr:rowOff>5545</xdr:rowOff>
    </xdr:from>
    <xdr:to>
      <xdr:col>20</xdr:col>
      <xdr:colOff>585928</xdr:colOff>
      <xdr:row>28</xdr:row>
      <xdr:rowOff>6702</xdr:rowOff>
    </xdr:to>
    <xdr:cxnSp macro="">
      <xdr:nvCxnSpPr>
        <xdr:cNvPr id="171" name="Straight Connector 170">
          <a:extLst>
            <a:ext uri="{FF2B5EF4-FFF2-40B4-BE49-F238E27FC236}">
              <a16:creationId xmlns:a16="http://schemas.microsoft.com/office/drawing/2014/main" id="{EB586A2E-C7D0-4870-963D-CE0B84BC3DE8}"/>
            </a:ext>
          </a:extLst>
        </xdr:cNvPr>
        <xdr:cNvCxnSpPr/>
      </xdr:nvCxnSpPr>
      <xdr:spPr>
        <a:xfrm flipV="1">
          <a:off x="11778681" y="500934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58081</xdr:colOff>
      <xdr:row>44</xdr:row>
      <xdr:rowOff>162046</xdr:rowOff>
    </xdr:from>
    <xdr:to>
      <xdr:col>12</xdr:col>
      <xdr:colOff>562028</xdr:colOff>
      <xdr:row>44</xdr:row>
      <xdr:rowOff>163364</xdr:rowOff>
    </xdr:to>
    <xdr:cxnSp macro="">
      <xdr:nvCxnSpPr>
        <xdr:cNvPr id="172" name="Straight Connector 171">
          <a:extLst>
            <a:ext uri="{FF2B5EF4-FFF2-40B4-BE49-F238E27FC236}">
              <a16:creationId xmlns:a16="http://schemas.microsoft.com/office/drawing/2014/main" id="{C868153B-5429-4AFE-805D-21F55FE2EC22}"/>
            </a:ext>
          </a:extLst>
        </xdr:cNvPr>
        <xdr:cNvCxnSpPr/>
      </xdr:nvCxnSpPr>
      <xdr:spPr>
        <a:xfrm flipV="1">
          <a:off x="6877981" y="79852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58081</xdr:colOff>
      <xdr:row>44</xdr:row>
      <xdr:rowOff>162046</xdr:rowOff>
    </xdr:from>
    <xdr:to>
      <xdr:col>14</xdr:col>
      <xdr:colOff>562028</xdr:colOff>
      <xdr:row>44</xdr:row>
      <xdr:rowOff>163364</xdr:rowOff>
    </xdr:to>
    <xdr:cxnSp macro="">
      <xdr:nvCxnSpPr>
        <xdr:cNvPr id="173" name="Straight Connector 172">
          <a:extLst>
            <a:ext uri="{FF2B5EF4-FFF2-40B4-BE49-F238E27FC236}">
              <a16:creationId xmlns:a16="http://schemas.microsoft.com/office/drawing/2014/main" id="{95FC7C90-3610-4514-A8D9-7104481BBD81}"/>
            </a:ext>
          </a:extLst>
        </xdr:cNvPr>
        <xdr:cNvCxnSpPr/>
      </xdr:nvCxnSpPr>
      <xdr:spPr>
        <a:xfrm flipV="1">
          <a:off x="8097181" y="79852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58081</xdr:colOff>
      <xdr:row>44</xdr:row>
      <xdr:rowOff>162046</xdr:rowOff>
    </xdr:from>
    <xdr:to>
      <xdr:col>16</xdr:col>
      <xdr:colOff>562028</xdr:colOff>
      <xdr:row>44</xdr:row>
      <xdr:rowOff>163364</xdr:rowOff>
    </xdr:to>
    <xdr:cxnSp macro="">
      <xdr:nvCxnSpPr>
        <xdr:cNvPr id="174" name="Straight Connector 173">
          <a:extLst>
            <a:ext uri="{FF2B5EF4-FFF2-40B4-BE49-F238E27FC236}">
              <a16:creationId xmlns:a16="http://schemas.microsoft.com/office/drawing/2014/main" id="{1E6CDE25-4E39-4A1A-AA4F-F60E5D68911F}"/>
            </a:ext>
          </a:extLst>
        </xdr:cNvPr>
        <xdr:cNvCxnSpPr/>
      </xdr:nvCxnSpPr>
      <xdr:spPr>
        <a:xfrm flipV="1">
          <a:off x="9316381" y="79852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58081</xdr:colOff>
      <xdr:row>44</xdr:row>
      <xdr:rowOff>162046</xdr:rowOff>
    </xdr:from>
    <xdr:to>
      <xdr:col>18</xdr:col>
      <xdr:colOff>562028</xdr:colOff>
      <xdr:row>44</xdr:row>
      <xdr:rowOff>163364</xdr:rowOff>
    </xdr:to>
    <xdr:cxnSp macro="">
      <xdr:nvCxnSpPr>
        <xdr:cNvPr id="175" name="Straight Connector 174">
          <a:extLst>
            <a:ext uri="{FF2B5EF4-FFF2-40B4-BE49-F238E27FC236}">
              <a16:creationId xmlns:a16="http://schemas.microsoft.com/office/drawing/2014/main" id="{D9D65BB8-01CF-4189-8765-13C86EDF974D}"/>
            </a:ext>
          </a:extLst>
        </xdr:cNvPr>
        <xdr:cNvCxnSpPr/>
      </xdr:nvCxnSpPr>
      <xdr:spPr>
        <a:xfrm flipV="1">
          <a:off x="10535581" y="79852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58081</xdr:colOff>
      <xdr:row>44</xdr:row>
      <xdr:rowOff>162046</xdr:rowOff>
    </xdr:from>
    <xdr:to>
      <xdr:col>20</xdr:col>
      <xdr:colOff>562028</xdr:colOff>
      <xdr:row>44</xdr:row>
      <xdr:rowOff>163364</xdr:rowOff>
    </xdr:to>
    <xdr:cxnSp macro="">
      <xdr:nvCxnSpPr>
        <xdr:cNvPr id="176" name="Straight Connector 175">
          <a:extLst>
            <a:ext uri="{FF2B5EF4-FFF2-40B4-BE49-F238E27FC236}">
              <a16:creationId xmlns:a16="http://schemas.microsoft.com/office/drawing/2014/main" id="{B854DE63-D246-4E1F-8C50-B0D913A007E9}"/>
            </a:ext>
          </a:extLst>
        </xdr:cNvPr>
        <xdr:cNvCxnSpPr/>
      </xdr:nvCxnSpPr>
      <xdr:spPr>
        <a:xfrm flipV="1">
          <a:off x="11754781" y="79852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58081</xdr:colOff>
      <xdr:row>53</xdr:row>
      <xdr:rowOff>159446</xdr:rowOff>
    </xdr:from>
    <xdr:to>
      <xdr:col>12</xdr:col>
      <xdr:colOff>562028</xdr:colOff>
      <xdr:row>53</xdr:row>
      <xdr:rowOff>160764</xdr:rowOff>
    </xdr:to>
    <xdr:cxnSp macro="">
      <xdr:nvCxnSpPr>
        <xdr:cNvPr id="177" name="Straight Connector 176">
          <a:extLst>
            <a:ext uri="{FF2B5EF4-FFF2-40B4-BE49-F238E27FC236}">
              <a16:creationId xmlns:a16="http://schemas.microsoft.com/office/drawing/2014/main" id="{A21ECD58-B528-4359-AD7C-020BF4DEB5EE}"/>
            </a:ext>
          </a:extLst>
        </xdr:cNvPr>
        <xdr:cNvCxnSpPr/>
      </xdr:nvCxnSpPr>
      <xdr:spPr>
        <a:xfrm flipV="1">
          <a:off x="6877981" y="94875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58081</xdr:colOff>
      <xdr:row>53</xdr:row>
      <xdr:rowOff>159446</xdr:rowOff>
    </xdr:from>
    <xdr:to>
      <xdr:col>14</xdr:col>
      <xdr:colOff>562028</xdr:colOff>
      <xdr:row>53</xdr:row>
      <xdr:rowOff>160764</xdr:rowOff>
    </xdr:to>
    <xdr:cxnSp macro="">
      <xdr:nvCxnSpPr>
        <xdr:cNvPr id="178" name="Straight Connector 177">
          <a:extLst>
            <a:ext uri="{FF2B5EF4-FFF2-40B4-BE49-F238E27FC236}">
              <a16:creationId xmlns:a16="http://schemas.microsoft.com/office/drawing/2014/main" id="{68EFDB7E-13D0-4B4D-97E5-DFBBB719970E}"/>
            </a:ext>
          </a:extLst>
        </xdr:cNvPr>
        <xdr:cNvCxnSpPr/>
      </xdr:nvCxnSpPr>
      <xdr:spPr>
        <a:xfrm flipV="1">
          <a:off x="8097181" y="94875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58081</xdr:colOff>
      <xdr:row>53</xdr:row>
      <xdr:rowOff>159446</xdr:rowOff>
    </xdr:from>
    <xdr:to>
      <xdr:col>16</xdr:col>
      <xdr:colOff>562028</xdr:colOff>
      <xdr:row>53</xdr:row>
      <xdr:rowOff>160764</xdr:rowOff>
    </xdr:to>
    <xdr:cxnSp macro="">
      <xdr:nvCxnSpPr>
        <xdr:cNvPr id="179" name="Straight Connector 178">
          <a:extLst>
            <a:ext uri="{FF2B5EF4-FFF2-40B4-BE49-F238E27FC236}">
              <a16:creationId xmlns:a16="http://schemas.microsoft.com/office/drawing/2014/main" id="{D223D35B-70B9-4FAF-BE77-9E89E534871D}"/>
            </a:ext>
          </a:extLst>
        </xdr:cNvPr>
        <xdr:cNvCxnSpPr/>
      </xdr:nvCxnSpPr>
      <xdr:spPr>
        <a:xfrm flipV="1">
          <a:off x="9316381" y="94875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58081</xdr:colOff>
      <xdr:row>53</xdr:row>
      <xdr:rowOff>159446</xdr:rowOff>
    </xdr:from>
    <xdr:to>
      <xdr:col>18</xdr:col>
      <xdr:colOff>562028</xdr:colOff>
      <xdr:row>53</xdr:row>
      <xdr:rowOff>160764</xdr:rowOff>
    </xdr:to>
    <xdr:cxnSp macro="">
      <xdr:nvCxnSpPr>
        <xdr:cNvPr id="180" name="Straight Connector 179">
          <a:extLst>
            <a:ext uri="{FF2B5EF4-FFF2-40B4-BE49-F238E27FC236}">
              <a16:creationId xmlns:a16="http://schemas.microsoft.com/office/drawing/2014/main" id="{A47F63EE-7BD5-439F-A448-2FE7DF9329D7}"/>
            </a:ext>
          </a:extLst>
        </xdr:cNvPr>
        <xdr:cNvCxnSpPr/>
      </xdr:nvCxnSpPr>
      <xdr:spPr>
        <a:xfrm flipV="1">
          <a:off x="10535581" y="94875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58081</xdr:colOff>
      <xdr:row>53</xdr:row>
      <xdr:rowOff>159446</xdr:rowOff>
    </xdr:from>
    <xdr:to>
      <xdr:col>20</xdr:col>
      <xdr:colOff>562028</xdr:colOff>
      <xdr:row>53</xdr:row>
      <xdr:rowOff>160764</xdr:rowOff>
    </xdr:to>
    <xdr:cxnSp macro="">
      <xdr:nvCxnSpPr>
        <xdr:cNvPr id="181" name="Straight Connector 180">
          <a:extLst>
            <a:ext uri="{FF2B5EF4-FFF2-40B4-BE49-F238E27FC236}">
              <a16:creationId xmlns:a16="http://schemas.microsoft.com/office/drawing/2014/main" id="{128B9B49-8387-4617-8D14-B5689D1417CC}"/>
            </a:ext>
          </a:extLst>
        </xdr:cNvPr>
        <xdr:cNvCxnSpPr/>
      </xdr:nvCxnSpPr>
      <xdr:spPr>
        <a:xfrm flipV="1">
          <a:off x="11754781" y="94875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58081</xdr:colOff>
      <xdr:row>54</xdr:row>
      <xdr:rowOff>161846</xdr:rowOff>
    </xdr:from>
    <xdr:to>
      <xdr:col>12</xdr:col>
      <xdr:colOff>562028</xdr:colOff>
      <xdr:row>54</xdr:row>
      <xdr:rowOff>163164</xdr:rowOff>
    </xdr:to>
    <xdr:cxnSp macro="">
      <xdr:nvCxnSpPr>
        <xdr:cNvPr id="182" name="Straight Connector 181">
          <a:extLst>
            <a:ext uri="{FF2B5EF4-FFF2-40B4-BE49-F238E27FC236}">
              <a16:creationId xmlns:a16="http://schemas.microsoft.com/office/drawing/2014/main" id="{1849BF97-7F72-4A5D-934E-54C5CBE7FB75}"/>
            </a:ext>
          </a:extLst>
        </xdr:cNvPr>
        <xdr:cNvCxnSpPr/>
      </xdr:nvCxnSpPr>
      <xdr:spPr>
        <a:xfrm flipV="1">
          <a:off x="6877981" y="96741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58081</xdr:colOff>
      <xdr:row>54</xdr:row>
      <xdr:rowOff>159446</xdr:rowOff>
    </xdr:from>
    <xdr:to>
      <xdr:col>12</xdr:col>
      <xdr:colOff>562028</xdr:colOff>
      <xdr:row>54</xdr:row>
      <xdr:rowOff>160764</xdr:rowOff>
    </xdr:to>
    <xdr:cxnSp macro="">
      <xdr:nvCxnSpPr>
        <xdr:cNvPr id="183" name="Straight Connector 182">
          <a:extLst>
            <a:ext uri="{FF2B5EF4-FFF2-40B4-BE49-F238E27FC236}">
              <a16:creationId xmlns:a16="http://schemas.microsoft.com/office/drawing/2014/main" id="{4C853CA4-E09D-4D6E-8802-3000D63B7070}"/>
            </a:ext>
          </a:extLst>
        </xdr:cNvPr>
        <xdr:cNvCxnSpPr/>
      </xdr:nvCxnSpPr>
      <xdr:spPr>
        <a:xfrm flipV="1">
          <a:off x="6877981" y="96717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58081</xdr:colOff>
      <xdr:row>54</xdr:row>
      <xdr:rowOff>161846</xdr:rowOff>
    </xdr:from>
    <xdr:to>
      <xdr:col>14</xdr:col>
      <xdr:colOff>562028</xdr:colOff>
      <xdr:row>54</xdr:row>
      <xdr:rowOff>163164</xdr:rowOff>
    </xdr:to>
    <xdr:cxnSp macro="">
      <xdr:nvCxnSpPr>
        <xdr:cNvPr id="184" name="Straight Connector 183">
          <a:extLst>
            <a:ext uri="{FF2B5EF4-FFF2-40B4-BE49-F238E27FC236}">
              <a16:creationId xmlns:a16="http://schemas.microsoft.com/office/drawing/2014/main" id="{8EA7EF3D-AEA2-45E0-897B-24DB52F0EE2B}"/>
            </a:ext>
          </a:extLst>
        </xdr:cNvPr>
        <xdr:cNvCxnSpPr/>
      </xdr:nvCxnSpPr>
      <xdr:spPr>
        <a:xfrm flipV="1">
          <a:off x="8097181" y="96741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58081</xdr:colOff>
      <xdr:row>54</xdr:row>
      <xdr:rowOff>159446</xdr:rowOff>
    </xdr:from>
    <xdr:to>
      <xdr:col>14</xdr:col>
      <xdr:colOff>562028</xdr:colOff>
      <xdr:row>54</xdr:row>
      <xdr:rowOff>160764</xdr:rowOff>
    </xdr:to>
    <xdr:cxnSp macro="">
      <xdr:nvCxnSpPr>
        <xdr:cNvPr id="185" name="Straight Connector 184">
          <a:extLst>
            <a:ext uri="{FF2B5EF4-FFF2-40B4-BE49-F238E27FC236}">
              <a16:creationId xmlns:a16="http://schemas.microsoft.com/office/drawing/2014/main" id="{55FC5152-D355-42EB-B3D0-B6491A87F3BC}"/>
            </a:ext>
          </a:extLst>
        </xdr:cNvPr>
        <xdr:cNvCxnSpPr/>
      </xdr:nvCxnSpPr>
      <xdr:spPr>
        <a:xfrm flipV="1">
          <a:off x="8097181" y="96717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58081</xdr:colOff>
      <xdr:row>54</xdr:row>
      <xdr:rowOff>161846</xdr:rowOff>
    </xdr:from>
    <xdr:to>
      <xdr:col>16</xdr:col>
      <xdr:colOff>562028</xdr:colOff>
      <xdr:row>54</xdr:row>
      <xdr:rowOff>163164</xdr:rowOff>
    </xdr:to>
    <xdr:cxnSp macro="">
      <xdr:nvCxnSpPr>
        <xdr:cNvPr id="186" name="Straight Connector 185">
          <a:extLst>
            <a:ext uri="{FF2B5EF4-FFF2-40B4-BE49-F238E27FC236}">
              <a16:creationId xmlns:a16="http://schemas.microsoft.com/office/drawing/2014/main" id="{691DA192-4ED4-4689-85A1-6FF6BB2940D1}"/>
            </a:ext>
          </a:extLst>
        </xdr:cNvPr>
        <xdr:cNvCxnSpPr/>
      </xdr:nvCxnSpPr>
      <xdr:spPr>
        <a:xfrm flipV="1">
          <a:off x="9316381" y="96741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58081</xdr:colOff>
      <xdr:row>54</xdr:row>
      <xdr:rowOff>159446</xdr:rowOff>
    </xdr:from>
    <xdr:to>
      <xdr:col>16</xdr:col>
      <xdr:colOff>562028</xdr:colOff>
      <xdr:row>54</xdr:row>
      <xdr:rowOff>160764</xdr:rowOff>
    </xdr:to>
    <xdr:cxnSp macro="">
      <xdr:nvCxnSpPr>
        <xdr:cNvPr id="187" name="Straight Connector 186">
          <a:extLst>
            <a:ext uri="{FF2B5EF4-FFF2-40B4-BE49-F238E27FC236}">
              <a16:creationId xmlns:a16="http://schemas.microsoft.com/office/drawing/2014/main" id="{E0BD2BAA-A6D8-4D2F-BE49-857CDF29139D}"/>
            </a:ext>
          </a:extLst>
        </xdr:cNvPr>
        <xdr:cNvCxnSpPr/>
      </xdr:nvCxnSpPr>
      <xdr:spPr>
        <a:xfrm flipV="1">
          <a:off x="9316381" y="96717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58081</xdr:colOff>
      <xdr:row>54</xdr:row>
      <xdr:rowOff>161846</xdr:rowOff>
    </xdr:from>
    <xdr:to>
      <xdr:col>18</xdr:col>
      <xdr:colOff>562028</xdr:colOff>
      <xdr:row>54</xdr:row>
      <xdr:rowOff>163164</xdr:rowOff>
    </xdr:to>
    <xdr:cxnSp macro="">
      <xdr:nvCxnSpPr>
        <xdr:cNvPr id="188" name="Straight Connector 187">
          <a:extLst>
            <a:ext uri="{FF2B5EF4-FFF2-40B4-BE49-F238E27FC236}">
              <a16:creationId xmlns:a16="http://schemas.microsoft.com/office/drawing/2014/main" id="{74CB7672-B6B9-4401-9C9B-99D2544DABA5}"/>
            </a:ext>
          </a:extLst>
        </xdr:cNvPr>
        <xdr:cNvCxnSpPr/>
      </xdr:nvCxnSpPr>
      <xdr:spPr>
        <a:xfrm flipV="1">
          <a:off x="10535581" y="96741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58081</xdr:colOff>
      <xdr:row>54</xdr:row>
      <xdr:rowOff>159446</xdr:rowOff>
    </xdr:from>
    <xdr:to>
      <xdr:col>18</xdr:col>
      <xdr:colOff>562028</xdr:colOff>
      <xdr:row>54</xdr:row>
      <xdr:rowOff>160764</xdr:rowOff>
    </xdr:to>
    <xdr:cxnSp macro="">
      <xdr:nvCxnSpPr>
        <xdr:cNvPr id="189" name="Straight Connector 188">
          <a:extLst>
            <a:ext uri="{FF2B5EF4-FFF2-40B4-BE49-F238E27FC236}">
              <a16:creationId xmlns:a16="http://schemas.microsoft.com/office/drawing/2014/main" id="{B7618158-AD63-41C9-98D1-4BAD0232CD23}"/>
            </a:ext>
          </a:extLst>
        </xdr:cNvPr>
        <xdr:cNvCxnSpPr/>
      </xdr:nvCxnSpPr>
      <xdr:spPr>
        <a:xfrm flipV="1">
          <a:off x="10535581" y="96717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58081</xdr:colOff>
      <xdr:row>54</xdr:row>
      <xdr:rowOff>161846</xdr:rowOff>
    </xdr:from>
    <xdr:to>
      <xdr:col>20</xdr:col>
      <xdr:colOff>562028</xdr:colOff>
      <xdr:row>54</xdr:row>
      <xdr:rowOff>163164</xdr:rowOff>
    </xdr:to>
    <xdr:cxnSp macro="">
      <xdr:nvCxnSpPr>
        <xdr:cNvPr id="190" name="Straight Connector 189">
          <a:extLst>
            <a:ext uri="{FF2B5EF4-FFF2-40B4-BE49-F238E27FC236}">
              <a16:creationId xmlns:a16="http://schemas.microsoft.com/office/drawing/2014/main" id="{03F607CF-C6FE-4373-8C78-A38FD6CCB02B}"/>
            </a:ext>
          </a:extLst>
        </xdr:cNvPr>
        <xdr:cNvCxnSpPr/>
      </xdr:nvCxnSpPr>
      <xdr:spPr>
        <a:xfrm flipV="1">
          <a:off x="11754781" y="96741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58081</xdr:colOff>
      <xdr:row>54</xdr:row>
      <xdr:rowOff>159446</xdr:rowOff>
    </xdr:from>
    <xdr:to>
      <xdr:col>20</xdr:col>
      <xdr:colOff>562028</xdr:colOff>
      <xdr:row>54</xdr:row>
      <xdr:rowOff>160764</xdr:rowOff>
    </xdr:to>
    <xdr:cxnSp macro="">
      <xdr:nvCxnSpPr>
        <xdr:cNvPr id="191" name="Straight Connector 190">
          <a:extLst>
            <a:ext uri="{FF2B5EF4-FFF2-40B4-BE49-F238E27FC236}">
              <a16:creationId xmlns:a16="http://schemas.microsoft.com/office/drawing/2014/main" id="{8E5A3FF1-9599-4F5B-8C58-AF48F6A84F9E}"/>
            </a:ext>
          </a:extLst>
        </xdr:cNvPr>
        <xdr:cNvCxnSpPr/>
      </xdr:nvCxnSpPr>
      <xdr:spPr>
        <a:xfrm flipV="1">
          <a:off x="11754781" y="96717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58081</xdr:colOff>
      <xdr:row>55</xdr:row>
      <xdr:rowOff>4246</xdr:rowOff>
    </xdr:from>
    <xdr:to>
      <xdr:col>12</xdr:col>
      <xdr:colOff>562028</xdr:colOff>
      <xdr:row>55</xdr:row>
      <xdr:rowOff>5564</xdr:rowOff>
    </xdr:to>
    <xdr:cxnSp macro="">
      <xdr:nvCxnSpPr>
        <xdr:cNvPr id="192" name="Straight Connector 191">
          <a:extLst>
            <a:ext uri="{FF2B5EF4-FFF2-40B4-BE49-F238E27FC236}">
              <a16:creationId xmlns:a16="http://schemas.microsoft.com/office/drawing/2014/main" id="{0B1981BB-C71F-4F70-BCB1-991140E41FA5}"/>
            </a:ext>
          </a:extLst>
        </xdr:cNvPr>
        <xdr:cNvCxnSpPr/>
      </xdr:nvCxnSpPr>
      <xdr:spPr>
        <a:xfrm flipV="1">
          <a:off x="6877981" y="97006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58081</xdr:colOff>
      <xdr:row>55</xdr:row>
      <xdr:rowOff>4246</xdr:rowOff>
    </xdr:from>
    <xdr:to>
      <xdr:col>14</xdr:col>
      <xdr:colOff>562028</xdr:colOff>
      <xdr:row>55</xdr:row>
      <xdr:rowOff>5564</xdr:rowOff>
    </xdr:to>
    <xdr:cxnSp macro="">
      <xdr:nvCxnSpPr>
        <xdr:cNvPr id="193" name="Straight Connector 192">
          <a:extLst>
            <a:ext uri="{FF2B5EF4-FFF2-40B4-BE49-F238E27FC236}">
              <a16:creationId xmlns:a16="http://schemas.microsoft.com/office/drawing/2014/main" id="{429CC007-0EA3-4866-A206-C43542A40D61}"/>
            </a:ext>
          </a:extLst>
        </xdr:cNvPr>
        <xdr:cNvCxnSpPr/>
      </xdr:nvCxnSpPr>
      <xdr:spPr>
        <a:xfrm flipV="1">
          <a:off x="8097181" y="97006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58081</xdr:colOff>
      <xdr:row>55</xdr:row>
      <xdr:rowOff>4246</xdr:rowOff>
    </xdr:from>
    <xdr:to>
      <xdr:col>16</xdr:col>
      <xdr:colOff>562028</xdr:colOff>
      <xdr:row>55</xdr:row>
      <xdr:rowOff>5564</xdr:rowOff>
    </xdr:to>
    <xdr:cxnSp macro="">
      <xdr:nvCxnSpPr>
        <xdr:cNvPr id="194" name="Straight Connector 193">
          <a:extLst>
            <a:ext uri="{FF2B5EF4-FFF2-40B4-BE49-F238E27FC236}">
              <a16:creationId xmlns:a16="http://schemas.microsoft.com/office/drawing/2014/main" id="{4454A1E5-5C76-4DF2-8257-D9D595DD62DC}"/>
            </a:ext>
          </a:extLst>
        </xdr:cNvPr>
        <xdr:cNvCxnSpPr/>
      </xdr:nvCxnSpPr>
      <xdr:spPr>
        <a:xfrm flipV="1">
          <a:off x="9316381" y="97006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58081</xdr:colOff>
      <xdr:row>55</xdr:row>
      <xdr:rowOff>4246</xdr:rowOff>
    </xdr:from>
    <xdr:to>
      <xdr:col>18</xdr:col>
      <xdr:colOff>562028</xdr:colOff>
      <xdr:row>55</xdr:row>
      <xdr:rowOff>5564</xdr:rowOff>
    </xdr:to>
    <xdr:cxnSp macro="">
      <xdr:nvCxnSpPr>
        <xdr:cNvPr id="195" name="Straight Connector 194">
          <a:extLst>
            <a:ext uri="{FF2B5EF4-FFF2-40B4-BE49-F238E27FC236}">
              <a16:creationId xmlns:a16="http://schemas.microsoft.com/office/drawing/2014/main" id="{A97AC57D-7EFC-40E6-B4B6-C71D7863F48E}"/>
            </a:ext>
          </a:extLst>
        </xdr:cNvPr>
        <xdr:cNvCxnSpPr/>
      </xdr:nvCxnSpPr>
      <xdr:spPr>
        <a:xfrm flipV="1">
          <a:off x="10535581" y="97006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58081</xdr:colOff>
      <xdr:row>55</xdr:row>
      <xdr:rowOff>4246</xdr:rowOff>
    </xdr:from>
    <xdr:to>
      <xdr:col>20</xdr:col>
      <xdr:colOff>562028</xdr:colOff>
      <xdr:row>55</xdr:row>
      <xdr:rowOff>5564</xdr:rowOff>
    </xdr:to>
    <xdr:cxnSp macro="">
      <xdr:nvCxnSpPr>
        <xdr:cNvPr id="196" name="Straight Connector 195">
          <a:extLst>
            <a:ext uri="{FF2B5EF4-FFF2-40B4-BE49-F238E27FC236}">
              <a16:creationId xmlns:a16="http://schemas.microsoft.com/office/drawing/2014/main" id="{6458D68B-2F92-4493-B4D0-6439E65835A0}"/>
            </a:ext>
          </a:extLst>
        </xdr:cNvPr>
        <xdr:cNvCxnSpPr/>
      </xdr:nvCxnSpPr>
      <xdr:spPr>
        <a:xfrm flipV="1">
          <a:off x="11754781" y="97006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69448</xdr:colOff>
      <xdr:row>20</xdr:row>
      <xdr:rowOff>166161</xdr:rowOff>
    </xdr:from>
    <xdr:to>
      <xdr:col>26</xdr:col>
      <xdr:colOff>709528</xdr:colOff>
      <xdr:row>20</xdr:row>
      <xdr:rowOff>166161</xdr:rowOff>
    </xdr:to>
    <xdr:cxnSp macro="">
      <xdr:nvCxnSpPr>
        <xdr:cNvPr id="197" name="Straight Connector 196">
          <a:extLst>
            <a:ext uri="{FF2B5EF4-FFF2-40B4-BE49-F238E27FC236}">
              <a16:creationId xmlns:a16="http://schemas.microsoft.com/office/drawing/2014/main" id="{010D97A5-767C-4BB8-BA2A-4827F53388AD}"/>
            </a:ext>
          </a:extLst>
        </xdr:cNvPr>
        <xdr:cNvCxnSpPr/>
      </xdr:nvCxnSpPr>
      <xdr:spPr>
        <a:xfrm>
          <a:off x="16642948" y="3696761"/>
          <a:ext cx="5765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69448</xdr:colOff>
      <xdr:row>20</xdr:row>
      <xdr:rowOff>166161</xdr:rowOff>
    </xdr:from>
    <xdr:to>
      <xdr:col>26</xdr:col>
      <xdr:colOff>709528</xdr:colOff>
      <xdr:row>20</xdr:row>
      <xdr:rowOff>166161</xdr:rowOff>
    </xdr:to>
    <xdr:cxnSp macro="">
      <xdr:nvCxnSpPr>
        <xdr:cNvPr id="198" name="Straight Connector 197">
          <a:extLst>
            <a:ext uri="{FF2B5EF4-FFF2-40B4-BE49-F238E27FC236}">
              <a16:creationId xmlns:a16="http://schemas.microsoft.com/office/drawing/2014/main" id="{A11B9AB6-633C-40F8-822F-49247471A7B1}"/>
            </a:ext>
          </a:extLst>
        </xdr:cNvPr>
        <xdr:cNvCxnSpPr/>
      </xdr:nvCxnSpPr>
      <xdr:spPr>
        <a:xfrm>
          <a:off x="16642948" y="3696761"/>
          <a:ext cx="5765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71627</xdr:colOff>
      <xdr:row>34</xdr:row>
      <xdr:rowOff>164113</xdr:rowOff>
    </xdr:from>
    <xdr:to>
      <xdr:col>26</xdr:col>
      <xdr:colOff>711707</xdr:colOff>
      <xdr:row>34</xdr:row>
      <xdr:rowOff>164113</xdr:rowOff>
    </xdr:to>
    <xdr:cxnSp macro="">
      <xdr:nvCxnSpPr>
        <xdr:cNvPr id="199" name="Straight Connector 198">
          <a:extLst>
            <a:ext uri="{FF2B5EF4-FFF2-40B4-BE49-F238E27FC236}">
              <a16:creationId xmlns:a16="http://schemas.microsoft.com/office/drawing/2014/main" id="{A7C026F5-E6EE-4D83-A849-5261A158C19B}"/>
            </a:ext>
          </a:extLst>
        </xdr:cNvPr>
        <xdr:cNvCxnSpPr/>
      </xdr:nvCxnSpPr>
      <xdr:spPr>
        <a:xfrm>
          <a:off x="16645127" y="6285513"/>
          <a:ext cx="5765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81638</xdr:colOff>
      <xdr:row>11</xdr:row>
      <xdr:rowOff>169534</xdr:rowOff>
    </xdr:from>
    <xdr:to>
      <xdr:col>20</xdr:col>
      <xdr:colOff>585586</xdr:colOff>
      <xdr:row>11</xdr:row>
      <xdr:rowOff>170691</xdr:rowOff>
    </xdr:to>
    <xdr:cxnSp macro="">
      <xdr:nvCxnSpPr>
        <xdr:cNvPr id="200" name="Straight Connector 199">
          <a:extLst>
            <a:ext uri="{FF2B5EF4-FFF2-40B4-BE49-F238E27FC236}">
              <a16:creationId xmlns:a16="http://schemas.microsoft.com/office/drawing/2014/main" id="{3B8A5F2E-6E87-4B1B-8AE8-E054029A1E0C}"/>
            </a:ext>
          </a:extLst>
        </xdr:cNvPr>
        <xdr:cNvCxnSpPr/>
      </xdr:nvCxnSpPr>
      <xdr:spPr>
        <a:xfrm flipV="1">
          <a:off x="11778338" y="216978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74332</xdr:colOff>
      <xdr:row>64</xdr:row>
      <xdr:rowOff>159393</xdr:rowOff>
    </xdr:from>
    <xdr:to>
      <xdr:col>25</xdr:col>
      <xdr:colOff>714412</xdr:colOff>
      <xdr:row>64</xdr:row>
      <xdr:rowOff>159393</xdr:rowOff>
    </xdr:to>
    <xdr:cxnSp macro="">
      <xdr:nvCxnSpPr>
        <xdr:cNvPr id="201" name="Straight Connector 200">
          <a:extLst>
            <a:ext uri="{FF2B5EF4-FFF2-40B4-BE49-F238E27FC236}">
              <a16:creationId xmlns:a16="http://schemas.microsoft.com/office/drawing/2014/main" id="{DF53DC5C-6C79-4D03-9EAB-2B14BBC5E31E}"/>
            </a:ext>
          </a:extLst>
        </xdr:cNvPr>
        <xdr:cNvCxnSpPr/>
      </xdr:nvCxnSpPr>
      <xdr:spPr>
        <a:xfrm>
          <a:off x="15885832" y="11392543"/>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77421</xdr:colOff>
      <xdr:row>11</xdr:row>
      <xdr:rowOff>169534</xdr:rowOff>
    </xdr:from>
    <xdr:to>
      <xdr:col>16</xdr:col>
      <xdr:colOff>581369</xdr:colOff>
      <xdr:row>11</xdr:row>
      <xdr:rowOff>170691</xdr:rowOff>
    </xdr:to>
    <xdr:cxnSp macro="">
      <xdr:nvCxnSpPr>
        <xdr:cNvPr id="202" name="Straight Connector 201">
          <a:extLst>
            <a:ext uri="{FF2B5EF4-FFF2-40B4-BE49-F238E27FC236}">
              <a16:creationId xmlns:a16="http://schemas.microsoft.com/office/drawing/2014/main" id="{B4E79C61-8634-4EAC-9ED7-F8F13F2B52B1}"/>
            </a:ext>
          </a:extLst>
        </xdr:cNvPr>
        <xdr:cNvCxnSpPr/>
      </xdr:nvCxnSpPr>
      <xdr:spPr>
        <a:xfrm flipV="1">
          <a:off x="9335721" y="216978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81638</xdr:colOff>
      <xdr:row>11</xdr:row>
      <xdr:rowOff>169534</xdr:rowOff>
    </xdr:from>
    <xdr:to>
      <xdr:col>18</xdr:col>
      <xdr:colOff>585586</xdr:colOff>
      <xdr:row>11</xdr:row>
      <xdr:rowOff>170691</xdr:rowOff>
    </xdr:to>
    <xdr:cxnSp macro="">
      <xdr:nvCxnSpPr>
        <xdr:cNvPr id="203" name="Straight Connector 202">
          <a:extLst>
            <a:ext uri="{FF2B5EF4-FFF2-40B4-BE49-F238E27FC236}">
              <a16:creationId xmlns:a16="http://schemas.microsoft.com/office/drawing/2014/main" id="{52214C48-E83D-4EA1-AD07-AF35BF9378EF}"/>
            </a:ext>
          </a:extLst>
        </xdr:cNvPr>
        <xdr:cNvCxnSpPr/>
      </xdr:nvCxnSpPr>
      <xdr:spPr>
        <a:xfrm flipV="1">
          <a:off x="10559138" y="216978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58081</xdr:colOff>
      <xdr:row>54</xdr:row>
      <xdr:rowOff>161846</xdr:rowOff>
    </xdr:from>
    <xdr:to>
      <xdr:col>12</xdr:col>
      <xdr:colOff>562028</xdr:colOff>
      <xdr:row>54</xdr:row>
      <xdr:rowOff>163164</xdr:rowOff>
    </xdr:to>
    <xdr:cxnSp macro="">
      <xdr:nvCxnSpPr>
        <xdr:cNvPr id="204" name="Straight Connector 203">
          <a:extLst>
            <a:ext uri="{FF2B5EF4-FFF2-40B4-BE49-F238E27FC236}">
              <a16:creationId xmlns:a16="http://schemas.microsoft.com/office/drawing/2014/main" id="{E75A790E-2C58-4ADF-B18D-525C5F695016}"/>
            </a:ext>
          </a:extLst>
        </xdr:cNvPr>
        <xdr:cNvCxnSpPr/>
      </xdr:nvCxnSpPr>
      <xdr:spPr>
        <a:xfrm flipV="1">
          <a:off x="6877981" y="96741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58081</xdr:colOff>
      <xdr:row>54</xdr:row>
      <xdr:rowOff>161846</xdr:rowOff>
    </xdr:from>
    <xdr:to>
      <xdr:col>14</xdr:col>
      <xdr:colOff>562028</xdr:colOff>
      <xdr:row>54</xdr:row>
      <xdr:rowOff>163164</xdr:rowOff>
    </xdr:to>
    <xdr:cxnSp macro="">
      <xdr:nvCxnSpPr>
        <xdr:cNvPr id="205" name="Straight Connector 204">
          <a:extLst>
            <a:ext uri="{FF2B5EF4-FFF2-40B4-BE49-F238E27FC236}">
              <a16:creationId xmlns:a16="http://schemas.microsoft.com/office/drawing/2014/main" id="{CDCE6C49-C3F6-4419-87B1-2A4CC8225D91}"/>
            </a:ext>
          </a:extLst>
        </xdr:cNvPr>
        <xdr:cNvCxnSpPr/>
      </xdr:nvCxnSpPr>
      <xdr:spPr>
        <a:xfrm flipV="1">
          <a:off x="8097181" y="96741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58081</xdr:colOff>
      <xdr:row>54</xdr:row>
      <xdr:rowOff>161846</xdr:rowOff>
    </xdr:from>
    <xdr:to>
      <xdr:col>16</xdr:col>
      <xdr:colOff>562028</xdr:colOff>
      <xdr:row>54</xdr:row>
      <xdr:rowOff>163164</xdr:rowOff>
    </xdr:to>
    <xdr:cxnSp macro="">
      <xdr:nvCxnSpPr>
        <xdr:cNvPr id="206" name="Straight Connector 205">
          <a:extLst>
            <a:ext uri="{FF2B5EF4-FFF2-40B4-BE49-F238E27FC236}">
              <a16:creationId xmlns:a16="http://schemas.microsoft.com/office/drawing/2014/main" id="{5C603247-C5D0-488D-8CDD-01EEFF088095}"/>
            </a:ext>
          </a:extLst>
        </xdr:cNvPr>
        <xdr:cNvCxnSpPr/>
      </xdr:nvCxnSpPr>
      <xdr:spPr>
        <a:xfrm flipV="1">
          <a:off x="9316381" y="96741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58081</xdr:colOff>
      <xdr:row>54</xdr:row>
      <xdr:rowOff>161846</xdr:rowOff>
    </xdr:from>
    <xdr:to>
      <xdr:col>18</xdr:col>
      <xdr:colOff>562028</xdr:colOff>
      <xdr:row>54</xdr:row>
      <xdr:rowOff>163164</xdr:rowOff>
    </xdr:to>
    <xdr:cxnSp macro="">
      <xdr:nvCxnSpPr>
        <xdr:cNvPr id="207" name="Straight Connector 206">
          <a:extLst>
            <a:ext uri="{FF2B5EF4-FFF2-40B4-BE49-F238E27FC236}">
              <a16:creationId xmlns:a16="http://schemas.microsoft.com/office/drawing/2014/main" id="{AE106EDC-4335-4F36-BE15-6E1DB4D8C29D}"/>
            </a:ext>
          </a:extLst>
        </xdr:cNvPr>
        <xdr:cNvCxnSpPr/>
      </xdr:nvCxnSpPr>
      <xdr:spPr>
        <a:xfrm flipV="1">
          <a:off x="10535581" y="96741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58081</xdr:colOff>
      <xdr:row>54</xdr:row>
      <xdr:rowOff>161846</xdr:rowOff>
    </xdr:from>
    <xdr:to>
      <xdr:col>20</xdr:col>
      <xdr:colOff>562028</xdr:colOff>
      <xdr:row>54</xdr:row>
      <xdr:rowOff>163164</xdr:rowOff>
    </xdr:to>
    <xdr:cxnSp macro="">
      <xdr:nvCxnSpPr>
        <xdr:cNvPr id="208" name="Straight Connector 207">
          <a:extLst>
            <a:ext uri="{FF2B5EF4-FFF2-40B4-BE49-F238E27FC236}">
              <a16:creationId xmlns:a16="http://schemas.microsoft.com/office/drawing/2014/main" id="{E2CF697B-8440-4A6B-9EB9-0BE915D87704}"/>
            </a:ext>
          </a:extLst>
        </xdr:cNvPr>
        <xdr:cNvCxnSpPr/>
      </xdr:nvCxnSpPr>
      <xdr:spPr>
        <a:xfrm flipV="1">
          <a:off x="11754781" y="96741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4</xdr:col>
      <xdr:colOff>55843</xdr:colOff>
      <xdr:row>26</xdr:row>
      <xdr:rowOff>139492</xdr:rowOff>
    </xdr:from>
    <xdr:to>
      <xdr:col>4</xdr:col>
      <xdr:colOff>541946</xdr:colOff>
      <xdr:row>26</xdr:row>
      <xdr:rowOff>139492</xdr:rowOff>
    </xdr:to>
    <xdr:cxnSp macro="">
      <xdr:nvCxnSpPr>
        <xdr:cNvPr id="2" name="Straight Connector 1">
          <a:extLst>
            <a:ext uri="{FF2B5EF4-FFF2-40B4-BE49-F238E27FC236}">
              <a16:creationId xmlns:a16="http://schemas.microsoft.com/office/drawing/2014/main" id="{324871B2-0755-4CC2-A2D7-6441F464C287}"/>
            </a:ext>
          </a:extLst>
        </xdr:cNvPr>
        <xdr:cNvCxnSpPr/>
      </xdr:nvCxnSpPr>
      <xdr:spPr>
        <a:xfrm>
          <a:off x="2678393" y="4774992"/>
          <a:ext cx="486103"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55843</xdr:colOff>
      <xdr:row>32</xdr:row>
      <xdr:rowOff>169413</xdr:rowOff>
    </xdr:from>
    <xdr:to>
      <xdr:col>4</xdr:col>
      <xdr:colOff>541946</xdr:colOff>
      <xdr:row>32</xdr:row>
      <xdr:rowOff>169413</xdr:rowOff>
    </xdr:to>
    <xdr:cxnSp macro="">
      <xdr:nvCxnSpPr>
        <xdr:cNvPr id="3" name="Straight Connector 2">
          <a:extLst>
            <a:ext uri="{FF2B5EF4-FFF2-40B4-BE49-F238E27FC236}">
              <a16:creationId xmlns:a16="http://schemas.microsoft.com/office/drawing/2014/main" id="{A6196AC9-963B-431F-971C-90C1E1E27A85}"/>
            </a:ext>
          </a:extLst>
        </xdr:cNvPr>
        <xdr:cNvCxnSpPr/>
      </xdr:nvCxnSpPr>
      <xdr:spPr>
        <a:xfrm>
          <a:off x="2678393" y="5922513"/>
          <a:ext cx="486103"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55843</xdr:colOff>
      <xdr:row>33</xdr:row>
      <xdr:rowOff>167269</xdr:rowOff>
    </xdr:from>
    <xdr:to>
      <xdr:col>4</xdr:col>
      <xdr:colOff>541946</xdr:colOff>
      <xdr:row>33</xdr:row>
      <xdr:rowOff>167269</xdr:rowOff>
    </xdr:to>
    <xdr:cxnSp macro="">
      <xdr:nvCxnSpPr>
        <xdr:cNvPr id="4" name="Straight Connector 3">
          <a:extLst>
            <a:ext uri="{FF2B5EF4-FFF2-40B4-BE49-F238E27FC236}">
              <a16:creationId xmlns:a16="http://schemas.microsoft.com/office/drawing/2014/main" id="{EE2468BA-7168-44DD-8E7E-58BFF4714F92}"/>
            </a:ext>
          </a:extLst>
        </xdr:cNvPr>
        <xdr:cNvCxnSpPr/>
      </xdr:nvCxnSpPr>
      <xdr:spPr>
        <a:xfrm>
          <a:off x="2678393" y="6104519"/>
          <a:ext cx="486103"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25099</xdr:colOff>
      <xdr:row>38</xdr:row>
      <xdr:rowOff>175830</xdr:rowOff>
    </xdr:from>
    <xdr:to>
      <xdr:col>2</xdr:col>
      <xdr:colOff>665179</xdr:colOff>
      <xdr:row>38</xdr:row>
      <xdr:rowOff>175830</xdr:rowOff>
    </xdr:to>
    <xdr:cxnSp macro="">
      <xdr:nvCxnSpPr>
        <xdr:cNvPr id="5" name="Straight Connector 4">
          <a:extLst>
            <a:ext uri="{FF2B5EF4-FFF2-40B4-BE49-F238E27FC236}">
              <a16:creationId xmlns:a16="http://schemas.microsoft.com/office/drawing/2014/main" id="{7CE5F7F9-E947-40EF-8543-E7B8FCC292D6}"/>
            </a:ext>
          </a:extLst>
        </xdr:cNvPr>
        <xdr:cNvCxnSpPr/>
      </xdr:nvCxnSpPr>
      <xdr:spPr>
        <a:xfrm>
          <a:off x="1244299" y="6894130"/>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26112</xdr:colOff>
      <xdr:row>38</xdr:row>
      <xdr:rowOff>170983</xdr:rowOff>
    </xdr:from>
    <xdr:to>
      <xdr:col>3</xdr:col>
      <xdr:colOff>593040</xdr:colOff>
      <xdr:row>38</xdr:row>
      <xdr:rowOff>170983</xdr:rowOff>
    </xdr:to>
    <xdr:cxnSp macro="">
      <xdr:nvCxnSpPr>
        <xdr:cNvPr id="6" name="Straight Connector 5">
          <a:extLst>
            <a:ext uri="{FF2B5EF4-FFF2-40B4-BE49-F238E27FC236}">
              <a16:creationId xmlns:a16="http://schemas.microsoft.com/office/drawing/2014/main" id="{DDC44253-CFC3-4356-A491-0E7B4E7A486D}"/>
            </a:ext>
          </a:extLst>
        </xdr:cNvPr>
        <xdr:cNvCxnSpPr/>
      </xdr:nvCxnSpPr>
      <xdr:spPr>
        <a:xfrm>
          <a:off x="1975562" y="6889283"/>
          <a:ext cx="566928"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22202</xdr:colOff>
      <xdr:row>38</xdr:row>
      <xdr:rowOff>170983</xdr:rowOff>
    </xdr:from>
    <xdr:to>
      <xdr:col>4</xdr:col>
      <xdr:colOff>589130</xdr:colOff>
      <xdr:row>38</xdr:row>
      <xdr:rowOff>170983</xdr:rowOff>
    </xdr:to>
    <xdr:cxnSp macro="">
      <xdr:nvCxnSpPr>
        <xdr:cNvPr id="7" name="Straight Connector 6">
          <a:extLst>
            <a:ext uri="{FF2B5EF4-FFF2-40B4-BE49-F238E27FC236}">
              <a16:creationId xmlns:a16="http://schemas.microsoft.com/office/drawing/2014/main" id="{6C999EA5-DBE1-4778-91A8-A9833DA9CF5A}"/>
            </a:ext>
          </a:extLst>
        </xdr:cNvPr>
        <xdr:cNvCxnSpPr/>
      </xdr:nvCxnSpPr>
      <xdr:spPr>
        <a:xfrm>
          <a:off x="2644752" y="6889283"/>
          <a:ext cx="516128"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30719</xdr:colOff>
      <xdr:row>65</xdr:row>
      <xdr:rowOff>145082</xdr:rowOff>
    </xdr:from>
    <xdr:to>
      <xdr:col>2</xdr:col>
      <xdr:colOff>670799</xdr:colOff>
      <xdr:row>65</xdr:row>
      <xdr:rowOff>145082</xdr:rowOff>
    </xdr:to>
    <xdr:cxnSp macro="">
      <xdr:nvCxnSpPr>
        <xdr:cNvPr id="8" name="Straight Connector 7">
          <a:extLst>
            <a:ext uri="{FF2B5EF4-FFF2-40B4-BE49-F238E27FC236}">
              <a16:creationId xmlns:a16="http://schemas.microsoft.com/office/drawing/2014/main" id="{F880B9C1-5AFD-484D-B6EB-2A427A460537}"/>
            </a:ext>
          </a:extLst>
        </xdr:cNvPr>
        <xdr:cNvCxnSpPr/>
      </xdr:nvCxnSpPr>
      <xdr:spPr>
        <a:xfrm>
          <a:off x="1249919" y="11562382"/>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26112</xdr:colOff>
      <xdr:row>65</xdr:row>
      <xdr:rowOff>145082</xdr:rowOff>
    </xdr:from>
    <xdr:to>
      <xdr:col>3</xdr:col>
      <xdr:colOff>593040</xdr:colOff>
      <xdr:row>65</xdr:row>
      <xdr:rowOff>145082</xdr:rowOff>
    </xdr:to>
    <xdr:cxnSp macro="">
      <xdr:nvCxnSpPr>
        <xdr:cNvPr id="9" name="Straight Connector 8">
          <a:extLst>
            <a:ext uri="{FF2B5EF4-FFF2-40B4-BE49-F238E27FC236}">
              <a16:creationId xmlns:a16="http://schemas.microsoft.com/office/drawing/2014/main" id="{DFC6EDE9-443C-43B6-AAEF-5F8D9846E7C6}"/>
            </a:ext>
          </a:extLst>
        </xdr:cNvPr>
        <xdr:cNvCxnSpPr/>
      </xdr:nvCxnSpPr>
      <xdr:spPr>
        <a:xfrm>
          <a:off x="1975562" y="11562382"/>
          <a:ext cx="566928"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22202</xdr:colOff>
      <xdr:row>65</xdr:row>
      <xdr:rowOff>145082</xdr:rowOff>
    </xdr:from>
    <xdr:to>
      <xdr:col>4</xdr:col>
      <xdr:colOff>589130</xdr:colOff>
      <xdr:row>65</xdr:row>
      <xdr:rowOff>145082</xdr:rowOff>
    </xdr:to>
    <xdr:cxnSp macro="">
      <xdr:nvCxnSpPr>
        <xdr:cNvPr id="10" name="Straight Connector 9">
          <a:extLst>
            <a:ext uri="{FF2B5EF4-FFF2-40B4-BE49-F238E27FC236}">
              <a16:creationId xmlns:a16="http://schemas.microsoft.com/office/drawing/2014/main" id="{C9388F2A-90BE-4927-B09F-91D24BA37DB8}"/>
            </a:ext>
          </a:extLst>
        </xdr:cNvPr>
        <xdr:cNvCxnSpPr/>
      </xdr:nvCxnSpPr>
      <xdr:spPr>
        <a:xfrm>
          <a:off x="2644752" y="11562382"/>
          <a:ext cx="516128"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81981</xdr:colOff>
      <xdr:row>11</xdr:row>
      <xdr:rowOff>169534</xdr:rowOff>
    </xdr:from>
    <xdr:to>
      <xdr:col>10</xdr:col>
      <xdr:colOff>585928</xdr:colOff>
      <xdr:row>11</xdr:row>
      <xdr:rowOff>170691</xdr:rowOff>
    </xdr:to>
    <xdr:cxnSp macro="">
      <xdr:nvCxnSpPr>
        <xdr:cNvPr id="11" name="Straight Connector 10">
          <a:extLst>
            <a:ext uri="{FF2B5EF4-FFF2-40B4-BE49-F238E27FC236}">
              <a16:creationId xmlns:a16="http://schemas.microsoft.com/office/drawing/2014/main" id="{6B5E82D4-2F15-4FFD-9E69-DABC44266C4A}"/>
            </a:ext>
          </a:extLst>
        </xdr:cNvPr>
        <xdr:cNvCxnSpPr/>
      </xdr:nvCxnSpPr>
      <xdr:spPr>
        <a:xfrm flipV="1">
          <a:off x="5682681" y="2169784"/>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84473</xdr:colOff>
      <xdr:row>11</xdr:row>
      <xdr:rowOff>169534</xdr:rowOff>
    </xdr:from>
    <xdr:to>
      <xdr:col>12</xdr:col>
      <xdr:colOff>588420</xdr:colOff>
      <xdr:row>11</xdr:row>
      <xdr:rowOff>170691</xdr:rowOff>
    </xdr:to>
    <xdr:cxnSp macro="">
      <xdr:nvCxnSpPr>
        <xdr:cNvPr id="12" name="Straight Connector 11">
          <a:extLst>
            <a:ext uri="{FF2B5EF4-FFF2-40B4-BE49-F238E27FC236}">
              <a16:creationId xmlns:a16="http://schemas.microsoft.com/office/drawing/2014/main" id="{E8663C7D-6A27-457B-9FFB-DB453FACF590}"/>
            </a:ext>
          </a:extLst>
        </xdr:cNvPr>
        <xdr:cNvCxnSpPr/>
      </xdr:nvCxnSpPr>
      <xdr:spPr>
        <a:xfrm flipV="1">
          <a:off x="6904373" y="2169784"/>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82797</xdr:colOff>
      <xdr:row>11</xdr:row>
      <xdr:rowOff>169534</xdr:rowOff>
    </xdr:from>
    <xdr:to>
      <xdr:col>14</xdr:col>
      <xdr:colOff>586744</xdr:colOff>
      <xdr:row>11</xdr:row>
      <xdr:rowOff>170691</xdr:rowOff>
    </xdr:to>
    <xdr:cxnSp macro="">
      <xdr:nvCxnSpPr>
        <xdr:cNvPr id="13" name="Straight Connector 12">
          <a:extLst>
            <a:ext uri="{FF2B5EF4-FFF2-40B4-BE49-F238E27FC236}">
              <a16:creationId xmlns:a16="http://schemas.microsoft.com/office/drawing/2014/main" id="{D8E2B974-38B8-4FBD-84AF-1F9EFAFACDF7}"/>
            </a:ext>
          </a:extLst>
        </xdr:cNvPr>
        <xdr:cNvCxnSpPr/>
      </xdr:nvCxnSpPr>
      <xdr:spPr>
        <a:xfrm flipV="1">
          <a:off x="8121897" y="2169784"/>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77421</xdr:colOff>
      <xdr:row>11</xdr:row>
      <xdr:rowOff>169534</xdr:rowOff>
    </xdr:from>
    <xdr:to>
      <xdr:col>16</xdr:col>
      <xdr:colOff>581369</xdr:colOff>
      <xdr:row>11</xdr:row>
      <xdr:rowOff>170691</xdr:rowOff>
    </xdr:to>
    <xdr:cxnSp macro="">
      <xdr:nvCxnSpPr>
        <xdr:cNvPr id="14" name="Straight Connector 13">
          <a:extLst>
            <a:ext uri="{FF2B5EF4-FFF2-40B4-BE49-F238E27FC236}">
              <a16:creationId xmlns:a16="http://schemas.microsoft.com/office/drawing/2014/main" id="{BE2CA438-84FD-4358-80EE-D72FAF9CBED8}"/>
            </a:ext>
          </a:extLst>
        </xdr:cNvPr>
        <xdr:cNvCxnSpPr/>
      </xdr:nvCxnSpPr>
      <xdr:spPr>
        <a:xfrm flipV="1">
          <a:off x="9335721" y="216978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81638</xdr:colOff>
      <xdr:row>11</xdr:row>
      <xdr:rowOff>169534</xdr:rowOff>
    </xdr:from>
    <xdr:to>
      <xdr:col>18</xdr:col>
      <xdr:colOff>585586</xdr:colOff>
      <xdr:row>11</xdr:row>
      <xdr:rowOff>170691</xdr:rowOff>
    </xdr:to>
    <xdr:cxnSp macro="">
      <xdr:nvCxnSpPr>
        <xdr:cNvPr id="15" name="Straight Connector 14">
          <a:extLst>
            <a:ext uri="{FF2B5EF4-FFF2-40B4-BE49-F238E27FC236}">
              <a16:creationId xmlns:a16="http://schemas.microsoft.com/office/drawing/2014/main" id="{E55858A5-ACE5-49FF-B9FA-8810DBF4A64E}"/>
            </a:ext>
          </a:extLst>
        </xdr:cNvPr>
        <xdr:cNvCxnSpPr/>
      </xdr:nvCxnSpPr>
      <xdr:spPr>
        <a:xfrm flipV="1">
          <a:off x="10559138" y="216978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81505</xdr:colOff>
      <xdr:row>11</xdr:row>
      <xdr:rowOff>169534</xdr:rowOff>
    </xdr:from>
    <xdr:to>
      <xdr:col>20</xdr:col>
      <xdr:colOff>585453</xdr:colOff>
      <xdr:row>11</xdr:row>
      <xdr:rowOff>170691</xdr:rowOff>
    </xdr:to>
    <xdr:cxnSp macro="">
      <xdr:nvCxnSpPr>
        <xdr:cNvPr id="16" name="Straight Connector 15">
          <a:extLst>
            <a:ext uri="{FF2B5EF4-FFF2-40B4-BE49-F238E27FC236}">
              <a16:creationId xmlns:a16="http://schemas.microsoft.com/office/drawing/2014/main" id="{D8AAC99D-F115-4926-B1B1-3CC29C1C1494}"/>
            </a:ext>
          </a:extLst>
        </xdr:cNvPr>
        <xdr:cNvCxnSpPr/>
      </xdr:nvCxnSpPr>
      <xdr:spPr>
        <a:xfrm flipV="1">
          <a:off x="11778205" y="216978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81981</xdr:colOff>
      <xdr:row>13</xdr:row>
      <xdr:rowOff>154837</xdr:rowOff>
    </xdr:from>
    <xdr:to>
      <xdr:col>10</xdr:col>
      <xdr:colOff>585928</xdr:colOff>
      <xdr:row>13</xdr:row>
      <xdr:rowOff>155994</xdr:rowOff>
    </xdr:to>
    <xdr:cxnSp macro="">
      <xdr:nvCxnSpPr>
        <xdr:cNvPr id="17" name="Straight Connector 16">
          <a:extLst>
            <a:ext uri="{FF2B5EF4-FFF2-40B4-BE49-F238E27FC236}">
              <a16:creationId xmlns:a16="http://schemas.microsoft.com/office/drawing/2014/main" id="{2E47382D-5981-4894-8541-D941973916A7}"/>
            </a:ext>
          </a:extLst>
        </xdr:cNvPr>
        <xdr:cNvCxnSpPr/>
      </xdr:nvCxnSpPr>
      <xdr:spPr>
        <a:xfrm flipV="1">
          <a:off x="5682681" y="252973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84473</xdr:colOff>
      <xdr:row>13</xdr:row>
      <xdr:rowOff>154837</xdr:rowOff>
    </xdr:from>
    <xdr:to>
      <xdr:col>12</xdr:col>
      <xdr:colOff>588420</xdr:colOff>
      <xdr:row>13</xdr:row>
      <xdr:rowOff>155994</xdr:rowOff>
    </xdr:to>
    <xdr:cxnSp macro="">
      <xdr:nvCxnSpPr>
        <xdr:cNvPr id="18" name="Straight Connector 17">
          <a:extLst>
            <a:ext uri="{FF2B5EF4-FFF2-40B4-BE49-F238E27FC236}">
              <a16:creationId xmlns:a16="http://schemas.microsoft.com/office/drawing/2014/main" id="{807C83A6-4344-4DB2-9C98-F624CB35AD09}"/>
            </a:ext>
          </a:extLst>
        </xdr:cNvPr>
        <xdr:cNvCxnSpPr/>
      </xdr:nvCxnSpPr>
      <xdr:spPr>
        <a:xfrm flipV="1">
          <a:off x="6904373" y="252973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82797</xdr:colOff>
      <xdr:row>13</xdr:row>
      <xdr:rowOff>154837</xdr:rowOff>
    </xdr:from>
    <xdr:to>
      <xdr:col>14</xdr:col>
      <xdr:colOff>586744</xdr:colOff>
      <xdr:row>13</xdr:row>
      <xdr:rowOff>155994</xdr:rowOff>
    </xdr:to>
    <xdr:cxnSp macro="">
      <xdr:nvCxnSpPr>
        <xdr:cNvPr id="19" name="Straight Connector 18">
          <a:extLst>
            <a:ext uri="{FF2B5EF4-FFF2-40B4-BE49-F238E27FC236}">
              <a16:creationId xmlns:a16="http://schemas.microsoft.com/office/drawing/2014/main" id="{6928A84D-46A2-4BDF-8942-9A1243767F8B}"/>
            </a:ext>
          </a:extLst>
        </xdr:cNvPr>
        <xdr:cNvCxnSpPr/>
      </xdr:nvCxnSpPr>
      <xdr:spPr>
        <a:xfrm flipV="1">
          <a:off x="8121897" y="252973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92541</xdr:colOff>
      <xdr:row>13</xdr:row>
      <xdr:rowOff>154837</xdr:rowOff>
    </xdr:from>
    <xdr:to>
      <xdr:col>16</xdr:col>
      <xdr:colOff>596489</xdr:colOff>
      <xdr:row>13</xdr:row>
      <xdr:rowOff>155994</xdr:rowOff>
    </xdr:to>
    <xdr:cxnSp macro="">
      <xdr:nvCxnSpPr>
        <xdr:cNvPr id="20" name="Straight Connector 19">
          <a:extLst>
            <a:ext uri="{FF2B5EF4-FFF2-40B4-BE49-F238E27FC236}">
              <a16:creationId xmlns:a16="http://schemas.microsoft.com/office/drawing/2014/main" id="{D74A4708-6468-46F5-85DC-AF31F5E03F9A}"/>
            </a:ext>
          </a:extLst>
        </xdr:cNvPr>
        <xdr:cNvCxnSpPr/>
      </xdr:nvCxnSpPr>
      <xdr:spPr>
        <a:xfrm flipV="1">
          <a:off x="9350841" y="2529737"/>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81638</xdr:colOff>
      <xdr:row>13</xdr:row>
      <xdr:rowOff>154837</xdr:rowOff>
    </xdr:from>
    <xdr:to>
      <xdr:col>18</xdr:col>
      <xdr:colOff>585586</xdr:colOff>
      <xdr:row>13</xdr:row>
      <xdr:rowOff>155994</xdr:rowOff>
    </xdr:to>
    <xdr:cxnSp macro="">
      <xdr:nvCxnSpPr>
        <xdr:cNvPr id="21" name="Straight Connector 20">
          <a:extLst>
            <a:ext uri="{FF2B5EF4-FFF2-40B4-BE49-F238E27FC236}">
              <a16:creationId xmlns:a16="http://schemas.microsoft.com/office/drawing/2014/main" id="{50640E5E-B1CC-4C20-B032-BFC042810A87}"/>
            </a:ext>
          </a:extLst>
        </xdr:cNvPr>
        <xdr:cNvCxnSpPr/>
      </xdr:nvCxnSpPr>
      <xdr:spPr>
        <a:xfrm flipV="1">
          <a:off x="10559138" y="2529737"/>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81505</xdr:colOff>
      <xdr:row>13</xdr:row>
      <xdr:rowOff>154837</xdr:rowOff>
    </xdr:from>
    <xdr:to>
      <xdr:col>20</xdr:col>
      <xdr:colOff>585453</xdr:colOff>
      <xdr:row>13</xdr:row>
      <xdr:rowOff>155994</xdr:rowOff>
    </xdr:to>
    <xdr:cxnSp macro="">
      <xdr:nvCxnSpPr>
        <xdr:cNvPr id="22" name="Straight Connector 21">
          <a:extLst>
            <a:ext uri="{FF2B5EF4-FFF2-40B4-BE49-F238E27FC236}">
              <a16:creationId xmlns:a16="http://schemas.microsoft.com/office/drawing/2014/main" id="{81835C51-36DA-4DF4-80C1-192278CED41F}"/>
            </a:ext>
          </a:extLst>
        </xdr:cNvPr>
        <xdr:cNvCxnSpPr/>
      </xdr:nvCxnSpPr>
      <xdr:spPr>
        <a:xfrm flipV="1">
          <a:off x="11778205" y="2529737"/>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81981</xdr:colOff>
      <xdr:row>16</xdr:row>
      <xdr:rowOff>158334</xdr:rowOff>
    </xdr:from>
    <xdr:to>
      <xdr:col>10</xdr:col>
      <xdr:colOff>585928</xdr:colOff>
      <xdr:row>16</xdr:row>
      <xdr:rowOff>159491</xdr:rowOff>
    </xdr:to>
    <xdr:cxnSp macro="">
      <xdr:nvCxnSpPr>
        <xdr:cNvPr id="23" name="Straight Connector 22">
          <a:extLst>
            <a:ext uri="{FF2B5EF4-FFF2-40B4-BE49-F238E27FC236}">
              <a16:creationId xmlns:a16="http://schemas.microsoft.com/office/drawing/2014/main" id="{1BE2381D-E8D5-4B7D-97E8-1C08A3A633A0}"/>
            </a:ext>
          </a:extLst>
        </xdr:cNvPr>
        <xdr:cNvCxnSpPr/>
      </xdr:nvCxnSpPr>
      <xdr:spPr>
        <a:xfrm flipV="1">
          <a:off x="5682681" y="3085684"/>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84473</xdr:colOff>
      <xdr:row>16</xdr:row>
      <xdr:rowOff>158334</xdr:rowOff>
    </xdr:from>
    <xdr:to>
      <xdr:col>12</xdr:col>
      <xdr:colOff>588420</xdr:colOff>
      <xdr:row>16</xdr:row>
      <xdr:rowOff>159491</xdr:rowOff>
    </xdr:to>
    <xdr:cxnSp macro="">
      <xdr:nvCxnSpPr>
        <xdr:cNvPr id="24" name="Straight Connector 23">
          <a:extLst>
            <a:ext uri="{FF2B5EF4-FFF2-40B4-BE49-F238E27FC236}">
              <a16:creationId xmlns:a16="http://schemas.microsoft.com/office/drawing/2014/main" id="{15ABD690-F647-4BCC-8060-78E52E11227D}"/>
            </a:ext>
          </a:extLst>
        </xdr:cNvPr>
        <xdr:cNvCxnSpPr/>
      </xdr:nvCxnSpPr>
      <xdr:spPr>
        <a:xfrm flipV="1">
          <a:off x="6904373" y="3085684"/>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82797</xdr:colOff>
      <xdr:row>16</xdr:row>
      <xdr:rowOff>158334</xdr:rowOff>
    </xdr:from>
    <xdr:to>
      <xdr:col>14</xdr:col>
      <xdr:colOff>586744</xdr:colOff>
      <xdr:row>16</xdr:row>
      <xdr:rowOff>159491</xdr:rowOff>
    </xdr:to>
    <xdr:cxnSp macro="">
      <xdr:nvCxnSpPr>
        <xdr:cNvPr id="25" name="Straight Connector 24">
          <a:extLst>
            <a:ext uri="{FF2B5EF4-FFF2-40B4-BE49-F238E27FC236}">
              <a16:creationId xmlns:a16="http://schemas.microsoft.com/office/drawing/2014/main" id="{C931ADE4-49B1-4056-89EA-21C56D450006}"/>
            </a:ext>
          </a:extLst>
        </xdr:cNvPr>
        <xdr:cNvCxnSpPr/>
      </xdr:nvCxnSpPr>
      <xdr:spPr>
        <a:xfrm flipV="1">
          <a:off x="8121897" y="3085684"/>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75886</xdr:colOff>
      <xdr:row>16</xdr:row>
      <xdr:rowOff>158334</xdr:rowOff>
    </xdr:from>
    <xdr:to>
      <xdr:col>16</xdr:col>
      <xdr:colOff>579834</xdr:colOff>
      <xdr:row>16</xdr:row>
      <xdr:rowOff>159491</xdr:rowOff>
    </xdr:to>
    <xdr:cxnSp macro="">
      <xdr:nvCxnSpPr>
        <xdr:cNvPr id="26" name="Straight Connector 25">
          <a:extLst>
            <a:ext uri="{FF2B5EF4-FFF2-40B4-BE49-F238E27FC236}">
              <a16:creationId xmlns:a16="http://schemas.microsoft.com/office/drawing/2014/main" id="{F08E9AB4-398B-49D8-BA09-D2E0694323C5}"/>
            </a:ext>
          </a:extLst>
        </xdr:cNvPr>
        <xdr:cNvCxnSpPr/>
      </xdr:nvCxnSpPr>
      <xdr:spPr>
        <a:xfrm flipV="1">
          <a:off x="9334186" y="308568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81638</xdr:colOff>
      <xdr:row>16</xdr:row>
      <xdr:rowOff>158334</xdr:rowOff>
    </xdr:from>
    <xdr:to>
      <xdr:col>18</xdr:col>
      <xdr:colOff>585586</xdr:colOff>
      <xdr:row>16</xdr:row>
      <xdr:rowOff>159491</xdr:rowOff>
    </xdr:to>
    <xdr:cxnSp macro="">
      <xdr:nvCxnSpPr>
        <xdr:cNvPr id="27" name="Straight Connector 26">
          <a:extLst>
            <a:ext uri="{FF2B5EF4-FFF2-40B4-BE49-F238E27FC236}">
              <a16:creationId xmlns:a16="http://schemas.microsoft.com/office/drawing/2014/main" id="{B9DC5FE8-E6DB-4D11-84D8-87C0C5200C49}"/>
            </a:ext>
          </a:extLst>
        </xdr:cNvPr>
        <xdr:cNvCxnSpPr/>
      </xdr:nvCxnSpPr>
      <xdr:spPr>
        <a:xfrm flipV="1">
          <a:off x="10559138" y="308568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81505</xdr:colOff>
      <xdr:row>16</xdr:row>
      <xdr:rowOff>158334</xdr:rowOff>
    </xdr:from>
    <xdr:to>
      <xdr:col>20</xdr:col>
      <xdr:colOff>585453</xdr:colOff>
      <xdr:row>16</xdr:row>
      <xdr:rowOff>159491</xdr:rowOff>
    </xdr:to>
    <xdr:cxnSp macro="">
      <xdr:nvCxnSpPr>
        <xdr:cNvPr id="28" name="Straight Connector 27">
          <a:extLst>
            <a:ext uri="{FF2B5EF4-FFF2-40B4-BE49-F238E27FC236}">
              <a16:creationId xmlns:a16="http://schemas.microsoft.com/office/drawing/2014/main" id="{85D23CBD-31F8-4081-B644-BF2D24F1F107}"/>
            </a:ext>
          </a:extLst>
        </xdr:cNvPr>
        <xdr:cNvCxnSpPr/>
      </xdr:nvCxnSpPr>
      <xdr:spPr>
        <a:xfrm flipV="1">
          <a:off x="11778205" y="308568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81981</xdr:colOff>
      <xdr:row>18</xdr:row>
      <xdr:rowOff>166215</xdr:rowOff>
    </xdr:from>
    <xdr:to>
      <xdr:col>10</xdr:col>
      <xdr:colOff>585928</xdr:colOff>
      <xdr:row>18</xdr:row>
      <xdr:rowOff>167372</xdr:rowOff>
    </xdr:to>
    <xdr:cxnSp macro="">
      <xdr:nvCxnSpPr>
        <xdr:cNvPr id="29" name="Straight Connector 28">
          <a:extLst>
            <a:ext uri="{FF2B5EF4-FFF2-40B4-BE49-F238E27FC236}">
              <a16:creationId xmlns:a16="http://schemas.microsoft.com/office/drawing/2014/main" id="{DAEFB5E0-6F52-474C-920C-1E336DB9F2AC}"/>
            </a:ext>
          </a:extLst>
        </xdr:cNvPr>
        <xdr:cNvCxnSpPr/>
      </xdr:nvCxnSpPr>
      <xdr:spPr>
        <a:xfrm flipV="1">
          <a:off x="5682681" y="346186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84473</xdr:colOff>
      <xdr:row>18</xdr:row>
      <xdr:rowOff>166215</xdr:rowOff>
    </xdr:from>
    <xdr:to>
      <xdr:col>12</xdr:col>
      <xdr:colOff>588420</xdr:colOff>
      <xdr:row>18</xdr:row>
      <xdr:rowOff>167372</xdr:rowOff>
    </xdr:to>
    <xdr:cxnSp macro="">
      <xdr:nvCxnSpPr>
        <xdr:cNvPr id="30" name="Straight Connector 29">
          <a:extLst>
            <a:ext uri="{FF2B5EF4-FFF2-40B4-BE49-F238E27FC236}">
              <a16:creationId xmlns:a16="http://schemas.microsoft.com/office/drawing/2014/main" id="{76C9CEBD-CA53-4C30-948A-311E147D9C46}"/>
            </a:ext>
          </a:extLst>
        </xdr:cNvPr>
        <xdr:cNvCxnSpPr/>
      </xdr:nvCxnSpPr>
      <xdr:spPr>
        <a:xfrm flipV="1">
          <a:off x="6904373" y="346186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82797</xdr:colOff>
      <xdr:row>18</xdr:row>
      <xdr:rowOff>166215</xdr:rowOff>
    </xdr:from>
    <xdr:to>
      <xdr:col>14</xdr:col>
      <xdr:colOff>586744</xdr:colOff>
      <xdr:row>18</xdr:row>
      <xdr:rowOff>167372</xdr:rowOff>
    </xdr:to>
    <xdr:cxnSp macro="">
      <xdr:nvCxnSpPr>
        <xdr:cNvPr id="31" name="Straight Connector 30">
          <a:extLst>
            <a:ext uri="{FF2B5EF4-FFF2-40B4-BE49-F238E27FC236}">
              <a16:creationId xmlns:a16="http://schemas.microsoft.com/office/drawing/2014/main" id="{B8D7B4B8-BA15-4C62-B1E5-2D984596ABD7}"/>
            </a:ext>
          </a:extLst>
        </xdr:cNvPr>
        <xdr:cNvCxnSpPr/>
      </xdr:nvCxnSpPr>
      <xdr:spPr>
        <a:xfrm flipV="1">
          <a:off x="8121897" y="346186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92941</xdr:colOff>
      <xdr:row>18</xdr:row>
      <xdr:rowOff>166215</xdr:rowOff>
    </xdr:from>
    <xdr:to>
      <xdr:col>16</xdr:col>
      <xdr:colOff>596889</xdr:colOff>
      <xdr:row>18</xdr:row>
      <xdr:rowOff>167372</xdr:rowOff>
    </xdr:to>
    <xdr:cxnSp macro="">
      <xdr:nvCxnSpPr>
        <xdr:cNvPr id="32" name="Straight Connector 31">
          <a:extLst>
            <a:ext uri="{FF2B5EF4-FFF2-40B4-BE49-F238E27FC236}">
              <a16:creationId xmlns:a16="http://schemas.microsoft.com/office/drawing/2014/main" id="{615747B8-6627-4451-AAF9-D540D11BFEFD}"/>
            </a:ext>
          </a:extLst>
        </xdr:cNvPr>
        <xdr:cNvCxnSpPr/>
      </xdr:nvCxnSpPr>
      <xdr:spPr>
        <a:xfrm flipV="1">
          <a:off x="9351241" y="3461865"/>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81638</xdr:colOff>
      <xdr:row>18</xdr:row>
      <xdr:rowOff>166215</xdr:rowOff>
    </xdr:from>
    <xdr:to>
      <xdr:col>18</xdr:col>
      <xdr:colOff>585586</xdr:colOff>
      <xdr:row>18</xdr:row>
      <xdr:rowOff>167372</xdr:rowOff>
    </xdr:to>
    <xdr:cxnSp macro="">
      <xdr:nvCxnSpPr>
        <xdr:cNvPr id="33" name="Straight Connector 32">
          <a:extLst>
            <a:ext uri="{FF2B5EF4-FFF2-40B4-BE49-F238E27FC236}">
              <a16:creationId xmlns:a16="http://schemas.microsoft.com/office/drawing/2014/main" id="{EC925089-403B-4CC3-B49F-7956979AF33A}"/>
            </a:ext>
          </a:extLst>
        </xdr:cNvPr>
        <xdr:cNvCxnSpPr/>
      </xdr:nvCxnSpPr>
      <xdr:spPr>
        <a:xfrm flipV="1">
          <a:off x="10559138" y="3461865"/>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81505</xdr:colOff>
      <xdr:row>18</xdr:row>
      <xdr:rowOff>166215</xdr:rowOff>
    </xdr:from>
    <xdr:to>
      <xdr:col>20</xdr:col>
      <xdr:colOff>585453</xdr:colOff>
      <xdr:row>18</xdr:row>
      <xdr:rowOff>167372</xdr:rowOff>
    </xdr:to>
    <xdr:cxnSp macro="">
      <xdr:nvCxnSpPr>
        <xdr:cNvPr id="34" name="Straight Connector 33">
          <a:extLst>
            <a:ext uri="{FF2B5EF4-FFF2-40B4-BE49-F238E27FC236}">
              <a16:creationId xmlns:a16="http://schemas.microsoft.com/office/drawing/2014/main" id="{FCB79712-6B70-455F-BD1E-3C60DC36EF2E}"/>
            </a:ext>
          </a:extLst>
        </xdr:cNvPr>
        <xdr:cNvCxnSpPr/>
      </xdr:nvCxnSpPr>
      <xdr:spPr>
        <a:xfrm flipV="1">
          <a:off x="11778205" y="3461865"/>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96981</xdr:colOff>
      <xdr:row>23</xdr:row>
      <xdr:rowOff>152197</xdr:rowOff>
    </xdr:from>
    <xdr:to>
      <xdr:col>10</xdr:col>
      <xdr:colOff>600928</xdr:colOff>
      <xdr:row>23</xdr:row>
      <xdr:rowOff>153354</xdr:rowOff>
    </xdr:to>
    <xdr:cxnSp macro="">
      <xdr:nvCxnSpPr>
        <xdr:cNvPr id="35" name="Straight Connector 34">
          <a:extLst>
            <a:ext uri="{FF2B5EF4-FFF2-40B4-BE49-F238E27FC236}">
              <a16:creationId xmlns:a16="http://schemas.microsoft.com/office/drawing/2014/main" id="{63FBEBEC-C94E-4876-9D5F-C756D3106897}"/>
            </a:ext>
          </a:extLst>
        </xdr:cNvPr>
        <xdr:cNvCxnSpPr/>
      </xdr:nvCxnSpPr>
      <xdr:spPr>
        <a:xfrm flipV="1">
          <a:off x="5697681" y="423524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99035</xdr:colOff>
      <xdr:row>23</xdr:row>
      <xdr:rowOff>152197</xdr:rowOff>
    </xdr:from>
    <xdr:to>
      <xdr:col>12</xdr:col>
      <xdr:colOff>603858</xdr:colOff>
      <xdr:row>23</xdr:row>
      <xdr:rowOff>153354</xdr:rowOff>
    </xdr:to>
    <xdr:cxnSp macro="">
      <xdr:nvCxnSpPr>
        <xdr:cNvPr id="36" name="Straight Connector 35">
          <a:extLst>
            <a:ext uri="{FF2B5EF4-FFF2-40B4-BE49-F238E27FC236}">
              <a16:creationId xmlns:a16="http://schemas.microsoft.com/office/drawing/2014/main" id="{5717060C-1A86-484C-91FD-5EA0437C99B0}"/>
            </a:ext>
          </a:extLst>
        </xdr:cNvPr>
        <xdr:cNvCxnSpPr/>
      </xdr:nvCxnSpPr>
      <xdr:spPr>
        <a:xfrm flipV="1">
          <a:off x="6918935" y="4235247"/>
          <a:ext cx="1114423"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97360</xdr:colOff>
      <xdr:row>23</xdr:row>
      <xdr:rowOff>152197</xdr:rowOff>
    </xdr:from>
    <xdr:to>
      <xdr:col>14</xdr:col>
      <xdr:colOff>602182</xdr:colOff>
      <xdr:row>23</xdr:row>
      <xdr:rowOff>153354</xdr:rowOff>
    </xdr:to>
    <xdr:cxnSp macro="">
      <xdr:nvCxnSpPr>
        <xdr:cNvPr id="37" name="Straight Connector 36">
          <a:extLst>
            <a:ext uri="{FF2B5EF4-FFF2-40B4-BE49-F238E27FC236}">
              <a16:creationId xmlns:a16="http://schemas.microsoft.com/office/drawing/2014/main" id="{04B1BB8B-9278-4603-B663-DC0EC5D018C8}"/>
            </a:ext>
          </a:extLst>
        </xdr:cNvPr>
        <xdr:cNvCxnSpPr/>
      </xdr:nvCxnSpPr>
      <xdr:spPr>
        <a:xfrm flipV="1">
          <a:off x="8136460" y="4235247"/>
          <a:ext cx="1114422"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107963</xdr:colOff>
      <xdr:row>23</xdr:row>
      <xdr:rowOff>152197</xdr:rowOff>
    </xdr:from>
    <xdr:to>
      <xdr:col>17</xdr:col>
      <xdr:colOff>1866</xdr:colOff>
      <xdr:row>23</xdr:row>
      <xdr:rowOff>153354</xdr:rowOff>
    </xdr:to>
    <xdr:cxnSp macro="">
      <xdr:nvCxnSpPr>
        <xdr:cNvPr id="38" name="Straight Connector 37">
          <a:extLst>
            <a:ext uri="{FF2B5EF4-FFF2-40B4-BE49-F238E27FC236}">
              <a16:creationId xmlns:a16="http://schemas.microsoft.com/office/drawing/2014/main" id="{F6BF30EE-0ADF-41C3-B104-968F00C55085}"/>
            </a:ext>
          </a:extLst>
        </xdr:cNvPr>
        <xdr:cNvCxnSpPr/>
      </xdr:nvCxnSpPr>
      <xdr:spPr>
        <a:xfrm flipV="1">
          <a:off x="9366263" y="4235247"/>
          <a:ext cx="1113103"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96661</xdr:colOff>
      <xdr:row>23</xdr:row>
      <xdr:rowOff>152197</xdr:rowOff>
    </xdr:from>
    <xdr:to>
      <xdr:col>18</xdr:col>
      <xdr:colOff>600563</xdr:colOff>
      <xdr:row>23</xdr:row>
      <xdr:rowOff>153354</xdr:rowOff>
    </xdr:to>
    <xdr:cxnSp macro="">
      <xdr:nvCxnSpPr>
        <xdr:cNvPr id="39" name="Straight Connector 38">
          <a:extLst>
            <a:ext uri="{FF2B5EF4-FFF2-40B4-BE49-F238E27FC236}">
              <a16:creationId xmlns:a16="http://schemas.microsoft.com/office/drawing/2014/main" id="{A8DCE8D3-4EDC-4350-A61B-229710BD9F58}"/>
            </a:ext>
          </a:extLst>
        </xdr:cNvPr>
        <xdr:cNvCxnSpPr/>
      </xdr:nvCxnSpPr>
      <xdr:spPr>
        <a:xfrm flipV="1">
          <a:off x="10574161" y="4235247"/>
          <a:ext cx="1113502"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81527</xdr:colOff>
      <xdr:row>23</xdr:row>
      <xdr:rowOff>152197</xdr:rowOff>
    </xdr:from>
    <xdr:to>
      <xdr:col>20</xdr:col>
      <xdr:colOff>585430</xdr:colOff>
      <xdr:row>23</xdr:row>
      <xdr:rowOff>153354</xdr:rowOff>
    </xdr:to>
    <xdr:cxnSp macro="">
      <xdr:nvCxnSpPr>
        <xdr:cNvPr id="40" name="Straight Connector 39">
          <a:extLst>
            <a:ext uri="{FF2B5EF4-FFF2-40B4-BE49-F238E27FC236}">
              <a16:creationId xmlns:a16="http://schemas.microsoft.com/office/drawing/2014/main" id="{EDBAC84D-49E2-42AB-BC1F-39C941871B83}"/>
            </a:ext>
          </a:extLst>
        </xdr:cNvPr>
        <xdr:cNvCxnSpPr/>
      </xdr:nvCxnSpPr>
      <xdr:spPr>
        <a:xfrm flipV="1">
          <a:off x="11778227" y="4235247"/>
          <a:ext cx="1113503"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81981</xdr:colOff>
      <xdr:row>24</xdr:row>
      <xdr:rowOff>191437</xdr:rowOff>
    </xdr:from>
    <xdr:to>
      <xdr:col>10</xdr:col>
      <xdr:colOff>585928</xdr:colOff>
      <xdr:row>24</xdr:row>
      <xdr:rowOff>192594</xdr:rowOff>
    </xdr:to>
    <xdr:cxnSp macro="">
      <xdr:nvCxnSpPr>
        <xdr:cNvPr id="41" name="Straight Connector 40">
          <a:extLst>
            <a:ext uri="{FF2B5EF4-FFF2-40B4-BE49-F238E27FC236}">
              <a16:creationId xmlns:a16="http://schemas.microsoft.com/office/drawing/2014/main" id="{0980E0EC-DD3C-471A-A0B1-51C9E783DC8E}"/>
            </a:ext>
          </a:extLst>
        </xdr:cNvPr>
        <xdr:cNvCxnSpPr/>
      </xdr:nvCxnSpPr>
      <xdr:spPr>
        <a:xfrm flipV="1">
          <a:off x="5682681" y="445228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84473</xdr:colOff>
      <xdr:row>24</xdr:row>
      <xdr:rowOff>191437</xdr:rowOff>
    </xdr:from>
    <xdr:to>
      <xdr:col>12</xdr:col>
      <xdr:colOff>588420</xdr:colOff>
      <xdr:row>24</xdr:row>
      <xdr:rowOff>192594</xdr:rowOff>
    </xdr:to>
    <xdr:cxnSp macro="">
      <xdr:nvCxnSpPr>
        <xdr:cNvPr id="42" name="Straight Connector 41">
          <a:extLst>
            <a:ext uri="{FF2B5EF4-FFF2-40B4-BE49-F238E27FC236}">
              <a16:creationId xmlns:a16="http://schemas.microsoft.com/office/drawing/2014/main" id="{2DF93F0C-5ADF-47CD-8C95-FC31704FD734}"/>
            </a:ext>
          </a:extLst>
        </xdr:cNvPr>
        <xdr:cNvCxnSpPr/>
      </xdr:nvCxnSpPr>
      <xdr:spPr>
        <a:xfrm flipV="1">
          <a:off x="6904373" y="445228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82797</xdr:colOff>
      <xdr:row>24</xdr:row>
      <xdr:rowOff>191437</xdr:rowOff>
    </xdr:from>
    <xdr:to>
      <xdr:col>14</xdr:col>
      <xdr:colOff>586744</xdr:colOff>
      <xdr:row>24</xdr:row>
      <xdr:rowOff>192594</xdr:rowOff>
    </xdr:to>
    <xdr:cxnSp macro="">
      <xdr:nvCxnSpPr>
        <xdr:cNvPr id="43" name="Straight Connector 42">
          <a:extLst>
            <a:ext uri="{FF2B5EF4-FFF2-40B4-BE49-F238E27FC236}">
              <a16:creationId xmlns:a16="http://schemas.microsoft.com/office/drawing/2014/main" id="{AE152D6D-0CF1-4DA3-8158-ADAB7B916060}"/>
            </a:ext>
          </a:extLst>
        </xdr:cNvPr>
        <xdr:cNvCxnSpPr/>
      </xdr:nvCxnSpPr>
      <xdr:spPr>
        <a:xfrm flipV="1">
          <a:off x="8121897" y="445228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92941</xdr:colOff>
      <xdr:row>24</xdr:row>
      <xdr:rowOff>191437</xdr:rowOff>
    </xdr:from>
    <xdr:to>
      <xdr:col>16</xdr:col>
      <xdr:colOff>596889</xdr:colOff>
      <xdr:row>24</xdr:row>
      <xdr:rowOff>192594</xdr:rowOff>
    </xdr:to>
    <xdr:cxnSp macro="">
      <xdr:nvCxnSpPr>
        <xdr:cNvPr id="44" name="Straight Connector 43">
          <a:extLst>
            <a:ext uri="{FF2B5EF4-FFF2-40B4-BE49-F238E27FC236}">
              <a16:creationId xmlns:a16="http://schemas.microsoft.com/office/drawing/2014/main" id="{2CBE266B-F967-4A4F-8DAD-F3CA874646D6}"/>
            </a:ext>
          </a:extLst>
        </xdr:cNvPr>
        <xdr:cNvCxnSpPr/>
      </xdr:nvCxnSpPr>
      <xdr:spPr>
        <a:xfrm flipV="1">
          <a:off x="9351241" y="4452287"/>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81638</xdr:colOff>
      <xdr:row>24</xdr:row>
      <xdr:rowOff>191437</xdr:rowOff>
    </xdr:from>
    <xdr:to>
      <xdr:col>18</xdr:col>
      <xdr:colOff>585586</xdr:colOff>
      <xdr:row>24</xdr:row>
      <xdr:rowOff>192594</xdr:rowOff>
    </xdr:to>
    <xdr:cxnSp macro="">
      <xdr:nvCxnSpPr>
        <xdr:cNvPr id="45" name="Straight Connector 44">
          <a:extLst>
            <a:ext uri="{FF2B5EF4-FFF2-40B4-BE49-F238E27FC236}">
              <a16:creationId xmlns:a16="http://schemas.microsoft.com/office/drawing/2014/main" id="{F34D4922-7AF2-4FE5-80F0-2EBA61D7EA1F}"/>
            </a:ext>
          </a:extLst>
        </xdr:cNvPr>
        <xdr:cNvCxnSpPr/>
      </xdr:nvCxnSpPr>
      <xdr:spPr>
        <a:xfrm flipV="1">
          <a:off x="10559138" y="4452287"/>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81505</xdr:colOff>
      <xdr:row>24</xdr:row>
      <xdr:rowOff>191437</xdr:rowOff>
    </xdr:from>
    <xdr:to>
      <xdr:col>20</xdr:col>
      <xdr:colOff>585453</xdr:colOff>
      <xdr:row>24</xdr:row>
      <xdr:rowOff>192594</xdr:rowOff>
    </xdr:to>
    <xdr:cxnSp macro="">
      <xdr:nvCxnSpPr>
        <xdr:cNvPr id="46" name="Straight Connector 45">
          <a:extLst>
            <a:ext uri="{FF2B5EF4-FFF2-40B4-BE49-F238E27FC236}">
              <a16:creationId xmlns:a16="http://schemas.microsoft.com/office/drawing/2014/main" id="{3B746C03-3149-4350-80BF-F023F33F7E0C}"/>
            </a:ext>
          </a:extLst>
        </xdr:cNvPr>
        <xdr:cNvCxnSpPr/>
      </xdr:nvCxnSpPr>
      <xdr:spPr>
        <a:xfrm flipV="1">
          <a:off x="11778205" y="4452287"/>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81981</xdr:colOff>
      <xdr:row>25</xdr:row>
      <xdr:rowOff>5545</xdr:rowOff>
    </xdr:from>
    <xdr:to>
      <xdr:col>10</xdr:col>
      <xdr:colOff>585928</xdr:colOff>
      <xdr:row>25</xdr:row>
      <xdr:rowOff>6702</xdr:rowOff>
    </xdr:to>
    <xdr:cxnSp macro="">
      <xdr:nvCxnSpPr>
        <xdr:cNvPr id="47" name="Straight Connector 46">
          <a:extLst>
            <a:ext uri="{FF2B5EF4-FFF2-40B4-BE49-F238E27FC236}">
              <a16:creationId xmlns:a16="http://schemas.microsoft.com/office/drawing/2014/main" id="{455A2415-E0FF-4A89-9B49-EC01E81389FE}"/>
            </a:ext>
          </a:extLst>
        </xdr:cNvPr>
        <xdr:cNvCxnSpPr/>
      </xdr:nvCxnSpPr>
      <xdr:spPr>
        <a:xfrm flipV="1">
          <a:off x="5682681" y="445689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84473</xdr:colOff>
      <xdr:row>25</xdr:row>
      <xdr:rowOff>5545</xdr:rowOff>
    </xdr:from>
    <xdr:to>
      <xdr:col>12</xdr:col>
      <xdr:colOff>588420</xdr:colOff>
      <xdr:row>25</xdr:row>
      <xdr:rowOff>6702</xdr:rowOff>
    </xdr:to>
    <xdr:cxnSp macro="">
      <xdr:nvCxnSpPr>
        <xdr:cNvPr id="48" name="Straight Connector 47">
          <a:extLst>
            <a:ext uri="{FF2B5EF4-FFF2-40B4-BE49-F238E27FC236}">
              <a16:creationId xmlns:a16="http://schemas.microsoft.com/office/drawing/2014/main" id="{16EAF8F1-5532-4C44-9A2F-B1CD16FE377B}"/>
            </a:ext>
          </a:extLst>
        </xdr:cNvPr>
        <xdr:cNvCxnSpPr/>
      </xdr:nvCxnSpPr>
      <xdr:spPr>
        <a:xfrm flipV="1">
          <a:off x="6904373" y="445689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82797</xdr:colOff>
      <xdr:row>25</xdr:row>
      <xdr:rowOff>5545</xdr:rowOff>
    </xdr:from>
    <xdr:to>
      <xdr:col>14</xdr:col>
      <xdr:colOff>586744</xdr:colOff>
      <xdr:row>25</xdr:row>
      <xdr:rowOff>6702</xdr:rowOff>
    </xdr:to>
    <xdr:cxnSp macro="">
      <xdr:nvCxnSpPr>
        <xdr:cNvPr id="49" name="Straight Connector 48">
          <a:extLst>
            <a:ext uri="{FF2B5EF4-FFF2-40B4-BE49-F238E27FC236}">
              <a16:creationId xmlns:a16="http://schemas.microsoft.com/office/drawing/2014/main" id="{94F544CF-DECC-475B-AAB4-7BA99F55F87D}"/>
            </a:ext>
          </a:extLst>
        </xdr:cNvPr>
        <xdr:cNvCxnSpPr/>
      </xdr:nvCxnSpPr>
      <xdr:spPr>
        <a:xfrm flipV="1">
          <a:off x="8121897" y="445689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92941</xdr:colOff>
      <xdr:row>25</xdr:row>
      <xdr:rowOff>5545</xdr:rowOff>
    </xdr:from>
    <xdr:to>
      <xdr:col>16</xdr:col>
      <xdr:colOff>596889</xdr:colOff>
      <xdr:row>25</xdr:row>
      <xdr:rowOff>6702</xdr:rowOff>
    </xdr:to>
    <xdr:cxnSp macro="">
      <xdr:nvCxnSpPr>
        <xdr:cNvPr id="50" name="Straight Connector 49">
          <a:extLst>
            <a:ext uri="{FF2B5EF4-FFF2-40B4-BE49-F238E27FC236}">
              <a16:creationId xmlns:a16="http://schemas.microsoft.com/office/drawing/2014/main" id="{93ABD80D-C32D-48C9-B839-7D453D07AD15}"/>
            </a:ext>
          </a:extLst>
        </xdr:cNvPr>
        <xdr:cNvCxnSpPr/>
      </xdr:nvCxnSpPr>
      <xdr:spPr>
        <a:xfrm flipV="1">
          <a:off x="9351241" y="4456895"/>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81638</xdr:colOff>
      <xdr:row>25</xdr:row>
      <xdr:rowOff>5545</xdr:rowOff>
    </xdr:from>
    <xdr:to>
      <xdr:col>18</xdr:col>
      <xdr:colOff>585586</xdr:colOff>
      <xdr:row>25</xdr:row>
      <xdr:rowOff>6702</xdr:rowOff>
    </xdr:to>
    <xdr:cxnSp macro="">
      <xdr:nvCxnSpPr>
        <xdr:cNvPr id="51" name="Straight Connector 50">
          <a:extLst>
            <a:ext uri="{FF2B5EF4-FFF2-40B4-BE49-F238E27FC236}">
              <a16:creationId xmlns:a16="http://schemas.microsoft.com/office/drawing/2014/main" id="{854CE857-0A07-4C75-81CE-40C0E8010240}"/>
            </a:ext>
          </a:extLst>
        </xdr:cNvPr>
        <xdr:cNvCxnSpPr/>
      </xdr:nvCxnSpPr>
      <xdr:spPr>
        <a:xfrm flipV="1">
          <a:off x="10559138" y="4456895"/>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81505</xdr:colOff>
      <xdr:row>25</xdr:row>
      <xdr:rowOff>5545</xdr:rowOff>
    </xdr:from>
    <xdr:to>
      <xdr:col>20</xdr:col>
      <xdr:colOff>585453</xdr:colOff>
      <xdr:row>25</xdr:row>
      <xdr:rowOff>6702</xdr:rowOff>
    </xdr:to>
    <xdr:cxnSp macro="">
      <xdr:nvCxnSpPr>
        <xdr:cNvPr id="52" name="Straight Connector 51">
          <a:extLst>
            <a:ext uri="{FF2B5EF4-FFF2-40B4-BE49-F238E27FC236}">
              <a16:creationId xmlns:a16="http://schemas.microsoft.com/office/drawing/2014/main" id="{72AC5CC6-CBCB-47D7-B66C-CE13C2903365}"/>
            </a:ext>
          </a:extLst>
        </xdr:cNvPr>
        <xdr:cNvCxnSpPr/>
      </xdr:nvCxnSpPr>
      <xdr:spPr>
        <a:xfrm flipV="1">
          <a:off x="11778205" y="4456895"/>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66609</xdr:colOff>
      <xdr:row>10</xdr:row>
      <xdr:rowOff>179312</xdr:rowOff>
    </xdr:from>
    <xdr:to>
      <xdr:col>14</xdr:col>
      <xdr:colOff>581713</xdr:colOff>
      <xdr:row>10</xdr:row>
      <xdr:rowOff>179312</xdr:rowOff>
    </xdr:to>
    <xdr:cxnSp macro="">
      <xdr:nvCxnSpPr>
        <xdr:cNvPr id="53" name="Straight Connector 52">
          <a:extLst>
            <a:ext uri="{FF2B5EF4-FFF2-40B4-BE49-F238E27FC236}">
              <a16:creationId xmlns:a16="http://schemas.microsoft.com/office/drawing/2014/main" id="{C6F885DE-F95B-450F-9947-6C067D6A53AD}"/>
            </a:ext>
          </a:extLst>
        </xdr:cNvPr>
        <xdr:cNvCxnSpPr/>
      </xdr:nvCxnSpPr>
      <xdr:spPr>
        <a:xfrm>
          <a:off x="5667309" y="1995412"/>
          <a:ext cx="3563104"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9641</xdr:colOff>
      <xdr:row>31</xdr:row>
      <xdr:rowOff>163361</xdr:rowOff>
    </xdr:from>
    <xdr:to>
      <xdr:col>21</xdr:col>
      <xdr:colOff>41413</xdr:colOff>
      <xdr:row>31</xdr:row>
      <xdr:rowOff>163361</xdr:rowOff>
    </xdr:to>
    <xdr:cxnSp macro="">
      <xdr:nvCxnSpPr>
        <xdr:cNvPr id="54" name="Straight Connector 53">
          <a:extLst>
            <a:ext uri="{FF2B5EF4-FFF2-40B4-BE49-F238E27FC236}">
              <a16:creationId xmlns:a16="http://schemas.microsoft.com/office/drawing/2014/main" id="{A441073B-C7F8-48FE-9638-10F002A0A551}"/>
            </a:ext>
          </a:extLst>
        </xdr:cNvPr>
        <xdr:cNvCxnSpPr/>
      </xdr:nvCxnSpPr>
      <xdr:spPr>
        <a:xfrm>
          <a:off x="3781541" y="5725961"/>
          <a:ext cx="9175772" cy="0"/>
        </a:xfrm>
        <a:prstGeom prst="line">
          <a:avLst/>
        </a:prstGeom>
        <a:ln w="12700">
          <a:solidFill>
            <a:schemeClr val="bg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76881</xdr:colOff>
      <xdr:row>33</xdr:row>
      <xdr:rowOff>162327</xdr:rowOff>
    </xdr:from>
    <xdr:to>
      <xdr:col>10</xdr:col>
      <xdr:colOff>580828</xdr:colOff>
      <xdr:row>33</xdr:row>
      <xdr:rowOff>163484</xdr:rowOff>
    </xdr:to>
    <xdr:cxnSp macro="">
      <xdr:nvCxnSpPr>
        <xdr:cNvPr id="55" name="Straight Connector 54">
          <a:extLst>
            <a:ext uri="{FF2B5EF4-FFF2-40B4-BE49-F238E27FC236}">
              <a16:creationId xmlns:a16="http://schemas.microsoft.com/office/drawing/2014/main" id="{D2225335-9BB8-4BB9-8E01-1EDDBDDBF231}"/>
            </a:ext>
          </a:extLst>
        </xdr:cNvPr>
        <xdr:cNvCxnSpPr/>
      </xdr:nvCxnSpPr>
      <xdr:spPr>
        <a:xfrm flipV="1">
          <a:off x="5677581" y="609957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78935</xdr:colOff>
      <xdr:row>33</xdr:row>
      <xdr:rowOff>162327</xdr:rowOff>
    </xdr:from>
    <xdr:to>
      <xdr:col>12</xdr:col>
      <xdr:colOff>583758</xdr:colOff>
      <xdr:row>33</xdr:row>
      <xdr:rowOff>163484</xdr:rowOff>
    </xdr:to>
    <xdr:cxnSp macro="">
      <xdr:nvCxnSpPr>
        <xdr:cNvPr id="56" name="Straight Connector 55">
          <a:extLst>
            <a:ext uri="{FF2B5EF4-FFF2-40B4-BE49-F238E27FC236}">
              <a16:creationId xmlns:a16="http://schemas.microsoft.com/office/drawing/2014/main" id="{EA3C4EDF-FCE1-458D-A857-D3C01AFDF22D}"/>
            </a:ext>
          </a:extLst>
        </xdr:cNvPr>
        <xdr:cNvCxnSpPr/>
      </xdr:nvCxnSpPr>
      <xdr:spPr>
        <a:xfrm flipV="1">
          <a:off x="6898835" y="6099577"/>
          <a:ext cx="1114423"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77260</xdr:colOff>
      <xdr:row>33</xdr:row>
      <xdr:rowOff>162327</xdr:rowOff>
    </xdr:from>
    <xdr:to>
      <xdr:col>14</xdr:col>
      <xdr:colOff>582082</xdr:colOff>
      <xdr:row>33</xdr:row>
      <xdr:rowOff>163484</xdr:rowOff>
    </xdr:to>
    <xdr:cxnSp macro="">
      <xdr:nvCxnSpPr>
        <xdr:cNvPr id="57" name="Straight Connector 56">
          <a:extLst>
            <a:ext uri="{FF2B5EF4-FFF2-40B4-BE49-F238E27FC236}">
              <a16:creationId xmlns:a16="http://schemas.microsoft.com/office/drawing/2014/main" id="{B92EA3DC-6B01-45C8-9FA9-69B0DBB0E081}"/>
            </a:ext>
          </a:extLst>
        </xdr:cNvPr>
        <xdr:cNvCxnSpPr/>
      </xdr:nvCxnSpPr>
      <xdr:spPr>
        <a:xfrm flipV="1">
          <a:off x="8116360" y="6099577"/>
          <a:ext cx="1114422"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87863</xdr:colOff>
      <xdr:row>33</xdr:row>
      <xdr:rowOff>162327</xdr:rowOff>
    </xdr:from>
    <xdr:to>
      <xdr:col>16</xdr:col>
      <xdr:colOff>591766</xdr:colOff>
      <xdr:row>33</xdr:row>
      <xdr:rowOff>163484</xdr:rowOff>
    </xdr:to>
    <xdr:cxnSp macro="">
      <xdr:nvCxnSpPr>
        <xdr:cNvPr id="58" name="Straight Connector 57">
          <a:extLst>
            <a:ext uri="{FF2B5EF4-FFF2-40B4-BE49-F238E27FC236}">
              <a16:creationId xmlns:a16="http://schemas.microsoft.com/office/drawing/2014/main" id="{FF1BBCFA-7BAC-4702-9502-00E589527BC1}"/>
            </a:ext>
          </a:extLst>
        </xdr:cNvPr>
        <xdr:cNvCxnSpPr/>
      </xdr:nvCxnSpPr>
      <xdr:spPr>
        <a:xfrm flipV="1">
          <a:off x="9346163" y="6099577"/>
          <a:ext cx="1113503"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76561</xdr:colOff>
      <xdr:row>33</xdr:row>
      <xdr:rowOff>162327</xdr:rowOff>
    </xdr:from>
    <xdr:to>
      <xdr:col>18</xdr:col>
      <xdr:colOff>580463</xdr:colOff>
      <xdr:row>33</xdr:row>
      <xdr:rowOff>163484</xdr:rowOff>
    </xdr:to>
    <xdr:cxnSp macro="">
      <xdr:nvCxnSpPr>
        <xdr:cNvPr id="59" name="Straight Connector 58">
          <a:extLst>
            <a:ext uri="{FF2B5EF4-FFF2-40B4-BE49-F238E27FC236}">
              <a16:creationId xmlns:a16="http://schemas.microsoft.com/office/drawing/2014/main" id="{54ED598B-91BC-44B2-AD3C-2D28F6A93ACE}"/>
            </a:ext>
          </a:extLst>
        </xdr:cNvPr>
        <xdr:cNvCxnSpPr/>
      </xdr:nvCxnSpPr>
      <xdr:spPr>
        <a:xfrm flipV="1">
          <a:off x="10554061" y="6099577"/>
          <a:ext cx="1113502"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61427</xdr:colOff>
      <xdr:row>33</xdr:row>
      <xdr:rowOff>162327</xdr:rowOff>
    </xdr:from>
    <xdr:to>
      <xdr:col>20</xdr:col>
      <xdr:colOff>565330</xdr:colOff>
      <xdr:row>33</xdr:row>
      <xdr:rowOff>163484</xdr:rowOff>
    </xdr:to>
    <xdr:cxnSp macro="">
      <xdr:nvCxnSpPr>
        <xdr:cNvPr id="60" name="Straight Connector 59">
          <a:extLst>
            <a:ext uri="{FF2B5EF4-FFF2-40B4-BE49-F238E27FC236}">
              <a16:creationId xmlns:a16="http://schemas.microsoft.com/office/drawing/2014/main" id="{3BB8F3B8-EAD0-405A-8788-01ACF6D57A09}"/>
            </a:ext>
          </a:extLst>
        </xdr:cNvPr>
        <xdr:cNvCxnSpPr/>
      </xdr:nvCxnSpPr>
      <xdr:spPr>
        <a:xfrm flipV="1">
          <a:off x="11758127" y="6099577"/>
          <a:ext cx="1113503"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76881</xdr:colOff>
      <xdr:row>40</xdr:row>
      <xdr:rowOff>159727</xdr:rowOff>
    </xdr:from>
    <xdr:to>
      <xdr:col>10</xdr:col>
      <xdr:colOff>580828</xdr:colOff>
      <xdr:row>40</xdr:row>
      <xdr:rowOff>160884</xdr:rowOff>
    </xdr:to>
    <xdr:cxnSp macro="">
      <xdr:nvCxnSpPr>
        <xdr:cNvPr id="61" name="Straight Connector 60">
          <a:extLst>
            <a:ext uri="{FF2B5EF4-FFF2-40B4-BE49-F238E27FC236}">
              <a16:creationId xmlns:a16="http://schemas.microsoft.com/office/drawing/2014/main" id="{79A59C7F-E12E-45C2-B045-1184F9ABBC39}"/>
            </a:ext>
          </a:extLst>
        </xdr:cNvPr>
        <xdr:cNvCxnSpPr/>
      </xdr:nvCxnSpPr>
      <xdr:spPr>
        <a:xfrm flipV="1">
          <a:off x="5677581" y="724632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78935</xdr:colOff>
      <xdr:row>40</xdr:row>
      <xdr:rowOff>159727</xdr:rowOff>
    </xdr:from>
    <xdr:to>
      <xdr:col>12</xdr:col>
      <xdr:colOff>583758</xdr:colOff>
      <xdr:row>40</xdr:row>
      <xdr:rowOff>160884</xdr:rowOff>
    </xdr:to>
    <xdr:cxnSp macro="">
      <xdr:nvCxnSpPr>
        <xdr:cNvPr id="62" name="Straight Connector 61">
          <a:extLst>
            <a:ext uri="{FF2B5EF4-FFF2-40B4-BE49-F238E27FC236}">
              <a16:creationId xmlns:a16="http://schemas.microsoft.com/office/drawing/2014/main" id="{10CD6F6B-91BB-42B7-B4AD-C018065B1B7A}"/>
            </a:ext>
          </a:extLst>
        </xdr:cNvPr>
        <xdr:cNvCxnSpPr/>
      </xdr:nvCxnSpPr>
      <xdr:spPr>
        <a:xfrm flipV="1">
          <a:off x="6898835" y="7246327"/>
          <a:ext cx="1114423"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77260</xdr:colOff>
      <xdr:row>40</xdr:row>
      <xdr:rowOff>159727</xdr:rowOff>
    </xdr:from>
    <xdr:to>
      <xdr:col>14</xdr:col>
      <xdr:colOff>582082</xdr:colOff>
      <xdr:row>40</xdr:row>
      <xdr:rowOff>160884</xdr:rowOff>
    </xdr:to>
    <xdr:cxnSp macro="">
      <xdr:nvCxnSpPr>
        <xdr:cNvPr id="63" name="Straight Connector 62">
          <a:extLst>
            <a:ext uri="{FF2B5EF4-FFF2-40B4-BE49-F238E27FC236}">
              <a16:creationId xmlns:a16="http://schemas.microsoft.com/office/drawing/2014/main" id="{3593EAEC-D5A5-40B6-9FCE-420B16F54D52}"/>
            </a:ext>
          </a:extLst>
        </xdr:cNvPr>
        <xdr:cNvCxnSpPr/>
      </xdr:nvCxnSpPr>
      <xdr:spPr>
        <a:xfrm flipV="1">
          <a:off x="8116360" y="7246327"/>
          <a:ext cx="1114422"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87863</xdr:colOff>
      <xdr:row>40</xdr:row>
      <xdr:rowOff>159727</xdr:rowOff>
    </xdr:from>
    <xdr:to>
      <xdr:col>16</xdr:col>
      <xdr:colOff>591766</xdr:colOff>
      <xdr:row>40</xdr:row>
      <xdr:rowOff>160884</xdr:rowOff>
    </xdr:to>
    <xdr:cxnSp macro="">
      <xdr:nvCxnSpPr>
        <xdr:cNvPr id="64" name="Straight Connector 63">
          <a:extLst>
            <a:ext uri="{FF2B5EF4-FFF2-40B4-BE49-F238E27FC236}">
              <a16:creationId xmlns:a16="http://schemas.microsoft.com/office/drawing/2014/main" id="{F3B2C559-6AF0-498C-B278-11B3192BAF9B}"/>
            </a:ext>
          </a:extLst>
        </xdr:cNvPr>
        <xdr:cNvCxnSpPr/>
      </xdr:nvCxnSpPr>
      <xdr:spPr>
        <a:xfrm flipV="1">
          <a:off x="9346163" y="7246327"/>
          <a:ext cx="1113503"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76561</xdr:colOff>
      <xdr:row>40</xdr:row>
      <xdr:rowOff>159727</xdr:rowOff>
    </xdr:from>
    <xdr:to>
      <xdr:col>18</xdr:col>
      <xdr:colOff>580463</xdr:colOff>
      <xdr:row>40</xdr:row>
      <xdr:rowOff>160884</xdr:rowOff>
    </xdr:to>
    <xdr:cxnSp macro="">
      <xdr:nvCxnSpPr>
        <xdr:cNvPr id="65" name="Straight Connector 64">
          <a:extLst>
            <a:ext uri="{FF2B5EF4-FFF2-40B4-BE49-F238E27FC236}">
              <a16:creationId xmlns:a16="http://schemas.microsoft.com/office/drawing/2014/main" id="{28C35A30-97BD-4B6A-88E0-CCE9CDDA66AC}"/>
            </a:ext>
          </a:extLst>
        </xdr:cNvPr>
        <xdr:cNvCxnSpPr/>
      </xdr:nvCxnSpPr>
      <xdr:spPr>
        <a:xfrm flipV="1">
          <a:off x="10554061" y="7246327"/>
          <a:ext cx="1113502"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61427</xdr:colOff>
      <xdr:row>40</xdr:row>
      <xdr:rowOff>159727</xdr:rowOff>
    </xdr:from>
    <xdr:to>
      <xdr:col>20</xdr:col>
      <xdr:colOff>565330</xdr:colOff>
      <xdr:row>40</xdr:row>
      <xdr:rowOff>160884</xdr:rowOff>
    </xdr:to>
    <xdr:cxnSp macro="">
      <xdr:nvCxnSpPr>
        <xdr:cNvPr id="66" name="Straight Connector 65">
          <a:extLst>
            <a:ext uri="{FF2B5EF4-FFF2-40B4-BE49-F238E27FC236}">
              <a16:creationId xmlns:a16="http://schemas.microsoft.com/office/drawing/2014/main" id="{123F4C6D-D41C-43E3-AD9E-E70EA92DFDF5}"/>
            </a:ext>
          </a:extLst>
        </xdr:cNvPr>
        <xdr:cNvCxnSpPr/>
      </xdr:nvCxnSpPr>
      <xdr:spPr>
        <a:xfrm flipV="1">
          <a:off x="11758127" y="7246327"/>
          <a:ext cx="1113503"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58081</xdr:colOff>
      <xdr:row>44</xdr:row>
      <xdr:rowOff>162046</xdr:rowOff>
    </xdr:from>
    <xdr:to>
      <xdr:col>10</xdr:col>
      <xdr:colOff>562028</xdr:colOff>
      <xdr:row>44</xdr:row>
      <xdr:rowOff>163364</xdr:rowOff>
    </xdr:to>
    <xdr:cxnSp macro="">
      <xdr:nvCxnSpPr>
        <xdr:cNvPr id="67" name="Straight Connector 66">
          <a:extLst>
            <a:ext uri="{FF2B5EF4-FFF2-40B4-BE49-F238E27FC236}">
              <a16:creationId xmlns:a16="http://schemas.microsoft.com/office/drawing/2014/main" id="{D73F9A6A-E30D-443A-8809-EE3E3D13FB85}"/>
            </a:ext>
          </a:extLst>
        </xdr:cNvPr>
        <xdr:cNvCxnSpPr/>
      </xdr:nvCxnSpPr>
      <xdr:spPr>
        <a:xfrm flipV="1">
          <a:off x="5658781" y="79852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60135</xdr:colOff>
      <xdr:row>44</xdr:row>
      <xdr:rowOff>162046</xdr:rowOff>
    </xdr:from>
    <xdr:to>
      <xdr:col>12</xdr:col>
      <xdr:colOff>564958</xdr:colOff>
      <xdr:row>44</xdr:row>
      <xdr:rowOff>163364</xdr:rowOff>
    </xdr:to>
    <xdr:cxnSp macro="">
      <xdr:nvCxnSpPr>
        <xdr:cNvPr id="68" name="Straight Connector 67">
          <a:extLst>
            <a:ext uri="{FF2B5EF4-FFF2-40B4-BE49-F238E27FC236}">
              <a16:creationId xmlns:a16="http://schemas.microsoft.com/office/drawing/2014/main" id="{C4715B7D-6649-42B0-AABD-E739ECB10ECE}"/>
            </a:ext>
          </a:extLst>
        </xdr:cNvPr>
        <xdr:cNvCxnSpPr/>
      </xdr:nvCxnSpPr>
      <xdr:spPr>
        <a:xfrm flipV="1">
          <a:off x="6880035" y="7985246"/>
          <a:ext cx="1114423"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58460</xdr:colOff>
      <xdr:row>44</xdr:row>
      <xdr:rowOff>162046</xdr:rowOff>
    </xdr:from>
    <xdr:to>
      <xdr:col>14</xdr:col>
      <xdr:colOff>563282</xdr:colOff>
      <xdr:row>44</xdr:row>
      <xdr:rowOff>163364</xdr:rowOff>
    </xdr:to>
    <xdr:cxnSp macro="">
      <xdr:nvCxnSpPr>
        <xdr:cNvPr id="69" name="Straight Connector 68">
          <a:extLst>
            <a:ext uri="{FF2B5EF4-FFF2-40B4-BE49-F238E27FC236}">
              <a16:creationId xmlns:a16="http://schemas.microsoft.com/office/drawing/2014/main" id="{73E61848-2177-4B02-9B0A-FC6925030C22}"/>
            </a:ext>
          </a:extLst>
        </xdr:cNvPr>
        <xdr:cNvCxnSpPr/>
      </xdr:nvCxnSpPr>
      <xdr:spPr>
        <a:xfrm flipV="1">
          <a:off x="8097560" y="7985246"/>
          <a:ext cx="1114422"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69063</xdr:colOff>
      <xdr:row>44</xdr:row>
      <xdr:rowOff>162046</xdr:rowOff>
    </xdr:from>
    <xdr:to>
      <xdr:col>16</xdr:col>
      <xdr:colOff>572966</xdr:colOff>
      <xdr:row>44</xdr:row>
      <xdr:rowOff>163364</xdr:rowOff>
    </xdr:to>
    <xdr:cxnSp macro="">
      <xdr:nvCxnSpPr>
        <xdr:cNvPr id="70" name="Straight Connector 69">
          <a:extLst>
            <a:ext uri="{FF2B5EF4-FFF2-40B4-BE49-F238E27FC236}">
              <a16:creationId xmlns:a16="http://schemas.microsoft.com/office/drawing/2014/main" id="{0775E14F-E906-444D-8E9C-7A13AA56AF41}"/>
            </a:ext>
          </a:extLst>
        </xdr:cNvPr>
        <xdr:cNvCxnSpPr/>
      </xdr:nvCxnSpPr>
      <xdr:spPr>
        <a:xfrm flipV="1">
          <a:off x="9327363" y="7985246"/>
          <a:ext cx="1113503"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57761</xdr:colOff>
      <xdr:row>44</xdr:row>
      <xdr:rowOff>162046</xdr:rowOff>
    </xdr:from>
    <xdr:to>
      <xdr:col>18</xdr:col>
      <xdr:colOff>561663</xdr:colOff>
      <xdr:row>44</xdr:row>
      <xdr:rowOff>163364</xdr:rowOff>
    </xdr:to>
    <xdr:cxnSp macro="">
      <xdr:nvCxnSpPr>
        <xdr:cNvPr id="71" name="Straight Connector 70">
          <a:extLst>
            <a:ext uri="{FF2B5EF4-FFF2-40B4-BE49-F238E27FC236}">
              <a16:creationId xmlns:a16="http://schemas.microsoft.com/office/drawing/2014/main" id="{7E29B11B-0876-4593-ADB7-0708BEDE5DD4}"/>
            </a:ext>
          </a:extLst>
        </xdr:cNvPr>
        <xdr:cNvCxnSpPr/>
      </xdr:nvCxnSpPr>
      <xdr:spPr>
        <a:xfrm flipV="1">
          <a:off x="10535261" y="7985246"/>
          <a:ext cx="1113502"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42627</xdr:colOff>
      <xdr:row>44</xdr:row>
      <xdr:rowOff>162046</xdr:rowOff>
    </xdr:from>
    <xdr:to>
      <xdr:col>20</xdr:col>
      <xdr:colOff>546530</xdr:colOff>
      <xdr:row>44</xdr:row>
      <xdr:rowOff>163364</xdr:rowOff>
    </xdr:to>
    <xdr:cxnSp macro="">
      <xdr:nvCxnSpPr>
        <xdr:cNvPr id="72" name="Straight Connector 71">
          <a:extLst>
            <a:ext uri="{FF2B5EF4-FFF2-40B4-BE49-F238E27FC236}">
              <a16:creationId xmlns:a16="http://schemas.microsoft.com/office/drawing/2014/main" id="{CE282DCE-59D8-4EC9-BCF3-294BB3688753}"/>
            </a:ext>
          </a:extLst>
        </xdr:cNvPr>
        <xdr:cNvCxnSpPr/>
      </xdr:nvCxnSpPr>
      <xdr:spPr>
        <a:xfrm flipV="1">
          <a:off x="11739327" y="7985246"/>
          <a:ext cx="1113503"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58081</xdr:colOff>
      <xdr:row>53</xdr:row>
      <xdr:rowOff>159446</xdr:rowOff>
    </xdr:from>
    <xdr:to>
      <xdr:col>10</xdr:col>
      <xdr:colOff>562028</xdr:colOff>
      <xdr:row>53</xdr:row>
      <xdr:rowOff>160764</xdr:rowOff>
    </xdr:to>
    <xdr:cxnSp macro="">
      <xdr:nvCxnSpPr>
        <xdr:cNvPr id="73" name="Straight Connector 72">
          <a:extLst>
            <a:ext uri="{FF2B5EF4-FFF2-40B4-BE49-F238E27FC236}">
              <a16:creationId xmlns:a16="http://schemas.microsoft.com/office/drawing/2014/main" id="{179A1B6E-DEB0-4771-B79B-EA4E5438BB0B}"/>
            </a:ext>
          </a:extLst>
        </xdr:cNvPr>
        <xdr:cNvCxnSpPr/>
      </xdr:nvCxnSpPr>
      <xdr:spPr>
        <a:xfrm flipV="1">
          <a:off x="5658781" y="94875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60135</xdr:colOff>
      <xdr:row>53</xdr:row>
      <xdr:rowOff>159446</xdr:rowOff>
    </xdr:from>
    <xdr:to>
      <xdr:col>12</xdr:col>
      <xdr:colOff>564958</xdr:colOff>
      <xdr:row>53</xdr:row>
      <xdr:rowOff>160764</xdr:rowOff>
    </xdr:to>
    <xdr:cxnSp macro="">
      <xdr:nvCxnSpPr>
        <xdr:cNvPr id="74" name="Straight Connector 73">
          <a:extLst>
            <a:ext uri="{FF2B5EF4-FFF2-40B4-BE49-F238E27FC236}">
              <a16:creationId xmlns:a16="http://schemas.microsoft.com/office/drawing/2014/main" id="{C4EFEAB5-5DF9-450E-A721-4200BA7B5680}"/>
            </a:ext>
          </a:extLst>
        </xdr:cNvPr>
        <xdr:cNvCxnSpPr/>
      </xdr:nvCxnSpPr>
      <xdr:spPr>
        <a:xfrm flipV="1">
          <a:off x="6880035" y="9487596"/>
          <a:ext cx="1114423"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58460</xdr:colOff>
      <xdr:row>53</xdr:row>
      <xdr:rowOff>159446</xdr:rowOff>
    </xdr:from>
    <xdr:to>
      <xdr:col>14</xdr:col>
      <xdr:colOff>563282</xdr:colOff>
      <xdr:row>53</xdr:row>
      <xdr:rowOff>160764</xdr:rowOff>
    </xdr:to>
    <xdr:cxnSp macro="">
      <xdr:nvCxnSpPr>
        <xdr:cNvPr id="75" name="Straight Connector 74">
          <a:extLst>
            <a:ext uri="{FF2B5EF4-FFF2-40B4-BE49-F238E27FC236}">
              <a16:creationId xmlns:a16="http://schemas.microsoft.com/office/drawing/2014/main" id="{D0B401C2-AAC4-47D7-8965-A7767DF0F738}"/>
            </a:ext>
          </a:extLst>
        </xdr:cNvPr>
        <xdr:cNvCxnSpPr/>
      </xdr:nvCxnSpPr>
      <xdr:spPr>
        <a:xfrm flipV="1">
          <a:off x="8097560" y="9487596"/>
          <a:ext cx="1114422"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69063</xdr:colOff>
      <xdr:row>53</xdr:row>
      <xdr:rowOff>159446</xdr:rowOff>
    </xdr:from>
    <xdr:to>
      <xdr:col>16</xdr:col>
      <xdr:colOff>572966</xdr:colOff>
      <xdr:row>53</xdr:row>
      <xdr:rowOff>160764</xdr:rowOff>
    </xdr:to>
    <xdr:cxnSp macro="">
      <xdr:nvCxnSpPr>
        <xdr:cNvPr id="76" name="Straight Connector 75">
          <a:extLst>
            <a:ext uri="{FF2B5EF4-FFF2-40B4-BE49-F238E27FC236}">
              <a16:creationId xmlns:a16="http://schemas.microsoft.com/office/drawing/2014/main" id="{96B80562-2831-4648-9B81-3274CAB80A60}"/>
            </a:ext>
          </a:extLst>
        </xdr:cNvPr>
        <xdr:cNvCxnSpPr/>
      </xdr:nvCxnSpPr>
      <xdr:spPr>
        <a:xfrm flipV="1">
          <a:off x="9327363" y="9487596"/>
          <a:ext cx="1113503"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57761</xdr:colOff>
      <xdr:row>53</xdr:row>
      <xdr:rowOff>159446</xdr:rowOff>
    </xdr:from>
    <xdr:to>
      <xdr:col>18</xdr:col>
      <xdr:colOff>561663</xdr:colOff>
      <xdr:row>53</xdr:row>
      <xdr:rowOff>160764</xdr:rowOff>
    </xdr:to>
    <xdr:cxnSp macro="">
      <xdr:nvCxnSpPr>
        <xdr:cNvPr id="77" name="Straight Connector 76">
          <a:extLst>
            <a:ext uri="{FF2B5EF4-FFF2-40B4-BE49-F238E27FC236}">
              <a16:creationId xmlns:a16="http://schemas.microsoft.com/office/drawing/2014/main" id="{F89F9349-6D65-41FA-9563-8108A7D6FBB6}"/>
            </a:ext>
          </a:extLst>
        </xdr:cNvPr>
        <xdr:cNvCxnSpPr/>
      </xdr:nvCxnSpPr>
      <xdr:spPr>
        <a:xfrm flipV="1">
          <a:off x="10535261" y="9487596"/>
          <a:ext cx="1113502"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42627</xdr:colOff>
      <xdr:row>53</xdr:row>
      <xdr:rowOff>159446</xdr:rowOff>
    </xdr:from>
    <xdr:to>
      <xdr:col>20</xdr:col>
      <xdr:colOff>546530</xdr:colOff>
      <xdr:row>53</xdr:row>
      <xdr:rowOff>160764</xdr:rowOff>
    </xdr:to>
    <xdr:cxnSp macro="">
      <xdr:nvCxnSpPr>
        <xdr:cNvPr id="78" name="Straight Connector 77">
          <a:extLst>
            <a:ext uri="{FF2B5EF4-FFF2-40B4-BE49-F238E27FC236}">
              <a16:creationId xmlns:a16="http://schemas.microsoft.com/office/drawing/2014/main" id="{0270DDB3-84EC-44E0-A31F-7ECF9CEAB3DC}"/>
            </a:ext>
          </a:extLst>
        </xdr:cNvPr>
        <xdr:cNvCxnSpPr/>
      </xdr:nvCxnSpPr>
      <xdr:spPr>
        <a:xfrm flipV="1">
          <a:off x="11739327" y="9487596"/>
          <a:ext cx="1113503"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58081</xdr:colOff>
      <xdr:row>54</xdr:row>
      <xdr:rowOff>161846</xdr:rowOff>
    </xdr:from>
    <xdr:to>
      <xdr:col>10</xdr:col>
      <xdr:colOff>562028</xdr:colOff>
      <xdr:row>54</xdr:row>
      <xdr:rowOff>163164</xdr:rowOff>
    </xdr:to>
    <xdr:cxnSp macro="">
      <xdr:nvCxnSpPr>
        <xdr:cNvPr id="79" name="Straight Connector 78">
          <a:extLst>
            <a:ext uri="{FF2B5EF4-FFF2-40B4-BE49-F238E27FC236}">
              <a16:creationId xmlns:a16="http://schemas.microsoft.com/office/drawing/2014/main" id="{519AD77E-FDD7-47EC-BB65-2DA2F0E090B5}"/>
            </a:ext>
          </a:extLst>
        </xdr:cNvPr>
        <xdr:cNvCxnSpPr/>
      </xdr:nvCxnSpPr>
      <xdr:spPr>
        <a:xfrm flipV="1">
          <a:off x="5658781" y="96741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60135</xdr:colOff>
      <xdr:row>54</xdr:row>
      <xdr:rowOff>161846</xdr:rowOff>
    </xdr:from>
    <xdr:to>
      <xdr:col>12</xdr:col>
      <xdr:colOff>564958</xdr:colOff>
      <xdr:row>54</xdr:row>
      <xdr:rowOff>163164</xdr:rowOff>
    </xdr:to>
    <xdr:cxnSp macro="">
      <xdr:nvCxnSpPr>
        <xdr:cNvPr id="80" name="Straight Connector 79">
          <a:extLst>
            <a:ext uri="{FF2B5EF4-FFF2-40B4-BE49-F238E27FC236}">
              <a16:creationId xmlns:a16="http://schemas.microsoft.com/office/drawing/2014/main" id="{284BF4EE-818F-4E2F-A278-611AA5F12E44}"/>
            </a:ext>
          </a:extLst>
        </xdr:cNvPr>
        <xdr:cNvCxnSpPr/>
      </xdr:nvCxnSpPr>
      <xdr:spPr>
        <a:xfrm flipV="1">
          <a:off x="6880035" y="9674146"/>
          <a:ext cx="1114423"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58460</xdr:colOff>
      <xdr:row>54</xdr:row>
      <xdr:rowOff>161846</xdr:rowOff>
    </xdr:from>
    <xdr:to>
      <xdr:col>14</xdr:col>
      <xdr:colOff>563282</xdr:colOff>
      <xdr:row>54</xdr:row>
      <xdr:rowOff>163164</xdr:rowOff>
    </xdr:to>
    <xdr:cxnSp macro="">
      <xdr:nvCxnSpPr>
        <xdr:cNvPr id="81" name="Straight Connector 80">
          <a:extLst>
            <a:ext uri="{FF2B5EF4-FFF2-40B4-BE49-F238E27FC236}">
              <a16:creationId xmlns:a16="http://schemas.microsoft.com/office/drawing/2014/main" id="{DBC0B4A3-D1E3-4DE2-9AFA-B86B1677BAAC}"/>
            </a:ext>
          </a:extLst>
        </xdr:cNvPr>
        <xdr:cNvCxnSpPr/>
      </xdr:nvCxnSpPr>
      <xdr:spPr>
        <a:xfrm flipV="1">
          <a:off x="8097560" y="9674146"/>
          <a:ext cx="1114422"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69063</xdr:colOff>
      <xdr:row>54</xdr:row>
      <xdr:rowOff>161846</xdr:rowOff>
    </xdr:from>
    <xdr:to>
      <xdr:col>16</xdr:col>
      <xdr:colOff>572966</xdr:colOff>
      <xdr:row>54</xdr:row>
      <xdr:rowOff>163164</xdr:rowOff>
    </xdr:to>
    <xdr:cxnSp macro="">
      <xdr:nvCxnSpPr>
        <xdr:cNvPr id="82" name="Straight Connector 81">
          <a:extLst>
            <a:ext uri="{FF2B5EF4-FFF2-40B4-BE49-F238E27FC236}">
              <a16:creationId xmlns:a16="http://schemas.microsoft.com/office/drawing/2014/main" id="{573BA3C2-AD97-4E4F-B60B-0561B8DB3BE8}"/>
            </a:ext>
          </a:extLst>
        </xdr:cNvPr>
        <xdr:cNvCxnSpPr/>
      </xdr:nvCxnSpPr>
      <xdr:spPr>
        <a:xfrm flipV="1">
          <a:off x="9327363" y="9674146"/>
          <a:ext cx="1113503"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57761</xdr:colOff>
      <xdr:row>54</xdr:row>
      <xdr:rowOff>161846</xdr:rowOff>
    </xdr:from>
    <xdr:to>
      <xdr:col>18</xdr:col>
      <xdr:colOff>561663</xdr:colOff>
      <xdr:row>54</xdr:row>
      <xdr:rowOff>163164</xdr:rowOff>
    </xdr:to>
    <xdr:cxnSp macro="">
      <xdr:nvCxnSpPr>
        <xdr:cNvPr id="83" name="Straight Connector 82">
          <a:extLst>
            <a:ext uri="{FF2B5EF4-FFF2-40B4-BE49-F238E27FC236}">
              <a16:creationId xmlns:a16="http://schemas.microsoft.com/office/drawing/2014/main" id="{50462F03-E28F-48B8-BCB9-8453C50C5AD3}"/>
            </a:ext>
          </a:extLst>
        </xdr:cNvPr>
        <xdr:cNvCxnSpPr/>
      </xdr:nvCxnSpPr>
      <xdr:spPr>
        <a:xfrm flipV="1">
          <a:off x="10535261" y="9674146"/>
          <a:ext cx="1113502"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42627</xdr:colOff>
      <xdr:row>54</xdr:row>
      <xdr:rowOff>161846</xdr:rowOff>
    </xdr:from>
    <xdr:to>
      <xdr:col>20</xdr:col>
      <xdr:colOff>546530</xdr:colOff>
      <xdr:row>54</xdr:row>
      <xdr:rowOff>163164</xdr:rowOff>
    </xdr:to>
    <xdr:cxnSp macro="">
      <xdr:nvCxnSpPr>
        <xdr:cNvPr id="84" name="Straight Connector 83">
          <a:extLst>
            <a:ext uri="{FF2B5EF4-FFF2-40B4-BE49-F238E27FC236}">
              <a16:creationId xmlns:a16="http://schemas.microsoft.com/office/drawing/2014/main" id="{0D6D7A5C-C8B2-48FB-9DDF-D618F96035B3}"/>
            </a:ext>
          </a:extLst>
        </xdr:cNvPr>
        <xdr:cNvCxnSpPr/>
      </xdr:nvCxnSpPr>
      <xdr:spPr>
        <a:xfrm flipV="1">
          <a:off x="11739327" y="9674146"/>
          <a:ext cx="1113503"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58081</xdr:colOff>
      <xdr:row>55</xdr:row>
      <xdr:rowOff>4246</xdr:rowOff>
    </xdr:from>
    <xdr:to>
      <xdr:col>10</xdr:col>
      <xdr:colOff>562028</xdr:colOff>
      <xdr:row>55</xdr:row>
      <xdr:rowOff>5564</xdr:rowOff>
    </xdr:to>
    <xdr:cxnSp macro="">
      <xdr:nvCxnSpPr>
        <xdr:cNvPr id="85" name="Straight Connector 84">
          <a:extLst>
            <a:ext uri="{FF2B5EF4-FFF2-40B4-BE49-F238E27FC236}">
              <a16:creationId xmlns:a16="http://schemas.microsoft.com/office/drawing/2014/main" id="{5500B90A-7F69-4052-BBB7-80F050993DD0}"/>
            </a:ext>
          </a:extLst>
        </xdr:cNvPr>
        <xdr:cNvCxnSpPr/>
      </xdr:nvCxnSpPr>
      <xdr:spPr>
        <a:xfrm flipV="1">
          <a:off x="5658781" y="97006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60135</xdr:colOff>
      <xdr:row>55</xdr:row>
      <xdr:rowOff>4246</xdr:rowOff>
    </xdr:from>
    <xdr:to>
      <xdr:col>12</xdr:col>
      <xdr:colOff>564958</xdr:colOff>
      <xdr:row>55</xdr:row>
      <xdr:rowOff>5564</xdr:rowOff>
    </xdr:to>
    <xdr:cxnSp macro="">
      <xdr:nvCxnSpPr>
        <xdr:cNvPr id="86" name="Straight Connector 85">
          <a:extLst>
            <a:ext uri="{FF2B5EF4-FFF2-40B4-BE49-F238E27FC236}">
              <a16:creationId xmlns:a16="http://schemas.microsoft.com/office/drawing/2014/main" id="{21EAE152-23B7-41B2-AFE0-7E8E433FBE76}"/>
            </a:ext>
          </a:extLst>
        </xdr:cNvPr>
        <xdr:cNvCxnSpPr/>
      </xdr:nvCxnSpPr>
      <xdr:spPr>
        <a:xfrm flipV="1">
          <a:off x="6880035" y="9700696"/>
          <a:ext cx="1114423"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58460</xdr:colOff>
      <xdr:row>55</xdr:row>
      <xdr:rowOff>4246</xdr:rowOff>
    </xdr:from>
    <xdr:to>
      <xdr:col>14</xdr:col>
      <xdr:colOff>563282</xdr:colOff>
      <xdr:row>55</xdr:row>
      <xdr:rowOff>5564</xdr:rowOff>
    </xdr:to>
    <xdr:cxnSp macro="">
      <xdr:nvCxnSpPr>
        <xdr:cNvPr id="87" name="Straight Connector 86">
          <a:extLst>
            <a:ext uri="{FF2B5EF4-FFF2-40B4-BE49-F238E27FC236}">
              <a16:creationId xmlns:a16="http://schemas.microsoft.com/office/drawing/2014/main" id="{9E9430BE-4720-4B4A-82EF-AB7D37F3EF6F}"/>
            </a:ext>
          </a:extLst>
        </xdr:cNvPr>
        <xdr:cNvCxnSpPr/>
      </xdr:nvCxnSpPr>
      <xdr:spPr>
        <a:xfrm flipV="1">
          <a:off x="8097560" y="9700696"/>
          <a:ext cx="1114422"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69063</xdr:colOff>
      <xdr:row>55</xdr:row>
      <xdr:rowOff>4246</xdr:rowOff>
    </xdr:from>
    <xdr:to>
      <xdr:col>16</xdr:col>
      <xdr:colOff>572966</xdr:colOff>
      <xdr:row>55</xdr:row>
      <xdr:rowOff>5564</xdr:rowOff>
    </xdr:to>
    <xdr:cxnSp macro="">
      <xdr:nvCxnSpPr>
        <xdr:cNvPr id="88" name="Straight Connector 87">
          <a:extLst>
            <a:ext uri="{FF2B5EF4-FFF2-40B4-BE49-F238E27FC236}">
              <a16:creationId xmlns:a16="http://schemas.microsoft.com/office/drawing/2014/main" id="{218E3186-6CE3-44F7-BAF4-5D094A9E5D12}"/>
            </a:ext>
          </a:extLst>
        </xdr:cNvPr>
        <xdr:cNvCxnSpPr/>
      </xdr:nvCxnSpPr>
      <xdr:spPr>
        <a:xfrm flipV="1">
          <a:off x="9327363" y="9700696"/>
          <a:ext cx="1113503"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57761</xdr:colOff>
      <xdr:row>55</xdr:row>
      <xdr:rowOff>4246</xdr:rowOff>
    </xdr:from>
    <xdr:to>
      <xdr:col>18</xdr:col>
      <xdr:colOff>561663</xdr:colOff>
      <xdr:row>55</xdr:row>
      <xdr:rowOff>5564</xdr:rowOff>
    </xdr:to>
    <xdr:cxnSp macro="">
      <xdr:nvCxnSpPr>
        <xdr:cNvPr id="89" name="Straight Connector 88">
          <a:extLst>
            <a:ext uri="{FF2B5EF4-FFF2-40B4-BE49-F238E27FC236}">
              <a16:creationId xmlns:a16="http://schemas.microsoft.com/office/drawing/2014/main" id="{F5B99850-1AA6-48D5-BB58-F96A1F6FB7AE}"/>
            </a:ext>
          </a:extLst>
        </xdr:cNvPr>
        <xdr:cNvCxnSpPr/>
      </xdr:nvCxnSpPr>
      <xdr:spPr>
        <a:xfrm flipV="1">
          <a:off x="10535261" y="9700696"/>
          <a:ext cx="1113502"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42627</xdr:colOff>
      <xdr:row>55</xdr:row>
      <xdr:rowOff>4246</xdr:rowOff>
    </xdr:from>
    <xdr:to>
      <xdr:col>20</xdr:col>
      <xdr:colOff>546530</xdr:colOff>
      <xdr:row>55</xdr:row>
      <xdr:rowOff>5564</xdr:rowOff>
    </xdr:to>
    <xdr:cxnSp macro="">
      <xdr:nvCxnSpPr>
        <xdr:cNvPr id="90" name="Straight Connector 89">
          <a:extLst>
            <a:ext uri="{FF2B5EF4-FFF2-40B4-BE49-F238E27FC236}">
              <a16:creationId xmlns:a16="http://schemas.microsoft.com/office/drawing/2014/main" id="{06A7959A-7605-4768-B35F-350445C04DCD}"/>
            </a:ext>
          </a:extLst>
        </xdr:cNvPr>
        <xdr:cNvCxnSpPr/>
      </xdr:nvCxnSpPr>
      <xdr:spPr>
        <a:xfrm flipV="1">
          <a:off x="11739327" y="9700696"/>
          <a:ext cx="1113503"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9641</xdr:colOff>
      <xdr:row>61</xdr:row>
      <xdr:rowOff>152722</xdr:rowOff>
    </xdr:from>
    <xdr:to>
      <xdr:col>21</xdr:col>
      <xdr:colOff>41413</xdr:colOff>
      <xdr:row>61</xdr:row>
      <xdr:rowOff>152722</xdr:rowOff>
    </xdr:to>
    <xdr:cxnSp macro="">
      <xdr:nvCxnSpPr>
        <xdr:cNvPr id="91" name="Straight Connector 90">
          <a:extLst>
            <a:ext uri="{FF2B5EF4-FFF2-40B4-BE49-F238E27FC236}">
              <a16:creationId xmlns:a16="http://schemas.microsoft.com/office/drawing/2014/main" id="{E8EB7653-1B84-4BF8-B577-C1EA022EC140}"/>
            </a:ext>
          </a:extLst>
        </xdr:cNvPr>
        <xdr:cNvCxnSpPr/>
      </xdr:nvCxnSpPr>
      <xdr:spPr>
        <a:xfrm>
          <a:off x="3781541" y="10827072"/>
          <a:ext cx="9175772" cy="0"/>
        </a:xfrm>
        <a:prstGeom prst="line">
          <a:avLst/>
        </a:prstGeom>
        <a:ln w="12700">
          <a:solidFill>
            <a:schemeClr val="bg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0</xdr:colOff>
      <xdr:row>64</xdr:row>
      <xdr:rowOff>155963</xdr:rowOff>
    </xdr:from>
    <xdr:to>
      <xdr:col>5</xdr:col>
      <xdr:colOff>0</xdr:colOff>
      <xdr:row>64</xdr:row>
      <xdr:rowOff>163262</xdr:rowOff>
    </xdr:to>
    <xdr:cxnSp macro="">
      <xdr:nvCxnSpPr>
        <xdr:cNvPr id="92" name="Straight Connector 91">
          <a:extLst>
            <a:ext uri="{FF2B5EF4-FFF2-40B4-BE49-F238E27FC236}">
              <a16:creationId xmlns:a16="http://schemas.microsoft.com/office/drawing/2014/main" id="{DE128D13-A07B-4B17-A4D1-0AB63B1CC30E}"/>
            </a:ext>
          </a:extLst>
        </xdr:cNvPr>
        <xdr:cNvCxnSpPr/>
      </xdr:nvCxnSpPr>
      <xdr:spPr>
        <a:xfrm>
          <a:off x="609600" y="11389113"/>
          <a:ext cx="2552700" cy="7299"/>
        </a:xfrm>
        <a:prstGeom prst="line">
          <a:avLst/>
        </a:prstGeom>
        <a:ln w="12700">
          <a:solidFill>
            <a:schemeClr val="bg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604796</xdr:colOff>
      <xdr:row>68</xdr:row>
      <xdr:rowOff>154145</xdr:rowOff>
    </xdr:from>
    <xdr:to>
      <xdr:col>27</xdr:col>
      <xdr:colOff>0</xdr:colOff>
      <xdr:row>68</xdr:row>
      <xdr:rowOff>157534</xdr:rowOff>
    </xdr:to>
    <xdr:cxnSp macro="">
      <xdr:nvCxnSpPr>
        <xdr:cNvPr id="93" name="Straight Connector 92">
          <a:extLst>
            <a:ext uri="{FF2B5EF4-FFF2-40B4-BE49-F238E27FC236}">
              <a16:creationId xmlns:a16="http://schemas.microsoft.com/office/drawing/2014/main" id="{3DAC97FE-FA9F-4DC1-997D-382C84B74990}"/>
            </a:ext>
          </a:extLst>
        </xdr:cNvPr>
        <xdr:cNvCxnSpPr/>
      </xdr:nvCxnSpPr>
      <xdr:spPr>
        <a:xfrm flipV="1">
          <a:off x="3767096" y="12130245"/>
          <a:ext cx="13454104" cy="3389"/>
        </a:xfrm>
        <a:prstGeom prst="line">
          <a:avLst/>
        </a:prstGeom>
        <a:ln w="12700">
          <a:solidFill>
            <a:schemeClr val="bg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0</xdr:colOff>
      <xdr:row>38</xdr:row>
      <xdr:rowOff>155032</xdr:rowOff>
    </xdr:from>
    <xdr:to>
      <xdr:col>27</xdr:col>
      <xdr:colOff>0</xdr:colOff>
      <xdr:row>38</xdr:row>
      <xdr:rowOff>155124</xdr:rowOff>
    </xdr:to>
    <xdr:cxnSp macro="">
      <xdr:nvCxnSpPr>
        <xdr:cNvPr id="94" name="Straight Connector 93">
          <a:extLst>
            <a:ext uri="{FF2B5EF4-FFF2-40B4-BE49-F238E27FC236}">
              <a16:creationId xmlns:a16="http://schemas.microsoft.com/office/drawing/2014/main" id="{1117F0C9-38A9-4BF8-B131-0BAE52FDCD34}"/>
            </a:ext>
          </a:extLst>
        </xdr:cNvPr>
        <xdr:cNvCxnSpPr/>
      </xdr:nvCxnSpPr>
      <xdr:spPr>
        <a:xfrm flipV="1">
          <a:off x="13525500" y="6873332"/>
          <a:ext cx="3695700" cy="92"/>
        </a:xfrm>
        <a:prstGeom prst="line">
          <a:avLst/>
        </a:prstGeom>
        <a:ln w="12700">
          <a:solidFill>
            <a:schemeClr val="bg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62365</xdr:colOff>
      <xdr:row>9</xdr:row>
      <xdr:rowOff>159148</xdr:rowOff>
    </xdr:from>
    <xdr:to>
      <xdr:col>25</xdr:col>
      <xdr:colOff>702445</xdr:colOff>
      <xdr:row>9</xdr:row>
      <xdr:rowOff>159148</xdr:rowOff>
    </xdr:to>
    <xdr:cxnSp macro="">
      <xdr:nvCxnSpPr>
        <xdr:cNvPr id="95" name="Straight Connector 94">
          <a:extLst>
            <a:ext uri="{FF2B5EF4-FFF2-40B4-BE49-F238E27FC236}">
              <a16:creationId xmlns:a16="http://schemas.microsoft.com/office/drawing/2014/main" id="{5A024C7F-2095-4AE6-B1A0-50C88E23E740}"/>
            </a:ext>
          </a:extLst>
        </xdr:cNvPr>
        <xdr:cNvCxnSpPr/>
      </xdr:nvCxnSpPr>
      <xdr:spPr>
        <a:xfrm>
          <a:off x="15873865" y="1791098"/>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58251</xdr:colOff>
      <xdr:row>9</xdr:row>
      <xdr:rowOff>159148</xdr:rowOff>
    </xdr:from>
    <xdr:to>
      <xdr:col>26</xdr:col>
      <xdr:colOff>698331</xdr:colOff>
      <xdr:row>9</xdr:row>
      <xdr:rowOff>159148</xdr:rowOff>
    </xdr:to>
    <xdr:cxnSp macro="">
      <xdr:nvCxnSpPr>
        <xdr:cNvPr id="96" name="Straight Connector 95">
          <a:extLst>
            <a:ext uri="{FF2B5EF4-FFF2-40B4-BE49-F238E27FC236}">
              <a16:creationId xmlns:a16="http://schemas.microsoft.com/office/drawing/2014/main" id="{C9BAAAF0-BCA0-4D32-B245-4CEF31E83E69}"/>
            </a:ext>
          </a:extLst>
        </xdr:cNvPr>
        <xdr:cNvCxnSpPr/>
      </xdr:nvCxnSpPr>
      <xdr:spPr>
        <a:xfrm>
          <a:off x="16631751" y="1791098"/>
          <a:ext cx="5892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67196</xdr:colOff>
      <xdr:row>13</xdr:row>
      <xdr:rowOff>159506</xdr:rowOff>
    </xdr:from>
    <xdr:to>
      <xdr:col>25</xdr:col>
      <xdr:colOff>707276</xdr:colOff>
      <xdr:row>13</xdr:row>
      <xdr:rowOff>159506</xdr:rowOff>
    </xdr:to>
    <xdr:cxnSp macro="">
      <xdr:nvCxnSpPr>
        <xdr:cNvPr id="97" name="Straight Connector 96">
          <a:extLst>
            <a:ext uri="{FF2B5EF4-FFF2-40B4-BE49-F238E27FC236}">
              <a16:creationId xmlns:a16="http://schemas.microsoft.com/office/drawing/2014/main" id="{1C94ECCD-B79A-4C3D-B2C7-FBAF251CBC8C}"/>
            </a:ext>
          </a:extLst>
        </xdr:cNvPr>
        <xdr:cNvCxnSpPr/>
      </xdr:nvCxnSpPr>
      <xdr:spPr>
        <a:xfrm>
          <a:off x="15878696" y="2534406"/>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63082</xdr:colOff>
      <xdr:row>13</xdr:row>
      <xdr:rowOff>159506</xdr:rowOff>
    </xdr:from>
    <xdr:to>
      <xdr:col>26</xdr:col>
      <xdr:colOff>703162</xdr:colOff>
      <xdr:row>13</xdr:row>
      <xdr:rowOff>159506</xdr:rowOff>
    </xdr:to>
    <xdr:cxnSp macro="">
      <xdr:nvCxnSpPr>
        <xdr:cNvPr id="98" name="Straight Connector 97">
          <a:extLst>
            <a:ext uri="{FF2B5EF4-FFF2-40B4-BE49-F238E27FC236}">
              <a16:creationId xmlns:a16="http://schemas.microsoft.com/office/drawing/2014/main" id="{EA4B72A8-BF30-41A1-A2D0-805F40803DF0}"/>
            </a:ext>
          </a:extLst>
        </xdr:cNvPr>
        <xdr:cNvCxnSpPr/>
      </xdr:nvCxnSpPr>
      <xdr:spPr>
        <a:xfrm>
          <a:off x="16636582" y="2534406"/>
          <a:ext cx="58293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68004</xdr:colOff>
      <xdr:row>18</xdr:row>
      <xdr:rowOff>171282</xdr:rowOff>
    </xdr:from>
    <xdr:to>
      <xdr:col>25</xdr:col>
      <xdr:colOff>708084</xdr:colOff>
      <xdr:row>18</xdr:row>
      <xdr:rowOff>171282</xdr:rowOff>
    </xdr:to>
    <xdr:cxnSp macro="">
      <xdr:nvCxnSpPr>
        <xdr:cNvPr id="99" name="Straight Connector 98">
          <a:extLst>
            <a:ext uri="{FF2B5EF4-FFF2-40B4-BE49-F238E27FC236}">
              <a16:creationId xmlns:a16="http://schemas.microsoft.com/office/drawing/2014/main" id="{8BB90756-E690-415B-A0B8-6016A847B83A}"/>
            </a:ext>
          </a:extLst>
        </xdr:cNvPr>
        <xdr:cNvCxnSpPr/>
      </xdr:nvCxnSpPr>
      <xdr:spPr>
        <a:xfrm>
          <a:off x="15879504" y="3466932"/>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63890</xdr:colOff>
      <xdr:row>18</xdr:row>
      <xdr:rowOff>171282</xdr:rowOff>
    </xdr:from>
    <xdr:to>
      <xdr:col>26</xdr:col>
      <xdr:colOff>703970</xdr:colOff>
      <xdr:row>18</xdr:row>
      <xdr:rowOff>171282</xdr:rowOff>
    </xdr:to>
    <xdr:cxnSp macro="">
      <xdr:nvCxnSpPr>
        <xdr:cNvPr id="100" name="Straight Connector 99">
          <a:extLst>
            <a:ext uri="{FF2B5EF4-FFF2-40B4-BE49-F238E27FC236}">
              <a16:creationId xmlns:a16="http://schemas.microsoft.com/office/drawing/2014/main" id="{A137E8ED-F681-4287-9194-63D1C5A3F459}"/>
            </a:ext>
          </a:extLst>
        </xdr:cNvPr>
        <xdr:cNvCxnSpPr/>
      </xdr:nvCxnSpPr>
      <xdr:spPr>
        <a:xfrm>
          <a:off x="16637390" y="3466932"/>
          <a:ext cx="58293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69448</xdr:colOff>
      <xdr:row>20</xdr:row>
      <xdr:rowOff>166161</xdr:rowOff>
    </xdr:from>
    <xdr:to>
      <xdr:col>25</xdr:col>
      <xdr:colOff>709528</xdr:colOff>
      <xdr:row>20</xdr:row>
      <xdr:rowOff>166161</xdr:rowOff>
    </xdr:to>
    <xdr:cxnSp macro="">
      <xdr:nvCxnSpPr>
        <xdr:cNvPr id="101" name="Straight Connector 100">
          <a:extLst>
            <a:ext uri="{FF2B5EF4-FFF2-40B4-BE49-F238E27FC236}">
              <a16:creationId xmlns:a16="http://schemas.microsoft.com/office/drawing/2014/main" id="{26A6EF76-A449-4E2F-B5D1-9C6D35A4800B}"/>
            </a:ext>
          </a:extLst>
        </xdr:cNvPr>
        <xdr:cNvCxnSpPr/>
      </xdr:nvCxnSpPr>
      <xdr:spPr>
        <a:xfrm>
          <a:off x="15880948" y="3696761"/>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65334</xdr:colOff>
      <xdr:row>20</xdr:row>
      <xdr:rowOff>166161</xdr:rowOff>
    </xdr:from>
    <xdr:to>
      <xdr:col>26</xdr:col>
      <xdr:colOff>705414</xdr:colOff>
      <xdr:row>20</xdr:row>
      <xdr:rowOff>166161</xdr:rowOff>
    </xdr:to>
    <xdr:cxnSp macro="">
      <xdr:nvCxnSpPr>
        <xdr:cNvPr id="102" name="Straight Connector 101">
          <a:extLst>
            <a:ext uri="{FF2B5EF4-FFF2-40B4-BE49-F238E27FC236}">
              <a16:creationId xmlns:a16="http://schemas.microsoft.com/office/drawing/2014/main" id="{4EC6C2C9-BDA4-4DF6-A813-0FE1FEB52FED}"/>
            </a:ext>
          </a:extLst>
        </xdr:cNvPr>
        <xdr:cNvCxnSpPr/>
      </xdr:nvCxnSpPr>
      <xdr:spPr>
        <a:xfrm>
          <a:off x="16638834" y="3696761"/>
          <a:ext cx="58293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74167</xdr:colOff>
      <xdr:row>24</xdr:row>
      <xdr:rowOff>159033</xdr:rowOff>
    </xdr:from>
    <xdr:to>
      <xdr:col>25</xdr:col>
      <xdr:colOff>714247</xdr:colOff>
      <xdr:row>24</xdr:row>
      <xdr:rowOff>159033</xdr:rowOff>
    </xdr:to>
    <xdr:cxnSp macro="">
      <xdr:nvCxnSpPr>
        <xdr:cNvPr id="103" name="Straight Connector 102">
          <a:extLst>
            <a:ext uri="{FF2B5EF4-FFF2-40B4-BE49-F238E27FC236}">
              <a16:creationId xmlns:a16="http://schemas.microsoft.com/office/drawing/2014/main" id="{3694ADCF-8C93-4944-9EC9-ACF649B6BC96}"/>
            </a:ext>
          </a:extLst>
        </xdr:cNvPr>
        <xdr:cNvCxnSpPr/>
      </xdr:nvCxnSpPr>
      <xdr:spPr>
        <a:xfrm>
          <a:off x="15885667" y="4426233"/>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70053</xdr:colOff>
      <xdr:row>24</xdr:row>
      <xdr:rowOff>159033</xdr:rowOff>
    </xdr:from>
    <xdr:to>
      <xdr:col>26</xdr:col>
      <xdr:colOff>710133</xdr:colOff>
      <xdr:row>24</xdr:row>
      <xdr:rowOff>159033</xdr:rowOff>
    </xdr:to>
    <xdr:cxnSp macro="">
      <xdr:nvCxnSpPr>
        <xdr:cNvPr id="104" name="Straight Connector 103">
          <a:extLst>
            <a:ext uri="{FF2B5EF4-FFF2-40B4-BE49-F238E27FC236}">
              <a16:creationId xmlns:a16="http://schemas.microsoft.com/office/drawing/2014/main" id="{8A7631DE-5AAE-40B2-89BB-1FD77B874EC5}"/>
            </a:ext>
          </a:extLst>
        </xdr:cNvPr>
        <xdr:cNvCxnSpPr/>
      </xdr:nvCxnSpPr>
      <xdr:spPr>
        <a:xfrm>
          <a:off x="16643553" y="4426233"/>
          <a:ext cx="5765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74167</xdr:colOff>
      <xdr:row>28</xdr:row>
      <xdr:rowOff>166653</xdr:rowOff>
    </xdr:from>
    <xdr:to>
      <xdr:col>25</xdr:col>
      <xdr:colOff>714247</xdr:colOff>
      <xdr:row>28</xdr:row>
      <xdr:rowOff>166653</xdr:rowOff>
    </xdr:to>
    <xdr:cxnSp macro="">
      <xdr:nvCxnSpPr>
        <xdr:cNvPr id="105" name="Straight Connector 104">
          <a:extLst>
            <a:ext uri="{FF2B5EF4-FFF2-40B4-BE49-F238E27FC236}">
              <a16:creationId xmlns:a16="http://schemas.microsoft.com/office/drawing/2014/main" id="{AD7C9F45-67BD-44CB-80BA-C4484993D318}"/>
            </a:ext>
          </a:extLst>
        </xdr:cNvPr>
        <xdr:cNvCxnSpPr/>
      </xdr:nvCxnSpPr>
      <xdr:spPr>
        <a:xfrm>
          <a:off x="15885667" y="5170453"/>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70053</xdr:colOff>
      <xdr:row>28</xdr:row>
      <xdr:rowOff>166653</xdr:rowOff>
    </xdr:from>
    <xdr:to>
      <xdr:col>26</xdr:col>
      <xdr:colOff>710133</xdr:colOff>
      <xdr:row>28</xdr:row>
      <xdr:rowOff>166653</xdr:rowOff>
    </xdr:to>
    <xdr:cxnSp macro="">
      <xdr:nvCxnSpPr>
        <xdr:cNvPr id="106" name="Straight Connector 105">
          <a:extLst>
            <a:ext uri="{FF2B5EF4-FFF2-40B4-BE49-F238E27FC236}">
              <a16:creationId xmlns:a16="http://schemas.microsoft.com/office/drawing/2014/main" id="{A7F800E7-5C0B-411B-8752-6FFE53A5E63A}"/>
            </a:ext>
          </a:extLst>
        </xdr:cNvPr>
        <xdr:cNvCxnSpPr/>
      </xdr:nvCxnSpPr>
      <xdr:spPr>
        <a:xfrm>
          <a:off x="16643553" y="5170453"/>
          <a:ext cx="5765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74167</xdr:colOff>
      <xdr:row>33</xdr:row>
      <xdr:rowOff>161573</xdr:rowOff>
    </xdr:from>
    <xdr:to>
      <xdr:col>25</xdr:col>
      <xdr:colOff>714247</xdr:colOff>
      <xdr:row>33</xdr:row>
      <xdr:rowOff>161573</xdr:rowOff>
    </xdr:to>
    <xdr:cxnSp macro="">
      <xdr:nvCxnSpPr>
        <xdr:cNvPr id="107" name="Straight Connector 106">
          <a:extLst>
            <a:ext uri="{FF2B5EF4-FFF2-40B4-BE49-F238E27FC236}">
              <a16:creationId xmlns:a16="http://schemas.microsoft.com/office/drawing/2014/main" id="{AF2F6192-9458-4980-A579-AC9708F2A7A5}"/>
            </a:ext>
          </a:extLst>
        </xdr:cNvPr>
        <xdr:cNvCxnSpPr/>
      </xdr:nvCxnSpPr>
      <xdr:spPr>
        <a:xfrm>
          <a:off x="15885667" y="6098823"/>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70053</xdr:colOff>
      <xdr:row>33</xdr:row>
      <xdr:rowOff>161573</xdr:rowOff>
    </xdr:from>
    <xdr:to>
      <xdr:col>26</xdr:col>
      <xdr:colOff>710133</xdr:colOff>
      <xdr:row>33</xdr:row>
      <xdr:rowOff>161573</xdr:rowOff>
    </xdr:to>
    <xdr:cxnSp macro="">
      <xdr:nvCxnSpPr>
        <xdr:cNvPr id="108" name="Straight Connector 107">
          <a:extLst>
            <a:ext uri="{FF2B5EF4-FFF2-40B4-BE49-F238E27FC236}">
              <a16:creationId xmlns:a16="http://schemas.microsoft.com/office/drawing/2014/main" id="{CCFE14A9-C8EA-47FA-98BA-5FE8A090107A}"/>
            </a:ext>
          </a:extLst>
        </xdr:cNvPr>
        <xdr:cNvCxnSpPr/>
      </xdr:nvCxnSpPr>
      <xdr:spPr>
        <a:xfrm>
          <a:off x="16643553" y="6098823"/>
          <a:ext cx="5765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71627</xdr:colOff>
      <xdr:row>34</xdr:row>
      <xdr:rowOff>164113</xdr:rowOff>
    </xdr:from>
    <xdr:to>
      <xdr:col>25</xdr:col>
      <xdr:colOff>711707</xdr:colOff>
      <xdr:row>34</xdr:row>
      <xdr:rowOff>164113</xdr:rowOff>
    </xdr:to>
    <xdr:cxnSp macro="">
      <xdr:nvCxnSpPr>
        <xdr:cNvPr id="109" name="Straight Connector 108">
          <a:extLst>
            <a:ext uri="{FF2B5EF4-FFF2-40B4-BE49-F238E27FC236}">
              <a16:creationId xmlns:a16="http://schemas.microsoft.com/office/drawing/2014/main" id="{F781A15F-7CAD-4F2B-B998-54AEB1416ECC}"/>
            </a:ext>
          </a:extLst>
        </xdr:cNvPr>
        <xdr:cNvCxnSpPr/>
      </xdr:nvCxnSpPr>
      <xdr:spPr>
        <a:xfrm>
          <a:off x="15883127" y="6285513"/>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67513</xdr:colOff>
      <xdr:row>34</xdr:row>
      <xdr:rowOff>164113</xdr:rowOff>
    </xdr:from>
    <xdr:to>
      <xdr:col>26</xdr:col>
      <xdr:colOff>707593</xdr:colOff>
      <xdr:row>34</xdr:row>
      <xdr:rowOff>164113</xdr:rowOff>
    </xdr:to>
    <xdr:cxnSp macro="">
      <xdr:nvCxnSpPr>
        <xdr:cNvPr id="110" name="Straight Connector 109">
          <a:extLst>
            <a:ext uri="{FF2B5EF4-FFF2-40B4-BE49-F238E27FC236}">
              <a16:creationId xmlns:a16="http://schemas.microsoft.com/office/drawing/2014/main" id="{46AB60B7-025F-4730-8673-F3D17E97F950}"/>
            </a:ext>
          </a:extLst>
        </xdr:cNvPr>
        <xdr:cNvCxnSpPr/>
      </xdr:nvCxnSpPr>
      <xdr:spPr>
        <a:xfrm>
          <a:off x="16641013" y="6285513"/>
          <a:ext cx="58293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67221</xdr:colOff>
      <xdr:row>41</xdr:row>
      <xdr:rowOff>164521</xdr:rowOff>
    </xdr:from>
    <xdr:to>
      <xdr:col>26</xdr:col>
      <xdr:colOff>707301</xdr:colOff>
      <xdr:row>41</xdr:row>
      <xdr:rowOff>164521</xdr:rowOff>
    </xdr:to>
    <xdr:cxnSp macro="">
      <xdr:nvCxnSpPr>
        <xdr:cNvPr id="111" name="Straight Connector 110">
          <a:extLst>
            <a:ext uri="{FF2B5EF4-FFF2-40B4-BE49-F238E27FC236}">
              <a16:creationId xmlns:a16="http://schemas.microsoft.com/office/drawing/2014/main" id="{4DE9B1B9-261A-42A3-8405-12FC605A2EAE}"/>
            </a:ext>
          </a:extLst>
        </xdr:cNvPr>
        <xdr:cNvCxnSpPr/>
      </xdr:nvCxnSpPr>
      <xdr:spPr>
        <a:xfrm>
          <a:off x="16640721" y="7435271"/>
          <a:ext cx="58293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67221</xdr:colOff>
      <xdr:row>43</xdr:row>
      <xdr:rowOff>165008</xdr:rowOff>
    </xdr:from>
    <xdr:to>
      <xdr:col>26</xdr:col>
      <xdr:colOff>707301</xdr:colOff>
      <xdr:row>43</xdr:row>
      <xdr:rowOff>165008</xdr:rowOff>
    </xdr:to>
    <xdr:cxnSp macro="">
      <xdr:nvCxnSpPr>
        <xdr:cNvPr id="112" name="Straight Connector 111">
          <a:extLst>
            <a:ext uri="{FF2B5EF4-FFF2-40B4-BE49-F238E27FC236}">
              <a16:creationId xmlns:a16="http://schemas.microsoft.com/office/drawing/2014/main" id="{9DF27B2E-6226-4588-8D6B-871050E73D11}"/>
            </a:ext>
          </a:extLst>
        </xdr:cNvPr>
        <xdr:cNvCxnSpPr/>
      </xdr:nvCxnSpPr>
      <xdr:spPr>
        <a:xfrm>
          <a:off x="16640721" y="7804058"/>
          <a:ext cx="58293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64183</xdr:colOff>
      <xdr:row>48</xdr:row>
      <xdr:rowOff>167497</xdr:rowOff>
    </xdr:from>
    <xdr:to>
      <xdr:col>22</xdr:col>
      <xdr:colOff>704263</xdr:colOff>
      <xdr:row>48</xdr:row>
      <xdr:rowOff>167497</xdr:rowOff>
    </xdr:to>
    <xdr:cxnSp macro="">
      <xdr:nvCxnSpPr>
        <xdr:cNvPr id="113" name="Straight Connector 112">
          <a:extLst>
            <a:ext uri="{FF2B5EF4-FFF2-40B4-BE49-F238E27FC236}">
              <a16:creationId xmlns:a16="http://schemas.microsoft.com/office/drawing/2014/main" id="{39B8806C-4DC1-43AF-B9DC-8B457B809D99}"/>
            </a:ext>
          </a:extLst>
        </xdr:cNvPr>
        <xdr:cNvCxnSpPr/>
      </xdr:nvCxnSpPr>
      <xdr:spPr>
        <a:xfrm>
          <a:off x="13589683" y="8727297"/>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606525</xdr:colOff>
      <xdr:row>46</xdr:row>
      <xdr:rowOff>139367</xdr:rowOff>
    </xdr:from>
    <xdr:to>
      <xdr:col>27</xdr:col>
      <xdr:colOff>0</xdr:colOff>
      <xdr:row>46</xdr:row>
      <xdr:rowOff>139367</xdr:rowOff>
    </xdr:to>
    <xdr:cxnSp macro="">
      <xdr:nvCxnSpPr>
        <xdr:cNvPr id="114" name="Straight Connector 113">
          <a:extLst>
            <a:ext uri="{FF2B5EF4-FFF2-40B4-BE49-F238E27FC236}">
              <a16:creationId xmlns:a16="http://schemas.microsoft.com/office/drawing/2014/main" id="{17DEA6B8-523E-472F-930A-5983CA9B7F64}"/>
            </a:ext>
          </a:extLst>
        </xdr:cNvPr>
        <xdr:cNvCxnSpPr/>
      </xdr:nvCxnSpPr>
      <xdr:spPr>
        <a:xfrm>
          <a:off x="13522425" y="8330867"/>
          <a:ext cx="3698775"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61632</xdr:colOff>
      <xdr:row>48</xdr:row>
      <xdr:rowOff>167497</xdr:rowOff>
    </xdr:from>
    <xdr:to>
      <xdr:col>23</xdr:col>
      <xdr:colOff>701712</xdr:colOff>
      <xdr:row>48</xdr:row>
      <xdr:rowOff>167497</xdr:rowOff>
    </xdr:to>
    <xdr:cxnSp macro="">
      <xdr:nvCxnSpPr>
        <xdr:cNvPr id="115" name="Straight Connector 114">
          <a:extLst>
            <a:ext uri="{FF2B5EF4-FFF2-40B4-BE49-F238E27FC236}">
              <a16:creationId xmlns:a16="http://schemas.microsoft.com/office/drawing/2014/main" id="{D047942D-D8C7-4B89-8F4A-02AF04E808A2}"/>
            </a:ext>
          </a:extLst>
        </xdr:cNvPr>
        <xdr:cNvCxnSpPr/>
      </xdr:nvCxnSpPr>
      <xdr:spPr>
        <a:xfrm>
          <a:off x="14349132" y="8727297"/>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24</xdr:col>
      <xdr:colOff>59079</xdr:colOff>
      <xdr:row>48</xdr:row>
      <xdr:rowOff>167497</xdr:rowOff>
    </xdr:from>
    <xdr:to>
      <xdr:col>24</xdr:col>
      <xdr:colOff>699159</xdr:colOff>
      <xdr:row>48</xdr:row>
      <xdr:rowOff>167497</xdr:rowOff>
    </xdr:to>
    <xdr:cxnSp macro="">
      <xdr:nvCxnSpPr>
        <xdr:cNvPr id="116" name="Straight Connector 115">
          <a:extLst>
            <a:ext uri="{FF2B5EF4-FFF2-40B4-BE49-F238E27FC236}">
              <a16:creationId xmlns:a16="http://schemas.microsoft.com/office/drawing/2014/main" id="{2267E65B-B550-4AB3-8242-B3F7C3C8494A}"/>
            </a:ext>
          </a:extLst>
        </xdr:cNvPr>
        <xdr:cNvCxnSpPr/>
      </xdr:nvCxnSpPr>
      <xdr:spPr>
        <a:xfrm>
          <a:off x="15108579" y="8727297"/>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68679</xdr:colOff>
      <xdr:row>48</xdr:row>
      <xdr:rowOff>167497</xdr:rowOff>
    </xdr:from>
    <xdr:to>
      <xdr:col>25</xdr:col>
      <xdr:colOff>708759</xdr:colOff>
      <xdr:row>48</xdr:row>
      <xdr:rowOff>167497</xdr:rowOff>
    </xdr:to>
    <xdr:cxnSp macro="">
      <xdr:nvCxnSpPr>
        <xdr:cNvPr id="117" name="Straight Connector 116">
          <a:extLst>
            <a:ext uri="{FF2B5EF4-FFF2-40B4-BE49-F238E27FC236}">
              <a16:creationId xmlns:a16="http://schemas.microsoft.com/office/drawing/2014/main" id="{1877FF92-89D9-4192-9810-4282876F95C5}"/>
            </a:ext>
          </a:extLst>
        </xdr:cNvPr>
        <xdr:cNvCxnSpPr/>
      </xdr:nvCxnSpPr>
      <xdr:spPr>
        <a:xfrm>
          <a:off x="15880179" y="8727297"/>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63090</xdr:colOff>
      <xdr:row>48</xdr:row>
      <xdr:rowOff>167497</xdr:rowOff>
    </xdr:from>
    <xdr:to>
      <xdr:col>26</xdr:col>
      <xdr:colOff>703170</xdr:colOff>
      <xdr:row>48</xdr:row>
      <xdr:rowOff>167497</xdr:rowOff>
    </xdr:to>
    <xdr:cxnSp macro="">
      <xdr:nvCxnSpPr>
        <xdr:cNvPr id="118" name="Straight Connector 117">
          <a:extLst>
            <a:ext uri="{FF2B5EF4-FFF2-40B4-BE49-F238E27FC236}">
              <a16:creationId xmlns:a16="http://schemas.microsoft.com/office/drawing/2014/main" id="{0037DB40-0B4F-4B0F-8FDF-30A28013F3DF}"/>
            </a:ext>
          </a:extLst>
        </xdr:cNvPr>
        <xdr:cNvCxnSpPr/>
      </xdr:nvCxnSpPr>
      <xdr:spPr>
        <a:xfrm>
          <a:off x="16636590" y="8727297"/>
          <a:ext cx="58293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61274</xdr:colOff>
      <xdr:row>54</xdr:row>
      <xdr:rowOff>154333</xdr:rowOff>
    </xdr:from>
    <xdr:to>
      <xdr:col>23</xdr:col>
      <xdr:colOff>701354</xdr:colOff>
      <xdr:row>54</xdr:row>
      <xdr:rowOff>154333</xdr:rowOff>
    </xdr:to>
    <xdr:cxnSp macro="">
      <xdr:nvCxnSpPr>
        <xdr:cNvPr id="119" name="Straight Connector 118">
          <a:extLst>
            <a:ext uri="{FF2B5EF4-FFF2-40B4-BE49-F238E27FC236}">
              <a16:creationId xmlns:a16="http://schemas.microsoft.com/office/drawing/2014/main" id="{EB3EBA70-D0BE-4ECF-8E13-FC4CFF299D60}"/>
            </a:ext>
          </a:extLst>
        </xdr:cNvPr>
        <xdr:cNvCxnSpPr/>
      </xdr:nvCxnSpPr>
      <xdr:spPr>
        <a:xfrm>
          <a:off x="14348774" y="9666633"/>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24</xdr:col>
      <xdr:colOff>58721</xdr:colOff>
      <xdr:row>54</xdr:row>
      <xdr:rowOff>154333</xdr:rowOff>
    </xdr:from>
    <xdr:to>
      <xdr:col>24</xdr:col>
      <xdr:colOff>698801</xdr:colOff>
      <xdr:row>54</xdr:row>
      <xdr:rowOff>154333</xdr:rowOff>
    </xdr:to>
    <xdr:cxnSp macro="">
      <xdr:nvCxnSpPr>
        <xdr:cNvPr id="120" name="Straight Connector 119">
          <a:extLst>
            <a:ext uri="{FF2B5EF4-FFF2-40B4-BE49-F238E27FC236}">
              <a16:creationId xmlns:a16="http://schemas.microsoft.com/office/drawing/2014/main" id="{FA6E72D4-1BE4-4D74-A9D4-39033637745F}"/>
            </a:ext>
          </a:extLst>
        </xdr:cNvPr>
        <xdr:cNvCxnSpPr/>
      </xdr:nvCxnSpPr>
      <xdr:spPr>
        <a:xfrm>
          <a:off x="15108221" y="9666633"/>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14238</xdr:colOff>
      <xdr:row>57</xdr:row>
      <xdr:rowOff>155953</xdr:rowOff>
    </xdr:from>
    <xdr:to>
      <xdr:col>27</xdr:col>
      <xdr:colOff>0</xdr:colOff>
      <xdr:row>57</xdr:row>
      <xdr:rowOff>156614</xdr:rowOff>
    </xdr:to>
    <xdr:cxnSp macro="">
      <xdr:nvCxnSpPr>
        <xdr:cNvPr id="121" name="Straight Connector 120">
          <a:extLst>
            <a:ext uri="{FF2B5EF4-FFF2-40B4-BE49-F238E27FC236}">
              <a16:creationId xmlns:a16="http://schemas.microsoft.com/office/drawing/2014/main" id="{FDA053A1-77A9-40EC-8BA2-18753CA13DC0}"/>
            </a:ext>
          </a:extLst>
        </xdr:cNvPr>
        <xdr:cNvCxnSpPr/>
      </xdr:nvCxnSpPr>
      <xdr:spPr>
        <a:xfrm flipV="1">
          <a:off x="13539738" y="10087353"/>
          <a:ext cx="3681462" cy="661"/>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73838</xdr:colOff>
      <xdr:row>59</xdr:row>
      <xdr:rowOff>155229</xdr:rowOff>
    </xdr:from>
    <xdr:to>
      <xdr:col>23</xdr:col>
      <xdr:colOff>713918</xdr:colOff>
      <xdr:row>59</xdr:row>
      <xdr:rowOff>155229</xdr:rowOff>
    </xdr:to>
    <xdr:cxnSp macro="">
      <xdr:nvCxnSpPr>
        <xdr:cNvPr id="122" name="Straight Connector 121">
          <a:extLst>
            <a:ext uri="{FF2B5EF4-FFF2-40B4-BE49-F238E27FC236}">
              <a16:creationId xmlns:a16="http://schemas.microsoft.com/office/drawing/2014/main" id="{2632B1E3-84B4-4565-821C-BB8A1058066F}"/>
            </a:ext>
          </a:extLst>
        </xdr:cNvPr>
        <xdr:cNvCxnSpPr/>
      </xdr:nvCxnSpPr>
      <xdr:spPr>
        <a:xfrm>
          <a:off x="14361338" y="10461279"/>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24</xdr:col>
      <xdr:colOff>71285</xdr:colOff>
      <xdr:row>59</xdr:row>
      <xdr:rowOff>155229</xdr:rowOff>
    </xdr:from>
    <xdr:to>
      <xdr:col>24</xdr:col>
      <xdr:colOff>711365</xdr:colOff>
      <xdr:row>59</xdr:row>
      <xdr:rowOff>155229</xdr:rowOff>
    </xdr:to>
    <xdr:cxnSp macro="">
      <xdr:nvCxnSpPr>
        <xdr:cNvPr id="123" name="Straight Connector 122">
          <a:extLst>
            <a:ext uri="{FF2B5EF4-FFF2-40B4-BE49-F238E27FC236}">
              <a16:creationId xmlns:a16="http://schemas.microsoft.com/office/drawing/2014/main" id="{C509A570-B5A8-4C0B-924C-5A19EDA7A864}"/>
            </a:ext>
          </a:extLst>
        </xdr:cNvPr>
        <xdr:cNvCxnSpPr/>
      </xdr:nvCxnSpPr>
      <xdr:spPr>
        <a:xfrm>
          <a:off x="15120785" y="10461279"/>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80885</xdr:colOff>
      <xdr:row>59</xdr:row>
      <xdr:rowOff>155229</xdr:rowOff>
    </xdr:from>
    <xdr:to>
      <xdr:col>25</xdr:col>
      <xdr:colOff>720965</xdr:colOff>
      <xdr:row>59</xdr:row>
      <xdr:rowOff>155229</xdr:rowOff>
    </xdr:to>
    <xdr:cxnSp macro="">
      <xdr:nvCxnSpPr>
        <xdr:cNvPr id="124" name="Straight Connector 123">
          <a:extLst>
            <a:ext uri="{FF2B5EF4-FFF2-40B4-BE49-F238E27FC236}">
              <a16:creationId xmlns:a16="http://schemas.microsoft.com/office/drawing/2014/main" id="{532CED5F-ECD3-41FC-B984-A4986343FB4E}"/>
            </a:ext>
          </a:extLst>
        </xdr:cNvPr>
        <xdr:cNvCxnSpPr/>
      </xdr:nvCxnSpPr>
      <xdr:spPr>
        <a:xfrm>
          <a:off x="15892385" y="10461279"/>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75296</xdr:colOff>
      <xdr:row>59</xdr:row>
      <xdr:rowOff>155229</xdr:rowOff>
    </xdr:from>
    <xdr:to>
      <xdr:col>26</xdr:col>
      <xdr:colOff>715376</xdr:colOff>
      <xdr:row>59</xdr:row>
      <xdr:rowOff>155229</xdr:rowOff>
    </xdr:to>
    <xdr:cxnSp macro="">
      <xdr:nvCxnSpPr>
        <xdr:cNvPr id="125" name="Straight Connector 124">
          <a:extLst>
            <a:ext uri="{FF2B5EF4-FFF2-40B4-BE49-F238E27FC236}">
              <a16:creationId xmlns:a16="http://schemas.microsoft.com/office/drawing/2014/main" id="{E00E00E1-E34D-4A98-9BFE-0AFB758C39BB}"/>
            </a:ext>
          </a:extLst>
        </xdr:cNvPr>
        <xdr:cNvCxnSpPr/>
      </xdr:nvCxnSpPr>
      <xdr:spPr>
        <a:xfrm>
          <a:off x="16648796" y="10461279"/>
          <a:ext cx="57023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76885</xdr:colOff>
      <xdr:row>64</xdr:row>
      <xdr:rowOff>159393</xdr:rowOff>
    </xdr:from>
    <xdr:to>
      <xdr:col>23</xdr:col>
      <xdr:colOff>716965</xdr:colOff>
      <xdr:row>64</xdr:row>
      <xdr:rowOff>159393</xdr:rowOff>
    </xdr:to>
    <xdr:cxnSp macro="">
      <xdr:nvCxnSpPr>
        <xdr:cNvPr id="126" name="Straight Connector 125">
          <a:extLst>
            <a:ext uri="{FF2B5EF4-FFF2-40B4-BE49-F238E27FC236}">
              <a16:creationId xmlns:a16="http://schemas.microsoft.com/office/drawing/2014/main" id="{8A1D128C-1F35-4D08-9BD5-F0416719AC2D}"/>
            </a:ext>
          </a:extLst>
        </xdr:cNvPr>
        <xdr:cNvCxnSpPr/>
      </xdr:nvCxnSpPr>
      <xdr:spPr>
        <a:xfrm>
          <a:off x="14364385" y="11392543"/>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24</xdr:col>
      <xdr:colOff>74332</xdr:colOff>
      <xdr:row>64</xdr:row>
      <xdr:rowOff>159393</xdr:rowOff>
    </xdr:from>
    <xdr:to>
      <xdr:col>24</xdr:col>
      <xdr:colOff>714412</xdr:colOff>
      <xdr:row>64</xdr:row>
      <xdr:rowOff>159393</xdr:rowOff>
    </xdr:to>
    <xdr:cxnSp macro="">
      <xdr:nvCxnSpPr>
        <xdr:cNvPr id="127" name="Straight Connector 126">
          <a:extLst>
            <a:ext uri="{FF2B5EF4-FFF2-40B4-BE49-F238E27FC236}">
              <a16:creationId xmlns:a16="http://schemas.microsoft.com/office/drawing/2014/main" id="{0AAD3AD0-5266-4FDB-93DF-95E996939716}"/>
            </a:ext>
          </a:extLst>
        </xdr:cNvPr>
        <xdr:cNvCxnSpPr/>
      </xdr:nvCxnSpPr>
      <xdr:spPr>
        <a:xfrm>
          <a:off x="15123832" y="11392543"/>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83932</xdr:colOff>
      <xdr:row>64</xdr:row>
      <xdr:rowOff>159393</xdr:rowOff>
    </xdr:from>
    <xdr:to>
      <xdr:col>25</xdr:col>
      <xdr:colOff>724012</xdr:colOff>
      <xdr:row>64</xdr:row>
      <xdr:rowOff>159393</xdr:rowOff>
    </xdr:to>
    <xdr:cxnSp macro="">
      <xdr:nvCxnSpPr>
        <xdr:cNvPr id="128" name="Straight Connector 127">
          <a:extLst>
            <a:ext uri="{FF2B5EF4-FFF2-40B4-BE49-F238E27FC236}">
              <a16:creationId xmlns:a16="http://schemas.microsoft.com/office/drawing/2014/main" id="{082F11B9-3E3B-499D-8C79-BAE9495FC7AC}"/>
            </a:ext>
          </a:extLst>
        </xdr:cNvPr>
        <xdr:cNvCxnSpPr/>
      </xdr:nvCxnSpPr>
      <xdr:spPr>
        <a:xfrm>
          <a:off x="15895432" y="11392543"/>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78343</xdr:colOff>
      <xdr:row>64</xdr:row>
      <xdr:rowOff>159393</xdr:rowOff>
    </xdr:from>
    <xdr:to>
      <xdr:col>26</xdr:col>
      <xdr:colOff>718423</xdr:colOff>
      <xdr:row>64</xdr:row>
      <xdr:rowOff>159393</xdr:rowOff>
    </xdr:to>
    <xdr:cxnSp macro="">
      <xdr:nvCxnSpPr>
        <xdr:cNvPr id="129" name="Straight Connector 128">
          <a:extLst>
            <a:ext uri="{FF2B5EF4-FFF2-40B4-BE49-F238E27FC236}">
              <a16:creationId xmlns:a16="http://schemas.microsoft.com/office/drawing/2014/main" id="{55D330AD-1E5D-4D63-9ED0-862BA31A7320}"/>
            </a:ext>
          </a:extLst>
        </xdr:cNvPr>
        <xdr:cNvCxnSpPr/>
      </xdr:nvCxnSpPr>
      <xdr:spPr>
        <a:xfrm>
          <a:off x="16651843" y="11392543"/>
          <a:ext cx="57023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606793</xdr:colOff>
      <xdr:row>1</xdr:row>
      <xdr:rowOff>164647</xdr:rowOff>
    </xdr:from>
    <xdr:to>
      <xdr:col>26</xdr:col>
      <xdr:colOff>606793</xdr:colOff>
      <xdr:row>1</xdr:row>
      <xdr:rowOff>164739</xdr:rowOff>
    </xdr:to>
    <xdr:cxnSp macro="">
      <xdr:nvCxnSpPr>
        <xdr:cNvPr id="130" name="Straight Connector 129">
          <a:extLst>
            <a:ext uri="{FF2B5EF4-FFF2-40B4-BE49-F238E27FC236}">
              <a16:creationId xmlns:a16="http://schemas.microsoft.com/office/drawing/2014/main" id="{62D33505-89C6-4679-B32E-9D2F61C948E0}"/>
            </a:ext>
          </a:extLst>
        </xdr:cNvPr>
        <xdr:cNvCxnSpPr/>
      </xdr:nvCxnSpPr>
      <xdr:spPr>
        <a:xfrm flipV="1">
          <a:off x="13522693" y="348797"/>
          <a:ext cx="3657600" cy="92"/>
        </a:xfrm>
        <a:prstGeom prst="line">
          <a:avLst/>
        </a:prstGeom>
        <a:ln w="12700">
          <a:solidFill>
            <a:schemeClr val="bg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81638</xdr:colOff>
      <xdr:row>11</xdr:row>
      <xdr:rowOff>169534</xdr:rowOff>
    </xdr:from>
    <xdr:to>
      <xdr:col>20</xdr:col>
      <xdr:colOff>585586</xdr:colOff>
      <xdr:row>11</xdr:row>
      <xdr:rowOff>170691</xdr:rowOff>
    </xdr:to>
    <xdr:cxnSp macro="">
      <xdr:nvCxnSpPr>
        <xdr:cNvPr id="131" name="Straight Connector 130">
          <a:extLst>
            <a:ext uri="{FF2B5EF4-FFF2-40B4-BE49-F238E27FC236}">
              <a16:creationId xmlns:a16="http://schemas.microsoft.com/office/drawing/2014/main" id="{DFE35933-CF4D-4C75-9EA1-471ECCD8F394}"/>
            </a:ext>
          </a:extLst>
        </xdr:cNvPr>
        <xdr:cNvCxnSpPr/>
      </xdr:nvCxnSpPr>
      <xdr:spPr>
        <a:xfrm flipV="1">
          <a:off x="11778338" y="216978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81981</xdr:colOff>
      <xdr:row>16</xdr:row>
      <xdr:rowOff>154837</xdr:rowOff>
    </xdr:from>
    <xdr:to>
      <xdr:col>10</xdr:col>
      <xdr:colOff>585928</xdr:colOff>
      <xdr:row>16</xdr:row>
      <xdr:rowOff>155994</xdr:rowOff>
    </xdr:to>
    <xdr:cxnSp macro="">
      <xdr:nvCxnSpPr>
        <xdr:cNvPr id="132" name="Straight Connector 131">
          <a:extLst>
            <a:ext uri="{FF2B5EF4-FFF2-40B4-BE49-F238E27FC236}">
              <a16:creationId xmlns:a16="http://schemas.microsoft.com/office/drawing/2014/main" id="{348C8CEB-7BD7-40DE-A490-17B0E185CB15}"/>
            </a:ext>
          </a:extLst>
        </xdr:cNvPr>
        <xdr:cNvCxnSpPr/>
      </xdr:nvCxnSpPr>
      <xdr:spPr>
        <a:xfrm flipV="1">
          <a:off x="5682681" y="308218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84473</xdr:colOff>
      <xdr:row>16</xdr:row>
      <xdr:rowOff>154837</xdr:rowOff>
    </xdr:from>
    <xdr:to>
      <xdr:col>12</xdr:col>
      <xdr:colOff>588420</xdr:colOff>
      <xdr:row>16</xdr:row>
      <xdr:rowOff>155994</xdr:rowOff>
    </xdr:to>
    <xdr:cxnSp macro="">
      <xdr:nvCxnSpPr>
        <xdr:cNvPr id="133" name="Straight Connector 132">
          <a:extLst>
            <a:ext uri="{FF2B5EF4-FFF2-40B4-BE49-F238E27FC236}">
              <a16:creationId xmlns:a16="http://schemas.microsoft.com/office/drawing/2014/main" id="{8A6C40FA-4EB1-4A8B-A6C5-7F2C4F854F03}"/>
            </a:ext>
          </a:extLst>
        </xdr:cNvPr>
        <xdr:cNvCxnSpPr/>
      </xdr:nvCxnSpPr>
      <xdr:spPr>
        <a:xfrm flipV="1">
          <a:off x="6904373" y="308218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82797</xdr:colOff>
      <xdr:row>16</xdr:row>
      <xdr:rowOff>154837</xdr:rowOff>
    </xdr:from>
    <xdr:to>
      <xdr:col>14</xdr:col>
      <xdr:colOff>586744</xdr:colOff>
      <xdr:row>16</xdr:row>
      <xdr:rowOff>155994</xdr:rowOff>
    </xdr:to>
    <xdr:cxnSp macro="">
      <xdr:nvCxnSpPr>
        <xdr:cNvPr id="134" name="Straight Connector 133">
          <a:extLst>
            <a:ext uri="{FF2B5EF4-FFF2-40B4-BE49-F238E27FC236}">
              <a16:creationId xmlns:a16="http://schemas.microsoft.com/office/drawing/2014/main" id="{8096DFF0-EE04-4C30-A362-30D00D2D0992}"/>
            </a:ext>
          </a:extLst>
        </xdr:cNvPr>
        <xdr:cNvCxnSpPr/>
      </xdr:nvCxnSpPr>
      <xdr:spPr>
        <a:xfrm flipV="1">
          <a:off x="8121897" y="308218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92541</xdr:colOff>
      <xdr:row>16</xdr:row>
      <xdr:rowOff>154837</xdr:rowOff>
    </xdr:from>
    <xdr:to>
      <xdr:col>16</xdr:col>
      <xdr:colOff>596489</xdr:colOff>
      <xdr:row>16</xdr:row>
      <xdr:rowOff>155994</xdr:rowOff>
    </xdr:to>
    <xdr:cxnSp macro="">
      <xdr:nvCxnSpPr>
        <xdr:cNvPr id="135" name="Straight Connector 134">
          <a:extLst>
            <a:ext uri="{FF2B5EF4-FFF2-40B4-BE49-F238E27FC236}">
              <a16:creationId xmlns:a16="http://schemas.microsoft.com/office/drawing/2014/main" id="{4AF24E7E-22F1-4859-B9BA-B812E74097A1}"/>
            </a:ext>
          </a:extLst>
        </xdr:cNvPr>
        <xdr:cNvCxnSpPr/>
      </xdr:nvCxnSpPr>
      <xdr:spPr>
        <a:xfrm flipV="1">
          <a:off x="9350841" y="3082187"/>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81638</xdr:colOff>
      <xdr:row>16</xdr:row>
      <xdr:rowOff>154837</xdr:rowOff>
    </xdr:from>
    <xdr:to>
      <xdr:col>18</xdr:col>
      <xdr:colOff>585586</xdr:colOff>
      <xdr:row>16</xdr:row>
      <xdr:rowOff>155994</xdr:rowOff>
    </xdr:to>
    <xdr:cxnSp macro="">
      <xdr:nvCxnSpPr>
        <xdr:cNvPr id="136" name="Straight Connector 135">
          <a:extLst>
            <a:ext uri="{FF2B5EF4-FFF2-40B4-BE49-F238E27FC236}">
              <a16:creationId xmlns:a16="http://schemas.microsoft.com/office/drawing/2014/main" id="{C5C0A844-5B25-4D2A-9CD6-80593D3D639B}"/>
            </a:ext>
          </a:extLst>
        </xdr:cNvPr>
        <xdr:cNvCxnSpPr/>
      </xdr:nvCxnSpPr>
      <xdr:spPr>
        <a:xfrm flipV="1">
          <a:off x="10559138" y="3082187"/>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81638</xdr:colOff>
      <xdr:row>11</xdr:row>
      <xdr:rowOff>169534</xdr:rowOff>
    </xdr:from>
    <xdr:to>
      <xdr:col>20</xdr:col>
      <xdr:colOff>585586</xdr:colOff>
      <xdr:row>11</xdr:row>
      <xdr:rowOff>170691</xdr:rowOff>
    </xdr:to>
    <xdr:cxnSp macro="">
      <xdr:nvCxnSpPr>
        <xdr:cNvPr id="137" name="Straight Connector 136">
          <a:extLst>
            <a:ext uri="{FF2B5EF4-FFF2-40B4-BE49-F238E27FC236}">
              <a16:creationId xmlns:a16="http://schemas.microsoft.com/office/drawing/2014/main" id="{8CE6800A-D559-4318-8AE0-996402CC76C1}"/>
            </a:ext>
          </a:extLst>
        </xdr:cNvPr>
        <xdr:cNvCxnSpPr/>
      </xdr:nvCxnSpPr>
      <xdr:spPr>
        <a:xfrm flipV="1">
          <a:off x="11778338" y="216978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81638</xdr:colOff>
      <xdr:row>13</xdr:row>
      <xdr:rowOff>154837</xdr:rowOff>
    </xdr:from>
    <xdr:to>
      <xdr:col>20</xdr:col>
      <xdr:colOff>585586</xdr:colOff>
      <xdr:row>13</xdr:row>
      <xdr:rowOff>155994</xdr:rowOff>
    </xdr:to>
    <xdr:cxnSp macro="">
      <xdr:nvCxnSpPr>
        <xdr:cNvPr id="138" name="Straight Connector 137">
          <a:extLst>
            <a:ext uri="{FF2B5EF4-FFF2-40B4-BE49-F238E27FC236}">
              <a16:creationId xmlns:a16="http://schemas.microsoft.com/office/drawing/2014/main" id="{CF70FA22-03E0-47CA-A1F4-5B5A218B80D3}"/>
            </a:ext>
          </a:extLst>
        </xdr:cNvPr>
        <xdr:cNvCxnSpPr/>
      </xdr:nvCxnSpPr>
      <xdr:spPr>
        <a:xfrm flipV="1">
          <a:off x="11778338" y="2529737"/>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81638</xdr:colOff>
      <xdr:row>16</xdr:row>
      <xdr:rowOff>158334</xdr:rowOff>
    </xdr:from>
    <xdr:to>
      <xdr:col>20</xdr:col>
      <xdr:colOff>585586</xdr:colOff>
      <xdr:row>16</xdr:row>
      <xdr:rowOff>159491</xdr:rowOff>
    </xdr:to>
    <xdr:cxnSp macro="">
      <xdr:nvCxnSpPr>
        <xdr:cNvPr id="139" name="Straight Connector 138">
          <a:extLst>
            <a:ext uri="{FF2B5EF4-FFF2-40B4-BE49-F238E27FC236}">
              <a16:creationId xmlns:a16="http://schemas.microsoft.com/office/drawing/2014/main" id="{25969C8A-E4CA-43E4-ADA3-5B06480CD4A6}"/>
            </a:ext>
          </a:extLst>
        </xdr:cNvPr>
        <xdr:cNvCxnSpPr/>
      </xdr:nvCxnSpPr>
      <xdr:spPr>
        <a:xfrm flipV="1">
          <a:off x="11778338" y="308568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81638</xdr:colOff>
      <xdr:row>18</xdr:row>
      <xdr:rowOff>166215</xdr:rowOff>
    </xdr:from>
    <xdr:to>
      <xdr:col>20</xdr:col>
      <xdr:colOff>585586</xdr:colOff>
      <xdr:row>18</xdr:row>
      <xdr:rowOff>167372</xdr:rowOff>
    </xdr:to>
    <xdr:cxnSp macro="">
      <xdr:nvCxnSpPr>
        <xdr:cNvPr id="140" name="Straight Connector 139">
          <a:extLst>
            <a:ext uri="{FF2B5EF4-FFF2-40B4-BE49-F238E27FC236}">
              <a16:creationId xmlns:a16="http://schemas.microsoft.com/office/drawing/2014/main" id="{BC7D3BB2-285F-4EF8-853C-9EC05E20B914}"/>
            </a:ext>
          </a:extLst>
        </xdr:cNvPr>
        <xdr:cNvCxnSpPr/>
      </xdr:nvCxnSpPr>
      <xdr:spPr>
        <a:xfrm flipV="1">
          <a:off x="11778338" y="3461865"/>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96661</xdr:colOff>
      <xdr:row>23</xdr:row>
      <xdr:rowOff>152197</xdr:rowOff>
    </xdr:from>
    <xdr:to>
      <xdr:col>20</xdr:col>
      <xdr:colOff>600563</xdr:colOff>
      <xdr:row>23</xdr:row>
      <xdr:rowOff>153354</xdr:rowOff>
    </xdr:to>
    <xdr:cxnSp macro="">
      <xdr:nvCxnSpPr>
        <xdr:cNvPr id="141" name="Straight Connector 140">
          <a:extLst>
            <a:ext uri="{FF2B5EF4-FFF2-40B4-BE49-F238E27FC236}">
              <a16:creationId xmlns:a16="http://schemas.microsoft.com/office/drawing/2014/main" id="{98DB1670-2979-41C2-AE5C-15E2AF22DF36}"/>
            </a:ext>
          </a:extLst>
        </xdr:cNvPr>
        <xdr:cNvCxnSpPr/>
      </xdr:nvCxnSpPr>
      <xdr:spPr>
        <a:xfrm flipV="1">
          <a:off x="11793361" y="4235247"/>
          <a:ext cx="1113502"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81638</xdr:colOff>
      <xdr:row>24</xdr:row>
      <xdr:rowOff>191437</xdr:rowOff>
    </xdr:from>
    <xdr:to>
      <xdr:col>20</xdr:col>
      <xdr:colOff>585586</xdr:colOff>
      <xdr:row>24</xdr:row>
      <xdr:rowOff>192594</xdr:rowOff>
    </xdr:to>
    <xdr:cxnSp macro="">
      <xdr:nvCxnSpPr>
        <xdr:cNvPr id="142" name="Straight Connector 141">
          <a:extLst>
            <a:ext uri="{FF2B5EF4-FFF2-40B4-BE49-F238E27FC236}">
              <a16:creationId xmlns:a16="http://schemas.microsoft.com/office/drawing/2014/main" id="{54F5E5D4-534B-4545-A43E-7416230B87BD}"/>
            </a:ext>
          </a:extLst>
        </xdr:cNvPr>
        <xdr:cNvCxnSpPr/>
      </xdr:nvCxnSpPr>
      <xdr:spPr>
        <a:xfrm flipV="1">
          <a:off x="11778338" y="4452287"/>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81638</xdr:colOff>
      <xdr:row>25</xdr:row>
      <xdr:rowOff>5545</xdr:rowOff>
    </xdr:from>
    <xdr:to>
      <xdr:col>20</xdr:col>
      <xdr:colOff>585586</xdr:colOff>
      <xdr:row>25</xdr:row>
      <xdr:rowOff>6702</xdr:rowOff>
    </xdr:to>
    <xdr:cxnSp macro="">
      <xdr:nvCxnSpPr>
        <xdr:cNvPr id="143" name="Straight Connector 142">
          <a:extLst>
            <a:ext uri="{FF2B5EF4-FFF2-40B4-BE49-F238E27FC236}">
              <a16:creationId xmlns:a16="http://schemas.microsoft.com/office/drawing/2014/main" id="{DA7934BC-4D40-430A-91F8-A337DCB62058}"/>
            </a:ext>
          </a:extLst>
        </xdr:cNvPr>
        <xdr:cNvCxnSpPr/>
      </xdr:nvCxnSpPr>
      <xdr:spPr>
        <a:xfrm flipV="1">
          <a:off x="11778338" y="4456895"/>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76561</xdr:colOff>
      <xdr:row>33</xdr:row>
      <xdr:rowOff>162327</xdr:rowOff>
    </xdr:from>
    <xdr:to>
      <xdr:col>20</xdr:col>
      <xdr:colOff>580463</xdr:colOff>
      <xdr:row>33</xdr:row>
      <xdr:rowOff>163484</xdr:rowOff>
    </xdr:to>
    <xdr:cxnSp macro="">
      <xdr:nvCxnSpPr>
        <xdr:cNvPr id="144" name="Straight Connector 143">
          <a:extLst>
            <a:ext uri="{FF2B5EF4-FFF2-40B4-BE49-F238E27FC236}">
              <a16:creationId xmlns:a16="http://schemas.microsoft.com/office/drawing/2014/main" id="{7D78D4FD-E793-49B8-9FC7-4CA101392B6D}"/>
            </a:ext>
          </a:extLst>
        </xdr:cNvPr>
        <xdr:cNvCxnSpPr/>
      </xdr:nvCxnSpPr>
      <xdr:spPr>
        <a:xfrm flipV="1">
          <a:off x="11773261" y="6099577"/>
          <a:ext cx="1113502"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76561</xdr:colOff>
      <xdr:row>40</xdr:row>
      <xdr:rowOff>159727</xdr:rowOff>
    </xdr:from>
    <xdr:to>
      <xdr:col>20</xdr:col>
      <xdr:colOff>580463</xdr:colOff>
      <xdr:row>40</xdr:row>
      <xdr:rowOff>160884</xdr:rowOff>
    </xdr:to>
    <xdr:cxnSp macro="">
      <xdr:nvCxnSpPr>
        <xdr:cNvPr id="145" name="Straight Connector 144">
          <a:extLst>
            <a:ext uri="{FF2B5EF4-FFF2-40B4-BE49-F238E27FC236}">
              <a16:creationId xmlns:a16="http://schemas.microsoft.com/office/drawing/2014/main" id="{020C8964-9956-4419-9F93-865C6DDB9621}"/>
            </a:ext>
          </a:extLst>
        </xdr:cNvPr>
        <xdr:cNvCxnSpPr/>
      </xdr:nvCxnSpPr>
      <xdr:spPr>
        <a:xfrm flipV="1">
          <a:off x="11773261" y="7246327"/>
          <a:ext cx="1113502"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57761</xdr:colOff>
      <xdr:row>44</xdr:row>
      <xdr:rowOff>162046</xdr:rowOff>
    </xdr:from>
    <xdr:to>
      <xdr:col>20</xdr:col>
      <xdr:colOff>561663</xdr:colOff>
      <xdr:row>44</xdr:row>
      <xdr:rowOff>163364</xdr:rowOff>
    </xdr:to>
    <xdr:cxnSp macro="">
      <xdr:nvCxnSpPr>
        <xdr:cNvPr id="146" name="Straight Connector 145">
          <a:extLst>
            <a:ext uri="{FF2B5EF4-FFF2-40B4-BE49-F238E27FC236}">
              <a16:creationId xmlns:a16="http://schemas.microsoft.com/office/drawing/2014/main" id="{42B30C5F-4D5E-4B9F-878F-BF9014C6B2E3}"/>
            </a:ext>
          </a:extLst>
        </xdr:cNvPr>
        <xdr:cNvCxnSpPr/>
      </xdr:nvCxnSpPr>
      <xdr:spPr>
        <a:xfrm flipV="1">
          <a:off x="11754461" y="7985246"/>
          <a:ext cx="1113502"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57761</xdr:colOff>
      <xdr:row>53</xdr:row>
      <xdr:rowOff>159446</xdr:rowOff>
    </xdr:from>
    <xdr:to>
      <xdr:col>20</xdr:col>
      <xdr:colOff>561663</xdr:colOff>
      <xdr:row>53</xdr:row>
      <xdr:rowOff>160764</xdr:rowOff>
    </xdr:to>
    <xdr:cxnSp macro="">
      <xdr:nvCxnSpPr>
        <xdr:cNvPr id="147" name="Straight Connector 146">
          <a:extLst>
            <a:ext uri="{FF2B5EF4-FFF2-40B4-BE49-F238E27FC236}">
              <a16:creationId xmlns:a16="http://schemas.microsoft.com/office/drawing/2014/main" id="{42D7C14B-51ED-46BE-8A4A-00D14087AD4C}"/>
            </a:ext>
          </a:extLst>
        </xdr:cNvPr>
        <xdr:cNvCxnSpPr/>
      </xdr:nvCxnSpPr>
      <xdr:spPr>
        <a:xfrm flipV="1">
          <a:off x="11754461" y="9487596"/>
          <a:ext cx="1113502"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57761</xdr:colOff>
      <xdr:row>54</xdr:row>
      <xdr:rowOff>161846</xdr:rowOff>
    </xdr:from>
    <xdr:to>
      <xdr:col>20</xdr:col>
      <xdr:colOff>561663</xdr:colOff>
      <xdr:row>54</xdr:row>
      <xdr:rowOff>163164</xdr:rowOff>
    </xdr:to>
    <xdr:cxnSp macro="">
      <xdr:nvCxnSpPr>
        <xdr:cNvPr id="148" name="Straight Connector 147">
          <a:extLst>
            <a:ext uri="{FF2B5EF4-FFF2-40B4-BE49-F238E27FC236}">
              <a16:creationId xmlns:a16="http://schemas.microsoft.com/office/drawing/2014/main" id="{18654064-ED44-4EA3-82D9-7ACD64592BA4}"/>
            </a:ext>
          </a:extLst>
        </xdr:cNvPr>
        <xdr:cNvCxnSpPr/>
      </xdr:nvCxnSpPr>
      <xdr:spPr>
        <a:xfrm flipV="1">
          <a:off x="11754461" y="9674146"/>
          <a:ext cx="1113502"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57761</xdr:colOff>
      <xdr:row>55</xdr:row>
      <xdr:rowOff>4246</xdr:rowOff>
    </xdr:from>
    <xdr:to>
      <xdr:col>20</xdr:col>
      <xdr:colOff>561663</xdr:colOff>
      <xdr:row>55</xdr:row>
      <xdr:rowOff>5564</xdr:rowOff>
    </xdr:to>
    <xdr:cxnSp macro="">
      <xdr:nvCxnSpPr>
        <xdr:cNvPr id="149" name="Straight Connector 148">
          <a:extLst>
            <a:ext uri="{FF2B5EF4-FFF2-40B4-BE49-F238E27FC236}">
              <a16:creationId xmlns:a16="http://schemas.microsoft.com/office/drawing/2014/main" id="{728E767F-E964-4CA7-83B5-D12025AA56BE}"/>
            </a:ext>
          </a:extLst>
        </xdr:cNvPr>
        <xdr:cNvCxnSpPr/>
      </xdr:nvCxnSpPr>
      <xdr:spPr>
        <a:xfrm flipV="1">
          <a:off x="11754461" y="9700696"/>
          <a:ext cx="1113502"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81638</xdr:colOff>
      <xdr:row>16</xdr:row>
      <xdr:rowOff>154837</xdr:rowOff>
    </xdr:from>
    <xdr:to>
      <xdr:col>20</xdr:col>
      <xdr:colOff>585586</xdr:colOff>
      <xdr:row>16</xdr:row>
      <xdr:rowOff>155994</xdr:rowOff>
    </xdr:to>
    <xdr:cxnSp macro="">
      <xdr:nvCxnSpPr>
        <xdr:cNvPr id="150" name="Straight Connector 149">
          <a:extLst>
            <a:ext uri="{FF2B5EF4-FFF2-40B4-BE49-F238E27FC236}">
              <a16:creationId xmlns:a16="http://schemas.microsoft.com/office/drawing/2014/main" id="{57A2AA77-6B12-4F6D-A1CD-C20B8A1BACCE}"/>
            </a:ext>
          </a:extLst>
        </xdr:cNvPr>
        <xdr:cNvCxnSpPr/>
      </xdr:nvCxnSpPr>
      <xdr:spPr>
        <a:xfrm flipV="1">
          <a:off x="11778338" y="3082187"/>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81981</xdr:colOff>
      <xdr:row>24</xdr:row>
      <xdr:rowOff>191437</xdr:rowOff>
    </xdr:from>
    <xdr:to>
      <xdr:col>12</xdr:col>
      <xdr:colOff>585928</xdr:colOff>
      <xdr:row>24</xdr:row>
      <xdr:rowOff>192594</xdr:rowOff>
    </xdr:to>
    <xdr:cxnSp macro="">
      <xdr:nvCxnSpPr>
        <xdr:cNvPr id="151" name="Straight Connector 150">
          <a:extLst>
            <a:ext uri="{FF2B5EF4-FFF2-40B4-BE49-F238E27FC236}">
              <a16:creationId xmlns:a16="http://schemas.microsoft.com/office/drawing/2014/main" id="{9C11F122-D17F-4EA4-A93F-72960AA4A0E2}"/>
            </a:ext>
          </a:extLst>
        </xdr:cNvPr>
        <xdr:cNvCxnSpPr/>
      </xdr:nvCxnSpPr>
      <xdr:spPr>
        <a:xfrm flipV="1">
          <a:off x="6901881" y="445228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81981</xdr:colOff>
      <xdr:row>25</xdr:row>
      <xdr:rowOff>5545</xdr:rowOff>
    </xdr:from>
    <xdr:to>
      <xdr:col>12</xdr:col>
      <xdr:colOff>585928</xdr:colOff>
      <xdr:row>25</xdr:row>
      <xdr:rowOff>6702</xdr:rowOff>
    </xdr:to>
    <xdr:cxnSp macro="">
      <xdr:nvCxnSpPr>
        <xdr:cNvPr id="152" name="Straight Connector 151">
          <a:extLst>
            <a:ext uri="{FF2B5EF4-FFF2-40B4-BE49-F238E27FC236}">
              <a16:creationId xmlns:a16="http://schemas.microsoft.com/office/drawing/2014/main" id="{96840330-E4B3-42A7-B56C-397DBB4CA04F}"/>
            </a:ext>
          </a:extLst>
        </xdr:cNvPr>
        <xdr:cNvCxnSpPr/>
      </xdr:nvCxnSpPr>
      <xdr:spPr>
        <a:xfrm flipV="1">
          <a:off x="6901881" y="445689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81981</xdr:colOff>
      <xdr:row>24</xdr:row>
      <xdr:rowOff>191437</xdr:rowOff>
    </xdr:from>
    <xdr:to>
      <xdr:col>14</xdr:col>
      <xdr:colOff>585928</xdr:colOff>
      <xdr:row>24</xdr:row>
      <xdr:rowOff>192594</xdr:rowOff>
    </xdr:to>
    <xdr:cxnSp macro="">
      <xdr:nvCxnSpPr>
        <xdr:cNvPr id="153" name="Straight Connector 152">
          <a:extLst>
            <a:ext uri="{FF2B5EF4-FFF2-40B4-BE49-F238E27FC236}">
              <a16:creationId xmlns:a16="http://schemas.microsoft.com/office/drawing/2014/main" id="{4C466B09-EC32-4B0F-9042-811FF8D6D9E4}"/>
            </a:ext>
          </a:extLst>
        </xdr:cNvPr>
        <xdr:cNvCxnSpPr/>
      </xdr:nvCxnSpPr>
      <xdr:spPr>
        <a:xfrm flipV="1">
          <a:off x="8121081" y="445228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81981</xdr:colOff>
      <xdr:row>25</xdr:row>
      <xdr:rowOff>5545</xdr:rowOff>
    </xdr:from>
    <xdr:to>
      <xdr:col>14</xdr:col>
      <xdr:colOff>585928</xdr:colOff>
      <xdr:row>25</xdr:row>
      <xdr:rowOff>6702</xdr:rowOff>
    </xdr:to>
    <xdr:cxnSp macro="">
      <xdr:nvCxnSpPr>
        <xdr:cNvPr id="154" name="Straight Connector 153">
          <a:extLst>
            <a:ext uri="{FF2B5EF4-FFF2-40B4-BE49-F238E27FC236}">
              <a16:creationId xmlns:a16="http://schemas.microsoft.com/office/drawing/2014/main" id="{C5AF0454-BF94-4003-BCCE-596182757330}"/>
            </a:ext>
          </a:extLst>
        </xdr:cNvPr>
        <xdr:cNvCxnSpPr/>
      </xdr:nvCxnSpPr>
      <xdr:spPr>
        <a:xfrm flipV="1">
          <a:off x="8121081" y="445689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81981</xdr:colOff>
      <xdr:row>24</xdr:row>
      <xdr:rowOff>191437</xdr:rowOff>
    </xdr:from>
    <xdr:to>
      <xdr:col>16</xdr:col>
      <xdr:colOff>585928</xdr:colOff>
      <xdr:row>24</xdr:row>
      <xdr:rowOff>192594</xdr:rowOff>
    </xdr:to>
    <xdr:cxnSp macro="">
      <xdr:nvCxnSpPr>
        <xdr:cNvPr id="155" name="Straight Connector 154">
          <a:extLst>
            <a:ext uri="{FF2B5EF4-FFF2-40B4-BE49-F238E27FC236}">
              <a16:creationId xmlns:a16="http://schemas.microsoft.com/office/drawing/2014/main" id="{DE165C8F-5448-426D-92F7-5ED29950AF57}"/>
            </a:ext>
          </a:extLst>
        </xdr:cNvPr>
        <xdr:cNvCxnSpPr/>
      </xdr:nvCxnSpPr>
      <xdr:spPr>
        <a:xfrm flipV="1">
          <a:off x="9340281" y="445228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81981</xdr:colOff>
      <xdr:row>25</xdr:row>
      <xdr:rowOff>5545</xdr:rowOff>
    </xdr:from>
    <xdr:to>
      <xdr:col>16</xdr:col>
      <xdr:colOff>585928</xdr:colOff>
      <xdr:row>25</xdr:row>
      <xdr:rowOff>6702</xdr:rowOff>
    </xdr:to>
    <xdr:cxnSp macro="">
      <xdr:nvCxnSpPr>
        <xdr:cNvPr id="156" name="Straight Connector 155">
          <a:extLst>
            <a:ext uri="{FF2B5EF4-FFF2-40B4-BE49-F238E27FC236}">
              <a16:creationId xmlns:a16="http://schemas.microsoft.com/office/drawing/2014/main" id="{CAD05ACF-F4B8-471F-BD03-DA4D31EFD6F7}"/>
            </a:ext>
          </a:extLst>
        </xdr:cNvPr>
        <xdr:cNvCxnSpPr/>
      </xdr:nvCxnSpPr>
      <xdr:spPr>
        <a:xfrm flipV="1">
          <a:off x="9340281" y="445689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81981</xdr:colOff>
      <xdr:row>24</xdr:row>
      <xdr:rowOff>191437</xdr:rowOff>
    </xdr:from>
    <xdr:to>
      <xdr:col>18</xdr:col>
      <xdr:colOff>585928</xdr:colOff>
      <xdr:row>24</xdr:row>
      <xdr:rowOff>192594</xdr:rowOff>
    </xdr:to>
    <xdr:cxnSp macro="">
      <xdr:nvCxnSpPr>
        <xdr:cNvPr id="157" name="Straight Connector 156">
          <a:extLst>
            <a:ext uri="{FF2B5EF4-FFF2-40B4-BE49-F238E27FC236}">
              <a16:creationId xmlns:a16="http://schemas.microsoft.com/office/drawing/2014/main" id="{EF99B7D6-6D70-418A-A5C8-0603B5A6987A}"/>
            </a:ext>
          </a:extLst>
        </xdr:cNvPr>
        <xdr:cNvCxnSpPr/>
      </xdr:nvCxnSpPr>
      <xdr:spPr>
        <a:xfrm flipV="1">
          <a:off x="10559481" y="445228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81981</xdr:colOff>
      <xdr:row>25</xdr:row>
      <xdr:rowOff>5545</xdr:rowOff>
    </xdr:from>
    <xdr:to>
      <xdr:col>18</xdr:col>
      <xdr:colOff>585928</xdr:colOff>
      <xdr:row>25</xdr:row>
      <xdr:rowOff>6702</xdr:rowOff>
    </xdr:to>
    <xdr:cxnSp macro="">
      <xdr:nvCxnSpPr>
        <xdr:cNvPr id="158" name="Straight Connector 157">
          <a:extLst>
            <a:ext uri="{FF2B5EF4-FFF2-40B4-BE49-F238E27FC236}">
              <a16:creationId xmlns:a16="http://schemas.microsoft.com/office/drawing/2014/main" id="{B231C1E5-944F-42EF-AB7F-E4DBE3F4A61F}"/>
            </a:ext>
          </a:extLst>
        </xdr:cNvPr>
        <xdr:cNvCxnSpPr/>
      </xdr:nvCxnSpPr>
      <xdr:spPr>
        <a:xfrm flipV="1">
          <a:off x="10559481" y="445689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81981</xdr:colOff>
      <xdr:row>24</xdr:row>
      <xdr:rowOff>191437</xdr:rowOff>
    </xdr:from>
    <xdr:to>
      <xdr:col>20</xdr:col>
      <xdr:colOff>585928</xdr:colOff>
      <xdr:row>24</xdr:row>
      <xdr:rowOff>192594</xdr:rowOff>
    </xdr:to>
    <xdr:cxnSp macro="">
      <xdr:nvCxnSpPr>
        <xdr:cNvPr id="159" name="Straight Connector 158">
          <a:extLst>
            <a:ext uri="{FF2B5EF4-FFF2-40B4-BE49-F238E27FC236}">
              <a16:creationId xmlns:a16="http://schemas.microsoft.com/office/drawing/2014/main" id="{C066EDBA-5431-4DBD-AC1D-774C7AC86FEC}"/>
            </a:ext>
          </a:extLst>
        </xdr:cNvPr>
        <xdr:cNvCxnSpPr/>
      </xdr:nvCxnSpPr>
      <xdr:spPr>
        <a:xfrm flipV="1">
          <a:off x="11778681" y="445228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81981</xdr:colOff>
      <xdr:row>25</xdr:row>
      <xdr:rowOff>5545</xdr:rowOff>
    </xdr:from>
    <xdr:to>
      <xdr:col>20</xdr:col>
      <xdr:colOff>585928</xdr:colOff>
      <xdr:row>25</xdr:row>
      <xdr:rowOff>6702</xdr:rowOff>
    </xdr:to>
    <xdr:cxnSp macro="">
      <xdr:nvCxnSpPr>
        <xdr:cNvPr id="160" name="Straight Connector 159">
          <a:extLst>
            <a:ext uri="{FF2B5EF4-FFF2-40B4-BE49-F238E27FC236}">
              <a16:creationId xmlns:a16="http://schemas.microsoft.com/office/drawing/2014/main" id="{590D386C-B289-43F6-B54B-0110366BA623}"/>
            </a:ext>
          </a:extLst>
        </xdr:cNvPr>
        <xdr:cNvCxnSpPr/>
      </xdr:nvCxnSpPr>
      <xdr:spPr>
        <a:xfrm flipV="1">
          <a:off x="11778681" y="445689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81981</xdr:colOff>
      <xdr:row>27</xdr:row>
      <xdr:rowOff>191437</xdr:rowOff>
    </xdr:from>
    <xdr:to>
      <xdr:col>10</xdr:col>
      <xdr:colOff>585928</xdr:colOff>
      <xdr:row>27</xdr:row>
      <xdr:rowOff>192594</xdr:rowOff>
    </xdr:to>
    <xdr:cxnSp macro="">
      <xdr:nvCxnSpPr>
        <xdr:cNvPr id="161" name="Straight Connector 160">
          <a:extLst>
            <a:ext uri="{FF2B5EF4-FFF2-40B4-BE49-F238E27FC236}">
              <a16:creationId xmlns:a16="http://schemas.microsoft.com/office/drawing/2014/main" id="{A4FA0033-4722-4EDC-881E-0BA82663C748}"/>
            </a:ext>
          </a:extLst>
        </xdr:cNvPr>
        <xdr:cNvCxnSpPr/>
      </xdr:nvCxnSpPr>
      <xdr:spPr>
        <a:xfrm flipV="1">
          <a:off x="5682681" y="500473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81981</xdr:colOff>
      <xdr:row>28</xdr:row>
      <xdr:rowOff>5545</xdr:rowOff>
    </xdr:from>
    <xdr:to>
      <xdr:col>10</xdr:col>
      <xdr:colOff>585928</xdr:colOff>
      <xdr:row>28</xdr:row>
      <xdr:rowOff>6702</xdr:rowOff>
    </xdr:to>
    <xdr:cxnSp macro="">
      <xdr:nvCxnSpPr>
        <xdr:cNvPr id="162" name="Straight Connector 161">
          <a:extLst>
            <a:ext uri="{FF2B5EF4-FFF2-40B4-BE49-F238E27FC236}">
              <a16:creationId xmlns:a16="http://schemas.microsoft.com/office/drawing/2014/main" id="{A1D325A1-E0F4-4594-B5F8-1421D9ABBF50}"/>
            </a:ext>
          </a:extLst>
        </xdr:cNvPr>
        <xdr:cNvCxnSpPr/>
      </xdr:nvCxnSpPr>
      <xdr:spPr>
        <a:xfrm flipV="1">
          <a:off x="5682681" y="500934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81981</xdr:colOff>
      <xdr:row>27</xdr:row>
      <xdr:rowOff>191437</xdr:rowOff>
    </xdr:from>
    <xdr:to>
      <xdr:col>12</xdr:col>
      <xdr:colOff>585928</xdr:colOff>
      <xdr:row>27</xdr:row>
      <xdr:rowOff>192594</xdr:rowOff>
    </xdr:to>
    <xdr:cxnSp macro="">
      <xdr:nvCxnSpPr>
        <xdr:cNvPr id="163" name="Straight Connector 162">
          <a:extLst>
            <a:ext uri="{FF2B5EF4-FFF2-40B4-BE49-F238E27FC236}">
              <a16:creationId xmlns:a16="http://schemas.microsoft.com/office/drawing/2014/main" id="{E3714DEE-C5B0-4099-91E8-130039186BE1}"/>
            </a:ext>
          </a:extLst>
        </xdr:cNvPr>
        <xdr:cNvCxnSpPr/>
      </xdr:nvCxnSpPr>
      <xdr:spPr>
        <a:xfrm flipV="1">
          <a:off x="6901881" y="500473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81981</xdr:colOff>
      <xdr:row>28</xdr:row>
      <xdr:rowOff>5545</xdr:rowOff>
    </xdr:from>
    <xdr:to>
      <xdr:col>12</xdr:col>
      <xdr:colOff>585928</xdr:colOff>
      <xdr:row>28</xdr:row>
      <xdr:rowOff>6702</xdr:rowOff>
    </xdr:to>
    <xdr:cxnSp macro="">
      <xdr:nvCxnSpPr>
        <xdr:cNvPr id="164" name="Straight Connector 163">
          <a:extLst>
            <a:ext uri="{FF2B5EF4-FFF2-40B4-BE49-F238E27FC236}">
              <a16:creationId xmlns:a16="http://schemas.microsoft.com/office/drawing/2014/main" id="{6CC740AF-212B-4BA2-8688-2FCE150FB5F7}"/>
            </a:ext>
          </a:extLst>
        </xdr:cNvPr>
        <xdr:cNvCxnSpPr/>
      </xdr:nvCxnSpPr>
      <xdr:spPr>
        <a:xfrm flipV="1">
          <a:off x="6901881" y="500934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81981</xdr:colOff>
      <xdr:row>27</xdr:row>
      <xdr:rowOff>191437</xdr:rowOff>
    </xdr:from>
    <xdr:to>
      <xdr:col>14</xdr:col>
      <xdr:colOff>585928</xdr:colOff>
      <xdr:row>27</xdr:row>
      <xdr:rowOff>192594</xdr:rowOff>
    </xdr:to>
    <xdr:cxnSp macro="">
      <xdr:nvCxnSpPr>
        <xdr:cNvPr id="165" name="Straight Connector 164">
          <a:extLst>
            <a:ext uri="{FF2B5EF4-FFF2-40B4-BE49-F238E27FC236}">
              <a16:creationId xmlns:a16="http://schemas.microsoft.com/office/drawing/2014/main" id="{B43D386A-A805-463E-940C-C6ADF5B98817}"/>
            </a:ext>
          </a:extLst>
        </xdr:cNvPr>
        <xdr:cNvCxnSpPr/>
      </xdr:nvCxnSpPr>
      <xdr:spPr>
        <a:xfrm flipV="1">
          <a:off x="8121081" y="500473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81981</xdr:colOff>
      <xdr:row>28</xdr:row>
      <xdr:rowOff>5545</xdr:rowOff>
    </xdr:from>
    <xdr:to>
      <xdr:col>14</xdr:col>
      <xdr:colOff>585928</xdr:colOff>
      <xdr:row>28</xdr:row>
      <xdr:rowOff>6702</xdr:rowOff>
    </xdr:to>
    <xdr:cxnSp macro="">
      <xdr:nvCxnSpPr>
        <xdr:cNvPr id="166" name="Straight Connector 165">
          <a:extLst>
            <a:ext uri="{FF2B5EF4-FFF2-40B4-BE49-F238E27FC236}">
              <a16:creationId xmlns:a16="http://schemas.microsoft.com/office/drawing/2014/main" id="{43F1F496-82E3-4F99-BAF7-59D313F32116}"/>
            </a:ext>
          </a:extLst>
        </xdr:cNvPr>
        <xdr:cNvCxnSpPr/>
      </xdr:nvCxnSpPr>
      <xdr:spPr>
        <a:xfrm flipV="1">
          <a:off x="8121081" y="500934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81981</xdr:colOff>
      <xdr:row>27</xdr:row>
      <xdr:rowOff>191437</xdr:rowOff>
    </xdr:from>
    <xdr:to>
      <xdr:col>16</xdr:col>
      <xdr:colOff>585928</xdr:colOff>
      <xdr:row>27</xdr:row>
      <xdr:rowOff>192594</xdr:rowOff>
    </xdr:to>
    <xdr:cxnSp macro="">
      <xdr:nvCxnSpPr>
        <xdr:cNvPr id="167" name="Straight Connector 166">
          <a:extLst>
            <a:ext uri="{FF2B5EF4-FFF2-40B4-BE49-F238E27FC236}">
              <a16:creationId xmlns:a16="http://schemas.microsoft.com/office/drawing/2014/main" id="{E59E6F53-BA94-4438-85B1-B5E8EF6E603D}"/>
            </a:ext>
          </a:extLst>
        </xdr:cNvPr>
        <xdr:cNvCxnSpPr/>
      </xdr:nvCxnSpPr>
      <xdr:spPr>
        <a:xfrm flipV="1">
          <a:off x="9340281" y="500473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81981</xdr:colOff>
      <xdr:row>28</xdr:row>
      <xdr:rowOff>5545</xdr:rowOff>
    </xdr:from>
    <xdr:to>
      <xdr:col>16</xdr:col>
      <xdr:colOff>585928</xdr:colOff>
      <xdr:row>28</xdr:row>
      <xdr:rowOff>6702</xdr:rowOff>
    </xdr:to>
    <xdr:cxnSp macro="">
      <xdr:nvCxnSpPr>
        <xdr:cNvPr id="168" name="Straight Connector 167">
          <a:extLst>
            <a:ext uri="{FF2B5EF4-FFF2-40B4-BE49-F238E27FC236}">
              <a16:creationId xmlns:a16="http://schemas.microsoft.com/office/drawing/2014/main" id="{BD172012-3EA7-4BC2-95BB-4E273E43CB12}"/>
            </a:ext>
          </a:extLst>
        </xdr:cNvPr>
        <xdr:cNvCxnSpPr/>
      </xdr:nvCxnSpPr>
      <xdr:spPr>
        <a:xfrm flipV="1">
          <a:off x="9340281" y="500934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81981</xdr:colOff>
      <xdr:row>27</xdr:row>
      <xdr:rowOff>191437</xdr:rowOff>
    </xdr:from>
    <xdr:to>
      <xdr:col>18</xdr:col>
      <xdr:colOff>585928</xdr:colOff>
      <xdr:row>27</xdr:row>
      <xdr:rowOff>192594</xdr:rowOff>
    </xdr:to>
    <xdr:cxnSp macro="">
      <xdr:nvCxnSpPr>
        <xdr:cNvPr id="169" name="Straight Connector 168">
          <a:extLst>
            <a:ext uri="{FF2B5EF4-FFF2-40B4-BE49-F238E27FC236}">
              <a16:creationId xmlns:a16="http://schemas.microsoft.com/office/drawing/2014/main" id="{77A7148B-F6E1-434B-98C1-CE6BFD798830}"/>
            </a:ext>
          </a:extLst>
        </xdr:cNvPr>
        <xdr:cNvCxnSpPr/>
      </xdr:nvCxnSpPr>
      <xdr:spPr>
        <a:xfrm flipV="1">
          <a:off x="10559481" y="500473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81981</xdr:colOff>
      <xdr:row>28</xdr:row>
      <xdr:rowOff>5545</xdr:rowOff>
    </xdr:from>
    <xdr:to>
      <xdr:col>18</xdr:col>
      <xdr:colOff>585928</xdr:colOff>
      <xdr:row>28</xdr:row>
      <xdr:rowOff>6702</xdr:rowOff>
    </xdr:to>
    <xdr:cxnSp macro="">
      <xdr:nvCxnSpPr>
        <xdr:cNvPr id="170" name="Straight Connector 169">
          <a:extLst>
            <a:ext uri="{FF2B5EF4-FFF2-40B4-BE49-F238E27FC236}">
              <a16:creationId xmlns:a16="http://schemas.microsoft.com/office/drawing/2014/main" id="{97B66209-BA90-4664-B05B-A01764021FFD}"/>
            </a:ext>
          </a:extLst>
        </xdr:cNvPr>
        <xdr:cNvCxnSpPr/>
      </xdr:nvCxnSpPr>
      <xdr:spPr>
        <a:xfrm flipV="1">
          <a:off x="10559481" y="500934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81981</xdr:colOff>
      <xdr:row>27</xdr:row>
      <xdr:rowOff>191437</xdr:rowOff>
    </xdr:from>
    <xdr:to>
      <xdr:col>20</xdr:col>
      <xdr:colOff>585928</xdr:colOff>
      <xdr:row>27</xdr:row>
      <xdr:rowOff>192594</xdr:rowOff>
    </xdr:to>
    <xdr:cxnSp macro="">
      <xdr:nvCxnSpPr>
        <xdr:cNvPr id="171" name="Straight Connector 170">
          <a:extLst>
            <a:ext uri="{FF2B5EF4-FFF2-40B4-BE49-F238E27FC236}">
              <a16:creationId xmlns:a16="http://schemas.microsoft.com/office/drawing/2014/main" id="{E745DBDB-318E-4609-BB36-9B0A53078779}"/>
            </a:ext>
          </a:extLst>
        </xdr:cNvPr>
        <xdr:cNvCxnSpPr/>
      </xdr:nvCxnSpPr>
      <xdr:spPr>
        <a:xfrm flipV="1">
          <a:off x="11778681" y="500473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81981</xdr:colOff>
      <xdr:row>28</xdr:row>
      <xdr:rowOff>5545</xdr:rowOff>
    </xdr:from>
    <xdr:to>
      <xdr:col>20</xdr:col>
      <xdr:colOff>585928</xdr:colOff>
      <xdr:row>28</xdr:row>
      <xdr:rowOff>6702</xdr:rowOff>
    </xdr:to>
    <xdr:cxnSp macro="">
      <xdr:nvCxnSpPr>
        <xdr:cNvPr id="172" name="Straight Connector 171">
          <a:extLst>
            <a:ext uri="{FF2B5EF4-FFF2-40B4-BE49-F238E27FC236}">
              <a16:creationId xmlns:a16="http://schemas.microsoft.com/office/drawing/2014/main" id="{8BCC9D08-412B-4D7A-8D06-9B4D849440B2}"/>
            </a:ext>
          </a:extLst>
        </xdr:cNvPr>
        <xdr:cNvCxnSpPr/>
      </xdr:nvCxnSpPr>
      <xdr:spPr>
        <a:xfrm flipV="1">
          <a:off x="11778681" y="500934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58081</xdr:colOff>
      <xdr:row>44</xdr:row>
      <xdr:rowOff>162046</xdr:rowOff>
    </xdr:from>
    <xdr:to>
      <xdr:col>12</xdr:col>
      <xdr:colOff>562028</xdr:colOff>
      <xdr:row>44</xdr:row>
      <xdr:rowOff>163364</xdr:rowOff>
    </xdr:to>
    <xdr:cxnSp macro="">
      <xdr:nvCxnSpPr>
        <xdr:cNvPr id="173" name="Straight Connector 172">
          <a:extLst>
            <a:ext uri="{FF2B5EF4-FFF2-40B4-BE49-F238E27FC236}">
              <a16:creationId xmlns:a16="http://schemas.microsoft.com/office/drawing/2014/main" id="{3F68CE26-431E-4534-A896-BFEB55166E84}"/>
            </a:ext>
          </a:extLst>
        </xdr:cNvPr>
        <xdr:cNvCxnSpPr/>
      </xdr:nvCxnSpPr>
      <xdr:spPr>
        <a:xfrm flipV="1">
          <a:off x="6877981" y="79852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58081</xdr:colOff>
      <xdr:row>44</xdr:row>
      <xdr:rowOff>162046</xdr:rowOff>
    </xdr:from>
    <xdr:to>
      <xdr:col>14</xdr:col>
      <xdr:colOff>562028</xdr:colOff>
      <xdr:row>44</xdr:row>
      <xdr:rowOff>163364</xdr:rowOff>
    </xdr:to>
    <xdr:cxnSp macro="">
      <xdr:nvCxnSpPr>
        <xdr:cNvPr id="174" name="Straight Connector 173">
          <a:extLst>
            <a:ext uri="{FF2B5EF4-FFF2-40B4-BE49-F238E27FC236}">
              <a16:creationId xmlns:a16="http://schemas.microsoft.com/office/drawing/2014/main" id="{A351617D-2B9B-417D-9ABE-AECCBD835D89}"/>
            </a:ext>
          </a:extLst>
        </xdr:cNvPr>
        <xdr:cNvCxnSpPr/>
      </xdr:nvCxnSpPr>
      <xdr:spPr>
        <a:xfrm flipV="1">
          <a:off x="8097181" y="79852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58081</xdr:colOff>
      <xdr:row>44</xdr:row>
      <xdr:rowOff>162046</xdr:rowOff>
    </xdr:from>
    <xdr:to>
      <xdr:col>16</xdr:col>
      <xdr:colOff>562028</xdr:colOff>
      <xdr:row>44</xdr:row>
      <xdr:rowOff>163364</xdr:rowOff>
    </xdr:to>
    <xdr:cxnSp macro="">
      <xdr:nvCxnSpPr>
        <xdr:cNvPr id="175" name="Straight Connector 174">
          <a:extLst>
            <a:ext uri="{FF2B5EF4-FFF2-40B4-BE49-F238E27FC236}">
              <a16:creationId xmlns:a16="http://schemas.microsoft.com/office/drawing/2014/main" id="{93FB9A90-29E1-43F5-8F29-9C1A10D65AEE}"/>
            </a:ext>
          </a:extLst>
        </xdr:cNvPr>
        <xdr:cNvCxnSpPr/>
      </xdr:nvCxnSpPr>
      <xdr:spPr>
        <a:xfrm flipV="1">
          <a:off x="9316381" y="79852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58081</xdr:colOff>
      <xdr:row>44</xdr:row>
      <xdr:rowOff>162046</xdr:rowOff>
    </xdr:from>
    <xdr:to>
      <xdr:col>18</xdr:col>
      <xdr:colOff>562028</xdr:colOff>
      <xdr:row>44</xdr:row>
      <xdr:rowOff>163364</xdr:rowOff>
    </xdr:to>
    <xdr:cxnSp macro="">
      <xdr:nvCxnSpPr>
        <xdr:cNvPr id="176" name="Straight Connector 175">
          <a:extLst>
            <a:ext uri="{FF2B5EF4-FFF2-40B4-BE49-F238E27FC236}">
              <a16:creationId xmlns:a16="http://schemas.microsoft.com/office/drawing/2014/main" id="{AB54D102-D668-4183-9A38-44399E99B33B}"/>
            </a:ext>
          </a:extLst>
        </xdr:cNvPr>
        <xdr:cNvCxnSpPr/>
      </xdr:nvCxnSpPr>
      <xdr:spPr>
        <a:xfrm flipV="1">
          <a:off x="10535581" y="79852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58081</xdr:colOff>
      <xdr:row>44</xdr:row>
      <xdr:rowOff>162046</xdr:rowOff>
    </xdr:from>
    <xdr:to>
      <xdr:col>20</xdr:col>
      <xdr:colOff>562028</xdr:colOff>
      <xdr:row>44</xdr:row>
      <xdr:rowOff>163364</xdr:rowOff>
    </xdr:to>
    <xdr:cxnSp macro="">
      <xdr:nvCxnSpPr>
        <xdr:cNvPr id="177" name="Straight Connector 176">
          <a:extLst>
            <a:ext uri="{FF2B5EF4-FFF2-40B4-BE49-F238E27FC236}">
              <a16:creationId xmlns:a16="http://schemas.microsoft.com/office/drawing/2014/main" id="{7F74BD18-09F4-4F46-AB64-6C71659077BE}"/>
            </a:ext>
          </a:extLst>
        </xdr:cNvPr>
        <xdr:cNvCxnSpPr/>
      </xdr:nvCxnSpPr>
      <xdr:spPr>
        <a:xfrm flipV="1">
          <a:off x="11754781" y="79852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58081</xdr:colOff>
      <xdr:row>53</xdr:row>
      <xdr:rowOff>159446</xdr:rowOff>
    </xdr:from>
    <xdr:to>
      <xdr:col>12</xdr:col>
      <xdr:colOff>562028</xdr:colOff>
      <xdr:row>53</xdr:row>
      <xdr:rowOff>160764</xdr:rowOff>
    </xdr:to>
    <xdr:cxnSp macro="">
      <xdr:nvCxnSpPr>
        <xdr:cNvPr id="178" name="Straight Connector 177">
          <a:extLst>
            <a:ext uri="{FF2B5EF4-FFF2-40B4-BE49-F238E27FC236}">
              <a16:creationId xmlns:a16="http://schemas.microsoft.com/office/drawing/2014/main" id="{31A2C817-78F9-4D11-BB20-CF2034D818BA}"/>
            </a:ext>
          </a:extLst>
        </xdr:cNvPr>
        <xdr:cNvCxnSpPr/>
      </xdr:nvCxnSpPr>
      <xdr:spPr>
        <a:xfrm flipV="1">
          <a:off x="6877981" y="94875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58081</xdr:colOff>
      <xdr:row>53</xdr:row>
      <xdr:rowOff>159446</xdr:rowOff>
    </xdr:from>
    <xdr:to>
      <xdr:col>14</xdr:col>
      <xdr:colOff>562028</xdr:colOff>
      <xdr:row>53</xdr:row>
      <xdr:rowOff>160764</xdr:rowOff>
    </xdr:to>
    <xdr:cxnSp macro="">
      <xdr:nvCxnSpPr>
        <xdr:cNvPr id="179" name="Straight Connector 178">
          <a:extLst>
            <a:ext uri="{FF2B5EF4-FFF2-40B4-BE49-F238E27FC236}">
              <a16:creationId xmlns:a16="http://schemas.microsoft.com/office/drawing/2014/main" id="{8D9B8629-664D-4461-85D0-A8495C3C95B1}"/>
            </a:ext>
          </a:extLst>
        </xdr:cNvPr>
        <xdr:cNvCxnSpPr/>
      </xdr:nvCxnSpPr>
      <xdr:spPr>
        <a:xfrm flipV="1">
          <a:off x="8097181" y="94875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58081</xdr:colOff>
      <xdr:row>53</xdr:row>
      <xdr:rowOff>159446</xdr:rowOff>
    </xdr:from>
    <xdr:to>
      <xdr:col>16</xdr:col>
      <xdr:colOff>562028</xdr:colOff>
      <xdr:row>53</xdr:row>
      <xdr:rowOff>160764</xdr:rowOff>
    </xdr:to>
    <xdr:cxnSp macro="">
      <xdr:nvCxnSpPr>
        <xdr:cNvPr id="180" name="Straight Connector 179">
          <a:extLst>
            <a:ext uri="{FF2B5EF4-FFF2-40B4-BE49-F238E27FC236}">
              <a16:creationId xmlns:a16="http://schemas.microsoft.com/office/drawing/2014/main" id="{FD838D78-D701-4086-8961-99B6E9259B68}"/>
            </a:ext>
          </a:extLst>
        </xdr:cNvPr>
        <xdr:cNvCxnSpPr/>
      </xdr:nvCxnSpPr>
      <xdr:spPr>
        <a:xfrm flipV="1">
          <a:off x="9316381" y="94875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58081</xdr:colOff>
      <xdr:row>53</xdr:row>
      <xdr:rowOff>159446</xdr:rowOff>
    </xdr:from>
    <xdr:to>
      <xdr:col>18</xdr:col>
      <xdr:colOff>562028</xdr:colOff>
      <xdr:row>53</xdr:row>
      <xdr:rowOff>160764</xdr:rowOff>
    </xdr:to>
    <xdr:cxnSp macro="">
      <xdr:nvCxnSpPr>
        <xdr:cNvPr id="181" name="Straight Connector 180">
          <a:extLst>
            <a:ext uri="{FF2B5EF4-FFF2-40B4-BE49-F238E27FC236}">
              <a16:creationId xmlns:a16="http://schemas.microsoft.com/office/drawing/2014/main" id="{9FA478E5-C0AA-409D-B486-F0A58C35AB03}"/>
            </a:ext>
          </a:extLst>
        </xdr:cNvPr>
        <xdr:cNvCxnSpPr/>
      </xdr:nvCxnSpPr>
      <xdr:spPr>
        <a:xfrm flipV="1">
          <a:off x="10535581" y="94875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58081</xdr:colOff>
      <xdr:row>53</xdr:row>
      <xdr:rowOff>159446</xdr:rowOff>
    </xdr:from>
    <xdr:to>
      <xdr:col>20</xdr:col>
      <xdr:colOff>562028</xdr:colOff>
      <xdr:row>53</xdr:row>
      <xdr:rowOff>160764</xdr:rowOff>
    </xdr:to>
    <xdr:cxnSp macro="">
      <xdr:nvCxnSpPr>
        <xdr:cNvPr id="182" name="Straight Connector 181">
          <a:extLst>
            <a:ext uri="{FF2B5EF4-FFF2-40B4-BE49-F238E27FC236}">
              <a16:creationId xmlns:a16="http://schemas.microsoft.com/office/drawing/2014/main" id="{F7897349-B7EB-4BAB-8974-DC32926A6137}"/>
            </a:ext>
          </a:extLst>
        </xdr:cNvPr>
        <xdr:cNvCxnSpPr/>
      </xdr:nvCxnSpPr>
      <xdr:spPr>
        <a:xfrm flipV="1">
          <a:off x="11754781" y="94875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58081</xdr:colOff>
      <xdr:row>54</xdr:row>
      <xdr:rowOff>159446</xdr:rowOff>
    </xdr:from>
    <xdr:to>
      <xdr:col>10</xdr:col>
      <xdr:colOff>562028</xdr:colOff>
      <xdr:row>54</xdr:row>
      <xdr:rowOff>160764</xdr:rowOff>
    </xdr:to>
    <xdr:cxnSp macro="">
      <xdr:nvCxnSpPr>
        <xdr:cNvPr id="183" name="Straight Connector 182">
          <a:extLst>
            <a:ext uri="{FF2B5EF4-FFF2-40B4-BE49-F238E27FC236}">
              <a16:creationId xmlns:a16="http://schemas.microsoft.com/office/drawing/2014/main" id="{FB9C46DC-892A-4EEF-9112-5D7365329959}"/>
            </a:ext>
          </a:extLst>
        </xdr:cNvPr>
        <xdr:cNvCxnSpPr/>
      </xdr:nvCxnSpPr>
      <xdr:spPr>
        <a:xfrm flipV="1">
          <a:off x="5658781" y="96717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58081</xdr:colOff>
      <xdr:row>54</xdr:row>
      <xdr:rowOff>161846</xdr:rowOff>
    </xdr:from>
    <xdr:to>
      <xdr:col>12</xdr:col>
      <xdr:colOff>562028</xdr:colOff>
      <xdr:row>54</xdr:row>
      <xdr:rowOff>163164</xdr:rowOff>
    </xdr:to>
    <xdr:cxnSp macro="">
      <xdr:nvCxnSpPr>
        <xdr:cNvPr id="184" name="Straight Connector 183">
          <a:extLst>
            <a:ext uri="{FF2B5EF4-FFF2-40B4-BE49-F238E27FC236}">
              <a16:creationId xmlns:a16="http://schemas.microsoft.com/office/drawing/2014/main" id="{B7A57E9B-A4F2-4395-87F1-45C8CFD317DE}"/>
            </a:ext>
          </a:extLst>
        </xdr:cNvPr>
        <xdr:cNvCxnSpPr/>
      </xdr:nvCxnSpPr>
      <xdr:spPr>
        <a:xfrm flipV="1">
          <a:off x="6877981" y="96741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58081</xdr:colOff>
      <xdr:row>54</xdr:row>
      <xdr:rowOff>159446</xdr:rowOff>
    </xdr:from>
    <xdr:to>
      <xdr:col>12</xdr:col>
      <xdr:colOff>562028</xdr:colOff>
      <xdr:row>54</xdr:row>
      <xdr:rowOff>160764</xdr:rowOff>
    </xdr:to>
    <xdr:cxnSp macro="">
      <xdr:nvCxnSpPr>
        <xdr:cNvPr id="185" name="Straight Connector 184">
          <a:extLst>
            <a:ext uri="{FF2B5EF4-FFF2-40B4-BE49-F238E27FC236}">
              <a16:creationId xmlns:a16="http://schemas.microsoft.com/office/drawing/2014/main" id="{BB06126A-1211-445E-86D8-DBC50024FB4F}"/>
            </a:ext>
          </a:extLst>
        </xdr:cNvPr>
        <xdr:cNvCxnSpPr/>
      </xdr:nvCxnSpPr>
      <xdr:spPr>
        <a:xfrm flipV="1">
          <a:off x="6877981" y="96717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58081</xdr:colOff>
      <xdr:row>54</xdr:row>
      <xdr:rowOff>161846</xdr:rowOff>
    </xdr:from>
    <xdr:to>
      <xdr:col>14</xdr:col>
      <xdr:colOff>562028</xdr:colOff>
      <xdr:row>54</xdr:row>
      <xdr:rowOff>163164</xdr:rowOff>
    </xdr:to>
    <xdr:cxnSp macro="">
      <xdr:nvCxnSpPr>
        <xdr:cNvPr id="186" name="Straight Connector 185">
          <a:extLst>
            <a:ext uri="{FF2B5EF4-FFF2-40B4-BE49-F238E27FC236}">
              <a16:creationId xmlns:a16="http://schemas.microsoft.com/office/drawing/2014/main" id="{396D9DCD-8B60-43FF-AEB6-046F3D086A35}"/>
            </a:ext>
          </a:extLst>
        </xdr:cNvPr>
        <xdr:cNvCxnSpPr/>
      </xdr:nvCxnSpPr>
      <xdr:spPr>
        <a:xfrm flipV="1">
          <a:off x="8097181" y="96741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58081</xdr:colOff>
      <xdr:row>54</xdr:row>
      <xdr:rowOff>159446</xdr:rowOff>
    </xdr:from>
    <xdr:to>
      <xdr:col>14</xdr:col>
      <xdr:colOff>562028</xdr:colOff>
      <xdr:row>54</xdr:row>
      <xdr:rowOff>160764</xdr:rowOff>
    </xdr:to>
    <xdr:cxnSp macro="">
      <xdr:nvCxnSpPr>
        <xdr:cNvPr id="187" name="Straight Connector 186">
          <a:extLst>
            <a:ext uri="{FF2B5EF4-FFF2-40B4-BE49-F238E27FC236}">
              <a16:creationId xmlns:a16="http://schemas.microsoft.com/office/drawing/2014/main" id="{2BC0333F-B4BD-40B8-8228-47D6EBB53771}"/>
            </a:ext>
          </a:extLst>
        </xdr:cNvPr>
        <xdr:cNvCxnSpPr/>
      </xdr:nvCxnSpPr>
      <xdr:spPr>
        <a:xfrm flipV="1">
          <a:off x="8097181" y="96717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58081</xdr:colOff>
      <xdr:row>54</xdr:row>
      <xdr:rowOff>161846</xdr:rowOff>
    </xdr:from>
    <xdr:to>
      <xdr:col>16</xdr:col>
      <xdr:colOff>562028</xdr:colOff>
      <xdr:row>54</xdr:row>
      <xdr:rowOff>163164</xdr:rowOff>
    </xdr:to>
    <xdr:cxnSp macro="">
      <xdr:nvCxnSpPr>
        <xdr:cNvPr id="188" name="Straight Connector 187">
          <a:extLst>
            <a:ext uri="{FF2B5EF4-FFF2-40B4-BE49-F238E27FC236}">
              <a16:creationId xmlns:a16="http://schemas.microsoft.com/office/drawing/2014/main" id="{18982871-593F-42A9-A8AF-869D1A106FB9}"/>
            </a:ext>
          </a:extLst>
        </xdr:cNvPr>
        <xdr:cNvCxnSpPr/>
      </xdr:nvCxnSpPr>
      <xdr:spPr>
        <a:xfrm flipV="1">
          <a:off x="9316381" y="96741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58081</xdr:colOff>
      <xdr:row>54</xdr:row>
      <xdr:rowOff>159446</xdr:rowOff>
    </xdr:from>
    <xdr:to>
      <xdr:col>16</xdr:col>
      <xdr:colOff>562028</xdr:colOff>
      <xdr:row>54</xdr:row>
      <xdr:rowOff>160764</xdr:rowOff>
    </xdr:to>
    <xdr:cxnSp macro="">
      <xdr:nvCxnSpPr>
        <xdr:cNvPr id="189" name="Straight Connector 188">
          <a:extLst>
            <a:ext uri="{FF2B5EF4-FFF2-40B4-BE49-F238E27FC236}">
              <a16:creationId xmlns:a16="http://schemas.microsoft.com/office/drawing/2014/main" id="{D7679787-6E5B-423D-8181-38D8F4F58095}"/>
            </a:ext>
          </a:extLst>
        </xdr:cNvPr>
        <xdr:cNvCxnSpPr/>
      </xdr:nvCxnSpPr>
      <xdr:spPr>
        <a:xfrm flipV="1">
          <a:off x="9316381" y="96717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58081</xdr:colOff>
      <xdr:row>54</xdr:row>
      <xdr:rowOff>161846</xdr:rowOff>
    </xdr:from>
    <xdr:to>
      <xdr:col>18</xdr:col>
      <xdr:colOff>562028</xdr:colOff>
      <xdr:row>54</xdr:row>
      <xdr:rowOff>163164</xdr:rowOff>
    </xdr:to>
    <xdr:cxnSp macro="">
      <xdr:nvCxnSpPr>
        <xdr:cNvPr id="190" name="Straight Connector 189">
          <a:extLst>
            <a:ext uri="{FF2B5EF4-FFF2-40B4-BE49-F238E27FC236}">
              <a16:creationId xmlns:a16="http://schemas.microsoft.com/office/drawing/2014/main" id="{F552FC62-8587-4FAF-A9C3-1932990250C4}"/>
            </a:ext>
          </a:extLst>
        </xdr:cNvPr>
        <xdr:cNvCxnSpPr/>
      </xdr:nvCxnSpPr>
      <xdr:spPr>
        <a:xfrm flipV="1">
          <a:off x="10535581" y="96741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58081</xdr:colOff>
      <xdr:row>54</xdr:row>
      <xdr:rowOff>159446</xdr:rowOff>
    </xdr:from>
    <xdr:to>
      <xdr:col>18</xdr:col>
      <xdr:colOff>562028</xdr:colOff>
      <xdr:row>54</xdr:row>
      <xdr:rowOff>160764</xdr:rowOff>
    </xdr:to>
    <xdr:cxnSp macro="">
      <xdr:nvCxnSpPr>
        <xdr:cNvPr id="191" name="Straight Connector 190">
          <a:extLst>
            <a:ext uri="{FF2B5EF4-FFF2-40B4-BE49-F238E27FC236}">
              <a16:creationId xmlns:a16="http://schemas.microsoft.com/office/drawing/2014/main" id="{44E575E2-B1EE-4D69-BC94-0690442F997A}"/>
            </a:ext>
          </a:extLst>
        </xdr:cNvPr>
        <xdr:cNvCxnSpPr/>
      </xdr:nvCxnSpPr>
      <xdr:spPr>
        <a:xfrm flipV="1">
          <a:off x="10535581" y="96717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58081</xdr:colOff>
      <xdr:row>54</xdr:row>
      <xdr:rowOff>161846</xdr:rowOff>
    </xdr:from>
    <xdr:to>
      <xdr:col>20</xdr:col>
      <xdr:colOff>562028</xdr:colOff>
      <xdr:row>54</xdr:row>
      <xdr:rowOff>163164</xdr:rowOff>
    </xdr:to>
    <xdr:cxnSp macro="">
      <xdr:nvCxnSpPr>
        <xdr:cNvPr id="192" name="Straight Connector 191">
          <a:extLst>
            <a:ext uri="{FF2B5EF4-FFF2-40B4-BE49-F238E27FC236}">
              <a16:creationId xmlns:a16="http://schemas.microsoft.com/office/drawing/2014/main" id="{211A10E1-A3A9-4B7E-B471-56C505E11C99}"/>
            </a:ext>
          </a:extLst>
        </xdr:cNvPr>
        <xdr:cNvCxnSpPr/>
      </xdr:nvCxnSpPr>
      <xdr:spPr>
        <a:xfrm flipV="1">
          <a:off x="11754781" y="96741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58081</xdr:colOff>
      <xdr:row>54</xdr:row>
      <xdr:rowOff>159446</xdr:rowOff>
    </xdr:from>
    <xdr:to>
      <xdr:col>20</xdr:col>
      <xdr:colOff>562028</xdr:colOff>
      <xdr:row>54</xdr:row>
      <xdr:rowOff>160764</xdr:rowOff>
    </xdr:to>
    <xdr:cxnSp macro="">
      <xdr:nvCxnSpPr>
        <xdr:cNvPr id="193" name="Straight Connector 192">
          <a:extLst>
            <a:ext uri="{FF2B5EF4-FFF2-40B4-BE49-F238E27FC236}">
              <a16:creationId xmlns:a16="http://schemas.microsoft.com/office/drawing/2014/main" id="{D9104265-C4CF-4A43-8087-06C1CFB4F4AE}"/>
            </a:ext>
          </a:extLst>
        </xdr:cNvPr>
        <xdr:cNvCxnSpPr/>
      </xdr:nvCxnSpPr>
      <xdr:spPr>
        <a:xfrm flipV="1">
          <a:off x="11754781" y="96717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58081</xdr:colOff>
      <xdr:row>55</xdr:row>
      <xdr:rowOff>4246</xdr:rowOff>
    </xdr:from>
    <xdr:to>
      <xdr:col>12</xdr:col>
      <xdr:colOff>562028</xdr:colOff>
      <xdr:row>55</xdr:row>
      <xdr:rowOff>5564</xdr:rowOff>
    </xdr:to>
    <xdr:cxnSp macro="">
      <xdr:nvCxnSpPr>
        <xdr:cNvPr id="194" name="Straight Connector 193">
          <a:extLst>
            <a:ext uri="{FF2B5EF4-FFF2-40B4-BE49-F238E27FC236}">
              <a16:creationId xmlns:a16="http://schemas.microsoft.com/office/drawing/2014/main" id="{4FB61A17-2D50-4936-AAF7-FB72989993A1}"/>
            </a:ext>
          </a:extLst>
        </xdr:cNvPr>
        <xdr:cNvCxnSpPr/>
      </xdr:nvCxnSpPr>
      <xdr:spPr>
        <a:xfrm flipV="1">
          <a:off x="6877981" y="97006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58081</xdr:colOff>
      <xdr:row>55</xdr:row>
      <xdr:rowOff>4246</xdr:rowOff>
    </xdr:from>
    <xdr:to>
      <xdr:col>14</xdr:col>
      <xdr:colOff>562028</xdr:colOff>
      <xdr:row>55</xdr:row>
      <xdr:rowOff>5564</xdr:rowOff>
    </xdr:to>
    <xdr:cxnSp macro="">
      <xdr:nvCxnSpPr>
        <xdr:cNvPr id="195" name="Straight Connector 194">
          <a:extLst>
            <a:ext uri="{FF2B5EF4-FFF2-40B4-BE49-F238E27FC236}">
              <a16:creationId xmlns:a16="http://schemas.microsoft.com/office/drawing/2014/main" id="{AC26970D-BF5C-4D96-8AD0-4F323E8F40AD}"/>
            </a:ext>
          </a:extLst>
        </xdr:cNvPr>
        <xdr:cNvCxnSpPr/>
      </xdr:nvCxnSpPr>
      <xdr:spPr>
        <a:xfrm flipV="1">
          <a:off x="8097181" y="97006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58081</xdr:colOff>
      <xdr:row>55</xdr:row>
      <xdr:rowOff>4246</xdr:rowOff>
    </xdr:from>
    <xdr:to>
      <xdr:col>16</xdr:col>
      <xdr:colOff>562028</xdr:colOff>
      <xdr:row>55</xdr:row>
      <xdr:rowOff>5564</xdr:rowOff>
    </xdr:to>
    <xdr:cxnSp macro="">
      <xdr:nvCxnSpPr>
        <xdr:cNvPr id="196" name="Straight Connector 195">
          <a:extLst>
            <a:ext uri="{FF2B5EF4-FFF2-40B4-BE49-F238E27FC236}">
              <a16:creationId xmlns:a16="http://schemas.microsoft.com/office/drawing/2014/main" id="{1FA17DCE-ECB2-48DF-97C3-B2164F4A142D}"/>
            </a:ext>
          </a:extLst>
        </xdr:cNvPr>
        <xdr:cNvCxnSpPr/>
      </xdr:nvCxnSpPr>
      <xdr:spPr>
        <a:xfrm flipV="1">
          <a:off x="9316381" y="97006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58081</xdr:colOff>
      <xdr:row>55</xdr:row>
      <xdr:rowOff>4246</xdr:rowOff>
    </xdr:from>
    <xdr:to>
      <xdr:col>18</xdr:col>
      <xdr:colOff>562028</xdr:colOff>
      <xdr:row>55</xdr:row>
      <xdr:rowOff>5564</xdr:rowOff>
    </xdr:to>
    <xdr:cxnSp macro="">
      <xdr:nvCxnSpPr>
        <xdr:cNvPr id="197" name="Straight Connector 196">
          <a:extLst>
            <a:ext uri="{FF2B5EF4-FFF2-40B4-BE49-F238E27FC236}">
              <a16:creationId xmlns:a16="http://schemas.microsoft.com/office/drawing/2014/main" id="{5A85D8E5-5C3C-47EC-AFC1-1DDF1925CF33}"/>
            </a:ext>
          </a:extLst>
        </xdr:cNvPr>
        <xdr:cNvCxnSpPr/>
      </xdr:nvCxnSpPr>
      <xdr:spPr>
        <a:xfrm flipV="1">
          <a:off x="10535581" y="97006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58081</xdr:colOff>
      <xdr:row>55</xdr:row>
      <xdr:rowOff>4246</xdr:rowOff>
    </xdr:from>
    <xdr:to>
      <xdr:col>20</xdr:col>
      <xdr:colOff>562028</xdr:colOff>
      <xdr:row>55</xdr:row>
      <xdr:rowOff>5564</xdr:rowOff>
    </xdr:to>
    <xdr:cxnSp macro="">
      <xdr:nvCxnSpPr>
        <xdr:cNvPr id="198" name="Straight Connector 197">
          <a:extLst>
            <a:ext uri="{FF2B5EF4-FFF2-40B4-BE49-F238E27FC236}">
              <a16:creationId xmlns:a16="http://schemas.microsoft.com/office/drawing/2014/main" id="{6C41B13F-2395-46F8-9265-BFAF7EAC9A52}"/>
            </a:ext>
          </a:extLst>
        </xdr:cNvPr>
        <xdr:cNvCxnSpPr/>
      </xdr:nvCxnSpPr>
      <xdr:spPr>
        <a:xfrm flipV="1">
          <a:off x="11754781" y="97006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69448</xdr:colOff>
      <xdr:row>20</xdr:row>
      <xdr:rowOff>166161</xdr:rowOff>
    </xdr:from>
    <xdr:to>
      <xdr:col>26</xdr:col>
      <xdr:colOff>709528</xdr:colOff>
      <xdr:row>20</xdr:row>
      <xdr:rowOff>166161</xdr:rowOff>
    </xdr:to>
    <xdr:cxnSp macro="">
      <xdr:nvCxnSpPr>
        <xdr:cNvPr id="199" name="Straight Connector 198">
          <a:extLst>
            <a:ext uri="{FF2B5EF4-FFF2-40B4-BE49-F238E27FC236}">
              <a16:creationId xmlns:a16="http://schemas.microsoft.com/office/drawing/2014/main" id="{60EF85D5-839D-4659-B280-07419E0C4391}"/>
            </a:ext>
          </a:extLst>
        </xdr:cNvPr>
        <xdr:cNvCxnSpPr/>
      </xdr:nvCxnSpPr>
      <xdr:spPr>
        <a:xfrm>
          <a:off x="16642948" y="3696761"/>
          <a:ext cx="5765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69448</xdr:colOff>
      <xdr:row>20</xdr:row>
      <xdr:rowOff>166161</xdr:rowOff>
    </xdr:from>
    <xdr:to>
      <xdr:col>26</xdr:col>
      <xdr:colOff>709528</xdr:colOff>
      <xdr:row>20</xdr:row>
      <xdr:rowOff>166161</xdr:rowOff>
    </xdr:to>
    <xdr:cxnSp macro="">
      <xdr:nvCxnSpPr>
        <xdr:cNvPr id="200" name="Straight Connector 199">
          <a:extLst>
            <a:ext uri="{FF2B5EF4-FFF2-40B4-BE49-F238E27FC236}">
              <a16:creationId xmlns:a16="http://schemas.microsoft.com/office/drawing/2014/main" id="{6FC81F05-F090-4DA0-8701-0FC133DF063D}"/>
            </a:ext>
          </a:extLst>
        </xdr:cNvPr>
        <xdr:cNvCxnSpPr/>
      </xdr:nvCxnSpPr>
      <xdr:spPr>
        <a:xfrm>
          <a:off x="16642948" y="3696761"/>
          <a:ext cx="5765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71627</xdr:colOff>
      <xdr:row>34</xdr:row>
      <xdr:rowOff>164113</xdr:rowOff>
    </xdr:from>
    <xdr:to>
      <xdr:col>26</xdr:col>
      <xdr:colOff>711707</xdr:colOff>
      <xdr:row>34</xdr:row>
      <xdr:rowOff>164113</xdr:rowOff>
    </xdr:to>
    <xdr:cxnSp macro="">
      <xdr:nvCxnSpPr>
        <xdr:cNvPr id="201" name="Straight Connector 200">
          <a:extLst>
            <a:ext uri="{FF2B5EF4-FFF2-40B4-BE49-F238E27FC236}">
              <a16:creationId xmlns:a16="http://schemas.microsoft.com/office/drawing/2014/main" id="{AE270688-B647-4CEF-B698-95FD2085D02C}"/>
            </a:ext>
          </a:extLst>
        </xdr:cNvPr>
        <xdr:cNvCxnSpPr/>
      </xdr:nvCxnSpPr>
      <xdr:spPr>
        <a:xfrm>
          <a:off x="16645127" y="6285513"/>
          <a:ext cx="5765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81638</xdr:colOff>
      <xdr:row>11</xdr:row>
      <xdr:rowOff>169534</xdr:rowOff>
    </xdr:from>
    <xdr:to>
      <xdr:col>20</xdr:col>
      <xdr:colOff>585586</xdr:colOff>
      <xdr:row>11</xdr:row>
      <xdr:rowOff>170691</xdr:rowOff>
    </xdr:to>
    <xdr:cxnSp macro="">
      <xdr:nvCxnSpPr>
        <xdr:cNvPr id="202" name="Straight Connector 201">
          <a:extLst>
            <a:ext uri="{FF2B5EF4-FFF2-40B4-BE49-F238E27FC236}">
              <a16:creationId xmlns:a16="http://schemas.microsoft.com/office/drawing/2014/main" id="{99E04896-4AE2-4708-96AC-BC8DE1A18EA7}"/>
            </a:ext>
          </a:extLst>
        </xdr:cNvPr>
        <xdr:cNvCxnSpPr/>
      </xdr:nvCxnSpPr>
      <xdr:spPr>
        <a:xfrm flipV="1">
          <a:off x="11778338" y="216978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74332</xdr:colOff>
      <xdr:row>64</xdr:row>
      <xdr:rowOff>159393</xdr:rowOff>
    </xdr:from>
    <xdr:to>
      <xdr:col>25</xdr:col>
      <xdr:colOff>714412</xdr:colOff>
      <xdr:row>64</xdr:row>
      <xdr:rowOff>159393</xdr:rowOff>
    </xdr:to>
    <xdr:cxnSp macro="">
      <xdr:nvCxnSpPr>
        <xdr:cNvPr id="203" name="Straight Connector 202">
          <a:extLst>
            <a:ext uri="{FF2B5EF4-FFF2-40B4-BE49-F238E27FC236}">
              <a16:creationId xmlns:a16="http://schemas.microsoft.com/office/drawing/2014/main" id="{C322BEED-A891-4F83-A8C6-EA7AAE0CCB39}"/>
            </a:ext>
          </a:extLst>
        </xdr:cNvPr>
        <xdr:cNvCxnSpPr/>
      </xdr:nvCxnSpPr>
      <xdr:spPr>
        <a:xfrm>
          <a:off x="15885832" y="11392543"/>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55843</xdr:colOff>
      <xdr:row>26</xdr:row>
      <xdr:rowOff>139492</xdr:rowOff>
    </xdr:from>
    <xdr:to>
      <xdr:col>4</xdr:col>
      <xdr:colOff>541946</xdr:colOff>
      <xdr:row>26</xdr:row>
      <xdr:rowOff>139492</xdr:rowOff>
    </xdr:to>
    <xdr:cxnSp macro="">
      <xdr:nvCxnSpPr>
        <xdr:cNvPr id="204" name="Straight Connector 203">
          <a:extLst>
            <a:ext uri="{FF2B5EF4-FFF2-40B4-BE49-F238E27FC236}">
              <a16:creationId xmlns:a16="http://schemas.microsoft.com/office/drawing/2014/main" id="{C709A29B-4585-4981-AA4D-4D431823E61A}"/>
            </a:ext>
          </a:extLst>
        </xdr:cNvPr>
        <xdr:cNvCxnSpPr/>
      </xdr:nvCxnSpPr>
      <xdr:spPr>
        <a:xfrm>
          <a:off x="2678393" y="4774992"/>
          <a:ext cx="486103"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55843</xdr:colOff>
      <xdr:row>32</xdr:row>
      <xdr:rowOff>169413</xdr:rowOff>
    </xdr:from>
    <xdr:to>
      <xdr:col>4</xdr:col>
      <xdr:colOff>541946</xdr:colOff>
      <xdr:row>32</xdr:row>
      <xdr:rowOff>169413</xdr:rowOff>
    </xdr:to>
    <xdr:cxnSp macro="">
      <xdr:nvCxnSpPr>
        <xdr:cNvPr id="205" name="Straight Connector 204">
          <a:extLst>
            <a:ext uri="{FF2B5EF4-FFF2-40B4-BE49-F238E27FC236}">
              <a16:creationId xmlns:a16="http://schemas.microsoft.com/office/drawing/2014/main" id="{E34005DD-4103-452C-877E-80BA9B188863}"/>
            </a:ext>
          </a:extLst>
        </xdr:cNvPr>
        <xdr:cNvCxnSpPr/>
      </xdr:nvCxnSpPr>
      <xdr:spPr>
        <a:xfrm>
          <a:off x="2678393" y="5922513"/>
          <a:ext cx="486103"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55843</xdr:colOff>
      <xdr:row>33</xdr:row>
      <xdr:rowOff>167269</xdr:rowOff>
    </xdr:from>
    <xdr:to>
      <xdr:col>4</xdr:col>
      <xdr:colOff>541946</xdr:colOff>
      <xdr:row>33</xdr:row>
      <xdr:rowOff>167269</xdr:rowOff>
    </xdr:to>
    <xdr:cxnSp macro="">
      <xdr:nvCxnSpPr>
        <xdr:cNvPr id="206" name="Straight Connector 205">
          <a:extLst>
            <a:ext uri="{FF2B5EF4-FFF2-40B4-BE49-F238E27FC236}">
              <a16:creationId xmlns:a16="http://schemas.microsoft.com/office/drawing/2014/main" id="{B70122C6-C59D-43BA-A6C5-68EDF7F45C74}"/>
            </a:ext>
          </a:extLst>
        </xdr:cNvPr>
        <xdr:cNvCxnSpPr/>
      </xdr:nvCxnSpPr>
      <xdr:spPr>
        <a:xfrm>
          <a:off x="2678393" y="6104519"/>
          <a:ext cx="486103"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77421</xdr:colOff>
      <xdr:row>11</xdr:row>
      <xdr:rowOff>169534</xdr:rowOff>
    </xdr:from>
    <xdr:to>
      <xdr:col>16</xdr:col>
      <xdr:colOff>581369</xdr:colOff>
      <xdr:row>11</xdr:row>
      <xdr:rowOff>170691</xdr:rowOff>
    </xdr:to>
    <xdr:cxnSp macro="">
      <xdr:nvCxnSpPr>
        <xdr:cNvPr id="207" name="Straight Connector 206">
          <a:extLst>
            <a:ext uri="{FF2B5EF4-FFF2-40B4-BE49-F238E27FC236}">
              <a16:creationId xmlns:a16="http://schemas.microsoft.com/office/drawing/2014/main" id="{B7BF237B-166B-45B5-A703-76998D384DF7}"/>
            </a:ext>
          </a:extLst>
        </xdr:cNvPr>
        <xdr:cNvCxnSpPr/>
      </xdr:nvCxnSpPr>
      <xdr:spPr>
        <a:xfrm flipV="1">
          <a:off x="9335721" y="216978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81638</xdr:colOff>
      <xdr:row>11</xdr:row>
      <xdr:rowOff>169534</xdr:rowOff>
    </xdr:from>
    <xdr:to>
      <xdr:col>18</xdr:col>
      <xdr:colOff>585586</xdr:colOff>
      <xdr:row>11</xdr:row>
      <xdr:rowOff>170691</xdr:rowOff>
    </xdr:to>
    <xdr:cxnSp macro="">
      <xdr:nvCxnSpPr>
        <xdr:cNvPr id="208" name="Straight Connector 207">
          <a:extLst>
            <a:ext uri="{FF2B5EF4-FFF2-40B4-BE49-F238E27FC236}">
              <a16:creationId xmlns:a16="http://schemas.microsoft.com/office/drawing/2014/main" id="{52D9E336-497A-4512-B98A-CC6E2F9FECFE}"/>
            </a:ext>
          </a:extLst>
        </xdr:cNvPr>
        <xdr:cNvCxnSpPr/>
      </xdr:nvCxnSpPr>
      <xdr:spPr>
        <a:xfrm flipV="1">
          <a:off x="10559138" y="216978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81505</xdr:colOff>
      <xdr:row>11</xdr:row>
      <xdr:rowOff>169534</xdr:rowOff>
    </xdr:from>
    <xdr:to>
      <xdr:col>20</xdr:col>
      <xdr:colOff>585453</xdr:colOff>
      <xdr:row>11</xdr:row>
      <xdr:rowOff>170691</xdr:rowOff>
    </xdr:to>
    <xdr:cxnSp macro="">
      <xdr:nvCxnSpPr>
        <xdr:cNvPr id="209" name="Straight Connector 208">
          <a:extLst>
            <a:ext uri="{FF2B5EF4-FFF2-40B4-BE49-F238E27FC236}">
              <a16:creationId xmlns:a16="http://schemas.microsoft.com/office/drawing/2014/main" id="{69738C99-471C-43E0-A079-46BF4CEDC53E}"/>
            </a:ext>
          </a:extLst>
        </xdr:cNvPr>
        <xdr:cNvCxnSpPr/>
      </xdr:nvCxnSpPr>
      <xdr:spPr>
        <a:xfrm flipV="1">
          <a:off x="11778205" y="216978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81638</xdr:colOff>
      <xdr:row>11</xdr:row>
      <xdr:rowOff>169534</xdr:rowOff>
    </xdr:from>
    <xdr:to>
      <xdr:col>20</xdr:col>
      <xdr:colOff>585586</xdr:colOff>
      <xdr:row>11</xdr:row>
      <xdr:rowOff>170691</xdr:rowOff>
    </xdr:to>
    <xdr:cxnSp macro="">
      <xdr:nvCxnSpPr>
        <xdr:cNvPr id="210" name="Straight Connector 209">
          <a:extLst>
            <a:ext uri="{FF2B5EF4-FFF2-40B4-BE49-F238E27FC236}">
              <a16:creationId xmlns:a16="http://schemas.microsoft.com/office/drawing/2014/main" id="{25902D6D-1CE7-4A99-B3A0-E37430A67229}"/>
            </a:ext>
          </a:extLst>
        </xdr:cNvPr>
        <xdr:cNvCxnSpPr/>
      </xdr:nvCxnSpPr>
      <xdr:spPr>
        <a:xfrm flipV="1">
          <a:off x="11778338" y="216978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81638</xdr:colOff>
      <xdr:row>11</xdr:row>
      <xdr:rowOff>169534</xdr:rowOff>
    </xdr:from>
    <xdr:to>
      <xdr:col>20</xdr:col>
      <xdr:colOff>585586</xdr:colOff>
      <xdr:row>11</xdr:row>
      <xdr:rowOff>170691</xdr:rowOff>
    </xdr:to>
    <xdr:cxnSp macro="">
      <xdr:nvCxnSpPr>
        <xdr:cNvPr id="211" name="Straight Connector 210">
          <a:extLst>
            <a:ext uri="{FF2B5EF4-FFF2-40B4-BE49-F238E27FC236}">
              <a16:creationId xmlns:a16="http://schemas.microsoft.com/office/drawing/2014/main" id="{15BB6B4B-7A3B-436A-AAA0-DF5C3B1EF499}"/>
            </a:ext>
          </a:extLst>
        </xdr:cNvPr>
        <xdr:cNvCxnSpPr/>
      </xdr:nvCxnSpPr>
      <xdr:spPr>
        <a:xfrm flipV="1">
          <a:off x="11778338" y="216978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81638</xdr:colOff>
      <xdr:row>11</xdr:row>
      <xdr:rowOff>169534</xdr:rowOff>
    </xdr:from>
    <xdr:to>
      <xdr:col>20</xdr:col>
      <xdr:colOff>585586</xdr:colOff>
      <xdr:row>11</xdr:row>
      <xdr:rowOff>170691</xdr:rowOff>
    </xdr:to>
    <xdr:cxnSp macro="">
      <xdr:nvCxnSpPr>
        <xdr:cNvPr id="212" name="Straight Connector 211">
          <a:extLst>
            <a:ext uri="{FF2B5EF4-FFF2-40B4-BE49-F238E27FC236}">
              <a16:creationId xmlns:a16="http://schemas.microsoft.com/office/drawing/2014/main" id="{6BB8FF95-E9D7-435D-A0AD-78F2CA4DE419}"/>
            </a:ext>
          </a:extLst>
        </xdr:cNvPr>
        <xdr:cNvCxnSpPr/>
      </xdr:nvCxnSpPr>
      <xdr:spPr>
        <a:xfrm flipV="1">
          <a:off x="11778338" y="216978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77421</xdr:colOff>
      <xdr:row>11</xdr:row>
      <xdr:rowOff>169534</xdr:rowOff>
    </xdr:from>
    <xdr:to>
      <xdr:col>16</xdr:col>
      <xdr:colOff>581369</xdr:colOff>
      <xdr:row>11</xdr:row>
      <xdr:rowOff>170691</xdr:rowOff>
    </xdr:to>
    <xdr:cxnSp macro="">
      <xdr:nvCxnSpPr>
        <xdr:cNvPr id="213" name="Straight Connector 212">
          <a:extLst>
            <a:ext uri="{FF2B5EF4-FFF2-40B4-BE49-F238E27FC236}">
              <a16:creationId xmlns:a16="http://schemas.microsoft.com/office/drawing/2014/main" id="{E9E51233-40EF-45E1-82F5-E4A41BCC76D1}"/>
            </a:ext>
          </a:extLst>
        </xdr:cNvPr>
        <xdr:cNvCxnSpPr/>
      </xdr:nvCxnSpPr>
      <xdr:spPr>
        <a:xfrm flipV="1">
          <a:off x="9335721" y="216978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81638</xdr:colOff>
      <xdr:row>11</xdr:row>
      <xdr:rowOff>169534</xdr:rowOff>
    </xdr:from>
    <xdr:to>
      <xdr:col>18</xdr:col>
      <xdr:colOff>585586</xdr:colOff>
      <xdr:row>11</xdr:row>
      <xdr:rowOff>170691</xdr:rowOff>
    </xdr:to>
    <xdr:cxnSp macro="">
      <xdr:nvCxnSpPr>
        <xdr:cNvPr id="214" name="Straight Connector 213">
          <a:extLst>
            <a:ext uri="{FF2B5EF4-FFF2-40B4-BE49-F238E27FC236}">
              <a16:creationId xmlns:a16="http://schemas.microsoft.com/office/drawing/2014/main" id="{9AE35E0E-86C1-4C03-82E4-0B95CC1923B9}"/>
            </a:ext>
          </a:extLst>
        </xdr:cNvPr>
        <xdr:cNvCxnSpPr/>
      </xdr:nvCxnSpPr>
      <xdr:spPr>
        <a:xfrm flipV="1">
          <a:off x="10559138" y="216978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xdr:from>
      <xdr:col>4</xdr:col>
      <xdr:colOff>55843</xdr:colOff>
      <xdr:row>26</xdr:row>
      <xdr:rowOff>139492</xdr:rowOff>
    </xdr:from>
    <xdr:to>
      <xdr:col>4</xdr:col>
      <xdr:colOff>541946</xdr:colOff>
      <xdr:row>26</xdr:row>
      <xdr:rowOff>139492</xdr:rowOff>
    </xdr:to>
    <xdr:cxnSp macro="">
      <xdr:nvCxnSpPr>
        <xdr:cNvPr id="2" name="Straight Connector 1">
          <a:extLst>
            <a:ext uri="{FF2B5EF4-FFF2-40B4-BE49-F238E27FC236}">
              <a16:creationId xmlns:a16="http://schemas.microsoft.com/office/drawing/2014/main" id="{66A86FA5-3F45-4414-9477-863C25ECD72D}"/>
            </a:ext>
          </a:extLst>
        </xdr:cNvPr>
        <xdr:cNvCxnSpPr/>
      </xdr:nvCxnSpPr>
      <xdr:spPr>
        <a:xfrm>
          <a:off x="2773643" y="4686092"/>
          <a:ext cx="486103"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55843</xdr:colOff>
      <xdr:row>32</xdr:row>
      <xdr:rowOff>169413</xdr:rowOff>
    </xdr:from>
    <xdr:to>
      <xdr:col>4</xdr:col>
      <xdr:colOff>541946</xdr:colOff>
      <xdr:row>32</xdr:row>
      <xdr:rowOff>169413</xdr:rowOff>
    </xdr:to>
    <xdr:cxnSp macro="">
      <xdr:nvCxnSpPr>
        <xdr:cNvPr id="3" name="Straight Connector 2">
          <a:extLst>
            <a:ext uri="{FF2B5EF4-FFF2-40B4-BE49-F238E27FC236}">
              <a16:creationId xmlns:a16="http://schemas.microsoft.com/office/drawing/2014/main" id="{9BBF2FCB-C073-4B30-B4F3-7C117DAB6D41}"/>
            </a:ext>
          </a:extLst>
        </xdr:cNvPr>
        <xdr:cNvCxnSpPr/>
      </xdr:nvCxnSpPr>
      <xdr:spPr>
        <a:xfrm>
          <a:off x="2773643" y="5833613"/>
          <a:ext cx="486103"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55843</xdr:colOff>
      <xdr:row>33</xdr:row>
      <xdr:rowOff>167269</xdr:rowOff>
    </xdr:from>
    <xdr:to>
      <xdr:col>4</xdr:col>
      <xdr:colOff>541946</xdr:colOff>
      <xdr:row>33</xdr:row>
      <xdr:rowOff>167269</xdr:rowOff>
    </xdr:to>
    <xdr:cxnSp macro="">
      <xdr:nvCxnSpPr>
        <xdr:cNvPr id="4" name="Straight Connector 3">
          <a:extLst>
            <a:ext uri="{FF2B5EF4-FFF2-40B4-BE49-F238E27FC236}">
              <a16:creationId xmlns:a16="http://schemas.microsoft.com/office/drawing/2014/main" id="{4525E723-5105-4BFE-8FA6-8CEC5A3FC74E}"/>
            </a:ext>
          </a:extLst>
        </xdr:cNvPr>
        <xdr:cNvCxnSpPr/>
      </xdr:nvCxnSpPr>
      <xdr:spPr>
        <a:xfrm>
          <a:off x="2773643" y="6015619"/>
          <a:ext cx="486103"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25099</xdr:colOff>
      <xdr:row>38</xdr:row>
      <xdr:rowOff>175830</xdr:rowOff>
    </xdr:from>
    <xdr:to>
      <xdr:col>2</xdr:col>
      <xdr:colOff>665179</xdr:colOff>
      <xdr:row>38</xdr:row>
      <xdr:rowOff>175830</xdr:rowOff>
    </xdr:to>
    <xdr:cxnSp macro="">
      <xdr:nvCxnSpPr>
        <xdr:cNvPr id="5" name="Straight Connector 4">
          <a:extLst>
            <a:ext uri="{FF2B5EF4-FFF2-40B4-BE49-F238E27FC236}">
              <a16:creationId xmlns:a16="http://schemas.microsoft.com/office/drawing/2014/main" id="{D498C361-6F97-4B2D-AAD1-6DC7D2B2ECAE}"/>
            </a:ext>
          </a:extLst>
        </xdr:cNvPr>
        <xdr:cNvCxnSpPr/>
      </xdr:nvCxnSpPr>
      <xdr:spPr>
        <a:xfrm>
          <a:off x="1244299" y="6805230"/>
          <a:ext cx="58293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34253</xdr:colOff>
      <xdr:row>38</xdr:row>
      <xdr:rowOff>179124</xdr:rowOff>
    </xdr:from>
    <xdr:to>
      <xdr:col>3</xdr:col>
      <xdr:colOff>862948</xdr:colOff>
      <xdr:row>38</xdr:row>
      <xdr:rowOff>179124</xdr:rowOff>
    </xdr:to>
    <xdr:cxnSp macro="">
      <xdr:nvCxnSpPr>
        <xdr:cNvPr id="6" name="Straight Connector 5">
          <a:extLst>
            <a:ext uri="{FF2B5EF4-FFF2-40B4-BE49-F238E27FC236}">
              <a16:creationId xmlns:a16="http://schemas.microsoft.com/office/drawing/2014/main" id="{C7FDDCEF-3AEC-4ACC-AED1-C96B646B756B}"/>
            </a:ext>
          </a:extLst>
        </xdr:cNvPr>
        <xdr:cNvCxnSpPr/>
      </xdr:nvCxnSpPr>
      <xdr:spPr>
        <a:xfrm>
          <a:off x="1863053" y="6808524"/>
          <a:ext cx="828695"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22202</xdr:colOff>
      <xdr:row>38</xdr:row>
      <xdr:rowOff>170983</xdr:rowOff>
    </xdr:from>
    <xdr:to>
      <xdr:col>4</xdr:col>
      <xdr:colOff>589130</xdr:colOff>
      <xdr:row>38</xdr:row>
      <xdr:rowOff>170983</xdr:rowOff>
    </xdr:to>
    <xdr:cxnSp macro="">
      <xdr:nvCxnSpPr>
        <xdr:cNvPr id="7" name="Straight Connector 6">
          <a:extLst>
            <a:ext uri="{FF2B5EF4-FFF2-40B4-BE49-F238E27FC236}">
              <a16:creationId xmlns:a16="http://schemas.microsoft.com/office/drawing/2014/main" id="{6A30F7F5-5697-4E05-A61D-1674A694D7AB}"/>
            </a:ext>
          </a:extLst>
        </xdr:cNvPr>
        <xdr:cNvCxnSpPr/>
      </xdr:nvCxnSpPr>
      <xdr:spPr>
        <a:xfrm>
          <a:off x="2740002" y="6800383"/>
          <a:ext cx="516128"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30719</xdr:colOff>
      <xdr:row>65</xdr:row>
      <xdr:rowOff>145082</xdr:rowOff>
    </xdr:from>
    <xdr:to>
      <xdr:col>2</xdr:col>
      <xdr:colOff>670799</xdr:colOff>
      <xdr:row>65</xdr:row>
      <xdr:rowOff>145082</xdr:rowOff>
    </xdr:to>
    <xdr:cxnSp macro="">
      <xdr:nvCxnSpPr>
        <xdr:cNvPr id="8" name="Straight Connector 7">
          <a:extLst>
            <a:ext uri="{FF2B5EF4-FFF2-40B4-BE49-F238E27FC236}">
              <a16:creationId xmlns:a16="http://schemas.microsoft.com/office/drawing/2014/main" id="{DFF84F5D-A27E-4654-B183-2E19B7E1312B}"/>
            </a:ext>
          </a:extLst>
        </xdr:cNvPr>
        <xdr:cNvCxnSpPr/>
      </xdr:nvCxnSpPr>
      <xdr:spPr>
        <a:xfrm>
          <a:off x="1249919" y="11473482"/>
          <a:ext cx="5765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26112</xdr:colOff>
      <xdr:row>65</xdr:row>
      <xdr:rowOff>145082</xdr:rowOff>
    </xdr:from>
    <xdr:to>
      <xdr:col>3</xdr:col>
      <xdr:colOff>871090</xdr:colOff>
      <xdr:row>65</xdr:row>
      <xdr:rowOff>145082</xdr:rowOff>
    </xdr:to>
    <xdr:cxnSp macro="">
      <xdr:nvCxnSpPr>
        <xdr:cNvPr id="9" name="Straight Connector 8">
          <a:extLst>
            <a:ext uri="{FF2B5EF4-FFF2-40B4-BE49-F238E27FC236}">
              <a16:creationId xmlns:a16="http://schemas.microsoft.com/office/drawing/2014/main" id="{AE9C44DF-85CA-41FD-87F5-D5C14325D688}"/>
            </a:ext>
          </a:extLst>
        </xdr:cNvPr>
        <xdr:cNvCxnSpPr/>
      </xdr:nvCxnSpPr>
      <xdr:spPr>
        <a:xfrm>
          <a:off x="1854912" y="11473482"/>
          <a:ext cx="844978"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22202</xdr:colOff>
      <xdr:row>65</xdr:row>
      <xdr:rowOff>145082</xdr:rowOff>
    </xdr:from>
    <xdr:to>
      <xdr:col>4</xdr:col>
      <xdr:colOff>589130</xdr:colOff>
      <xdr:row>65</xdr:row>
      <xdr:rowOff>145082</xdr:rowOff>
    </xdr:to>
    <xdr:cxnSp macro="">
      <xdr:nvCxnSpPr>
        <xdr:cNvPr id="10" name="Straight Connector 9">
          <a:extLst>
            <a:ext uri="{FF2B5EF4-FFF2-40B4-BE49-F238E27FC236}">
              <a16:creationId xmlns:a16="http://schemas.microsoft.com/office/drawing/2014/main" id="{101EF789-2F36-4119-9181-41261C68E464}"/>
            </a:ext>
          </a:extLst>
        </xdr:cNvPr>
        <xdr:cNvCxnSpPr/>
      </xdr:nvCxnSpPr>
      <xdr:spPr>
        <a:xfrm>
          <a:off x="2740002" y="11473482"/>
          <a:ext cx="516128"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81981</xdr:colOff>
      <xdr:row>11</xdr:row>
      <xdr:rowOff>169534</xdr:rowOff>
    </xdr:from>
    <xdr:to>
      <xdr:col>10</xdr:col>
      <xdr:colOff>585928</xdr:colOff>
      <xdr:row>11</xdr:row>
      <xdr:rowOff>170691</xdr:rowOff>
    </xdr:to>
    <xdr:cxnSp macro="">
      <xdr:nvCxnSpPr>
        <xdr:cNvPr id="11" name="Straight Connector 10">
          <a:extLst>
            <a:ext uri="{FF2B5EF4-FFF2-40B4-BE49-F238E27FC236}">
              <a16:creationId xmlns:a16="http://schemas.microsoft.com/office/drawing/2014/main" id="{31207C51-DBA7-4E65-BE9D-C89A8FA07C52}"/>
            </a:ext>
          </a:extLst>
        </xdr:cNvPr>
        <xdr:cNvCxnSpPr/>
      </xdr:nvCxnSpPr>
      <xdr:spPr>
        <a:xfrm flipV="1">
          <a:off x="5777931" y="2080884"/>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84473</xdr:colOff>
      <xdr:row>11</xdr:row>
      <xdr:rowOff>169534</xdr:rowOff>
    </xdr:from>
    <xdr:to>
      <xdr:col>12</xdr:col>
      <xdr:colOff>588420</xdr:colOff>
      <xdr:row>11</xdr:row>
      <xdr:rowOff>170691</xdr:rowOff>
    </xdr:to>
    <xdr:cxnSp macro="">
      <xdr:nvCxnSpPr>
        <xdr:cNvPr id="12" name="Straight Connector 11">
          <a:extLst>
            <a:ext uri="{FF2B5EF4-FFF2-40B4-BE49-F238E27FC236}">
              <a16:creationId xmlns:a16="http://schemas.microsoft.com/office/drawing/2014/main" id="{A9A77971-C0D0-40B2-90CA-EBFBE1E15AD8}"/>
            </a:ext>
          </a:extLst>
        </xdr:cNvPr>
        <xdr:cNvCxnSpPr/>
      </xdr:nvCxnSpPr>
      <xdr:spPr>
        <a:xfrm flipV="1">
          <a:off x="6999623" y="2080884"/>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82797</xdr:colOff>
      <xdr:row>11</xdr:row>
      <xdr:rowOff>169534</xdr:rowOff>
    </xdr:from>
    <xdr:to>
      <xdr:col>14</xdr:col>
      <xdr:colOff>586744</xdr:colOff>
      <xdr:row>11</xdr:row>
      <xdr:rowOff>170691</xdr:rowOff>
    </xdr:to>
    <xdr:cxnSp macro="">
      <xdr:nvCxnSpPr>
        <xdr:cNvPr id="13" name="Straight Connector 12">
          <a:extLst>
            <a:ext uri="{FF2B5EF4-FFF2-40B4-BE49-F238E27FC236}">
              <a16:creationId xmlns:a16="http://schemas.microsoft.com/office/drawing/2014/main" id="{46B4D1B8-B6B0-4F93-A2EC-7E6877A547C2}"/>
            </a:ext>
          </a:extLst>
        </xdr:cNvPr>
        <xdr:cNvCxnSpPr/>
      </xdr:nvCxnSpPr>
      <xdr:spPr>
        <a:xfrm flipV="1">
          <a:off x="8217147" y="2080884"/>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77421</xdr:colOff>
      <xdr:row>11</xdr:row>
      <xdr:rowOff>169534</xdr:rowOff>
    </xdr:from>
    <xdr:to>
      <xdr:col>16</xdr:col>
      <xdr:colOff>581369</xdr:colOff>
      <xdr:row>11</xdr:row>
      <xdr:rowOff>170691</xdr:rowOff>
    </xdr:to>
    <xdr:cxnSp macro="">
      <xdr:nvCxnSpPr>
        <xdr:cNvPr id="14" name="Straight Connector 13">
          <a:extLst>
            <a:ext uri="{FF2B5EF4-FFF2-40B4-BE49-F238E27FC236}">
              <a16:creationId xmlns:a16="http://schemas.microsoft.com/office/drawing/2014/main" id="{5BB287D2-64B5-474C-8F63-2426AB08D458}"/>
            </a:ext>
          </a:extLst>
        </xdr:cNvPr>
        <xdr:cNvCxnSpPr/>
      </xdr:nvCxnSpPr>
      <xdr:spPr>
        <a:xfrm flipV="1">
          <a:off x="9430971" y="208088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81638</xdr:colOff>
      <xdr:row>11</xdr:row>
      <xdr:rowOff>169534</xdr:rowOff>
    </xdr:from>
    <xdr:to>
      <xdr:col>18</xdr:col>
      <xdr:colOff>585586</xdr:colOff>
      <xdr:row>11</xdr:row>
      <xdr:rowOff>170691</xdr:rowOff>
    </xdr:to>
    <xdr:cxnSp macro="">
      <xdr:nvCxnSpPr>
        <xdr:cNvPr id="15" name="Straight Connector 14">
          <a:extLst>
            <a:ext uri="{FF2B5EF4-FFF2-40B4-BE49-F238E27FC236}">
              <a16:creationId xmlns:a16="http://schemas.microsoft.com/office/drawing/2014/main" id="{9E90D289-E158-4561-B0EE-07A739182773}"/>
            </a:ext>
          </a:extLst>
        </xdr:cNvPr>
        <xdr:cNvCxnSpPr/>
      </xdr:nvCxnSpPr>
      <xdr:spPr>
        <a:xfrm flipV="1">
          <a:off x="10654388" y="208088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81505</xdr:colOff>
      <xdr:row>11</xdr:row>
      <xdr:rowOff>169534</xdr:rowOff>
    </xdr:from>
    <xdr:to>
      <xdr:col>20</xdr:col>
      <xdr:colOff>585453</xdr:colOff>
      <xdr:row>11</xdr:row>
      <xdr:rowOff>170691</xdr:rowOff>
    </xdr:to>
    <xdr:cxnSp macro="">
      <xdr:nvCxnSpPr>
        <xdr:cNvPr id="16" name="Straight Connector 15">
          <a:extLst>
            <a:ext uri="{FF2B5EF4-FFF2-40B4-BE49-F238E27FC236}">
              <a16:creationId xmlns:a16="http://schemas.microsoft.com/office/drawing/2014/main" id="{61E483E2-C273-43CD-AC26-2E2DE75CA0A9}"/>
            </a:ext>
          </a:extLst>
        </xdr:cNvPr>
        <xdr:cNvCxnSpPr/>
      </xdr:nvCxnSpPr>
      <xdr:spPr>
        <a:xfrm flipV="1">
          <a:off x="11873455" y="208088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81981</xdr:colOff>
      <xdr:row>13</xdr:row>
      <xdr:rowOff>154837</xdr:rowOff>
    </xdr:from>
    <xdr:to>
      <xdr:col>10</xdr:col>
      <xdr:colOff>585928</xdr:colOff>
      <xdr:row>13</xdr:row>
      <xdr:rowOff>155994</xdr:rowOff>
    </xdr:to>
    <xdr:cxnSp macro="">
      <xdr:nvCxnSpPr>
        <xdr:cNvPr id="17" name="Straight Connector 16">
          <a:extLst>
            <a:ext uri="{FF2B5EF4-FFF2-40B4-BE49-F238E27FC236}">
              <a16:creationId xmlns:a16="http://schemas.microsoft.com/office/drawing/2014/main" id="{5F0E79AA-F2A3-4FC0-9E09-072DE14DCBD3}"/>
            </a:ext>
          </a:extLst>
        </xdr:cNvPr>
        <xdr:cNvCxnSpPr/>
      </xdr:nvCxnSpPr>
      <xdr:spPr>
        <a:xfrm flipV="1">
          <a:off x="5777931" y="244083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84473</xdr:colOff>
      <xdr:row>13</xdr:row>
      <xdr:rowOff>154837</xdr:rowOff>
    </xdr:from>
    <xdr:to>
      <xdr:col>12</xdr:col>
      <xdr:colOff>588420</xdr:colOff>
      <xdr:row>13</xdr:row>
      <xdr:rowOff>155994</xdr:rowOff>
    </xdr:to>
    <xdr:cxnSp macro="">
      <xdr:nvCxnSpPr>
        <xdr:cNvPr id="18" name="Straight Connector 17">
          <a:extLst>
            <a:ext uri="{FF2B5EF4-FFF2-40B4-BE49-F238E27FC236}">
              <a16:creationId xmlns:a16="http://schemas.microsoft.com/office/drawing/2014/main" id="{3F3AD4F4-6AF4-4EA3-AF10-1DF79199A47E}"/>
            </a:ext>
          </a:extLst>
        </xdr:cNvPr>
        <xdr:cNvCxnSpPr/>
      </xdr:nvCxnSpPr>
      <xdr:spPr>
        <a:xfrm flipV="1">
          <a:off x="6999623" y="244083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82797</xdr:colOff>
      <xdr:row>13</xdr:row>
      <xdr:rowOff>154837</xdr:rowOff>
    </xdr:from>
    <xdr:to>
      <xdr:col>14</xdr:col>
      <xdr:colOff>586744</xdr:colOff>
      <xdr:row>13</xdr:row>
      <xdr:rowOff>155994</xdr:rowOff>
    </xdr:to>
    <xdr:cxnSp macro="">
      <xdr:nvCxnSpPr>
        <xdr:cNvPr id="19" name="Straight Connector 18">
          <a:extLst>
            <a:ext uri="{FF2B5EF4-FFF2-40B4-BE49-F238E27FC236}">
              <a16:creationId xmlns:a16="http://schemas.microsoft.com/office/drawing/2014/main" id="{4DAB3489-33D3-4B0B-8772-8D67E70AC812}"/>
            </a:ext>
          </a:extLst>
        </xdr:cNvPr>
        <xdr:cNvCxnSpPr/>
      </xdr:nvCxnSpPr>
      <xdr:spPr>
        <a:xfrm flipV="1">
          <a:off x="8217147" y="244083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92541</xdr:colOff>
      <xdr:row>13</xdr:row>
      <xdr:rowOff>154837</xdr:rowOff>
    </xdr:from>
    <xdr:to>
      <xdr:col>16</xdr:col>
      <xdr:colOff>596489</xdr:colOff>
      <xdr:row>13</xdr:row>
      <xdr:rowOff>155994</xdr:rowOff>
    </xdr:to>
    <xdr:cxnSp macro="">
      <xdr:nvCxnSpPr>
        <xdr:cNvPr id="20" name="Straight Connector 19">
          <a:extLst>
            <a:ext uri="{FF2B5EF4-FFF2-40B4-BE49-F238E27FC236}">
              <a16:creationId xmlns:a16="http://schemas.microsoft.com/office/drawing/2014/main" id="{F65C8984-1D2A-48D7-ACDD-51AA569661BF}"/>
            </a:ext>
          </a:extLst>
        </xdr:cNvPr>
        <xdr:cNvCxnSpPr/>
      </xdr:nvCxnSpPr>
      <xdr:spPr>
        <a:xfrm flipV="1">
          <a:off x="9446091" y="2440837"/>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81638</xdr:colOff>
      <xdr:row>13</xdr:row>
      <xdr:rowOff>154837</xdr:rowOff>
    </xdr:from>
    <xdr:to>
      <xdr:col>18</xdr:col>
      <xdr:colOff>585586</xdr:colOff>
      <xdr:row>13</xdr:row>
      <xdr:rowOff>155994</xdr:rowOff>
    </xdr:to>
    <xdr:cxnSp macro="">
      <xdr:nvCxnSpPr>
        <xdr:cNvPr id="21" name="Straight Connector 20">
          <a:extLst>
            <a:ext uri="{FF2B5EF4-FFF2-40B4-BE49-F238E27FC236}">
              <a16:creationId xmlns:a16="http://schemas.microsoft.com/office/drawing/2014/main" id="{274D1ECA-0D32-437D-A6F6-3E73393E2BC5}"/>
            </a:ext>
          </a:extLst>
        </xdr:cNvPr>
        <xdr:cNvCxnSpPr/>
      </xdr:nvCxnSpPr>
      <xdr:spPr>
        <a:xfrm flipV="1">
          <a:off x="10654388" y="2440837"/>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81505</xdr:colOff>
      <xdr:row>13</xdr:row>
      <xdr:rowOff>154837</xdr:rowOff>
    </xdr:from>
    <xdr:to>
      <xdr:col>20</xdr:col>
      <xdr:colOff>585453</xdr:colOff>
      <xdr:row>13</xdr:row>
      <xdr:rowOff>155994</xdr:rowOff>
    </xdr:to>
    <xdr:cxnSp macro="">
      <xdr:nvCxnSpPr>
        <xdr:cNvPr id="22" name="Straight Connector 21">
          <a:extLst>
            <a:ext uri="{FF2B5EF4-FFF2-40B4-BE49-F238E27FC236}">
              <a16:creationId xmlns:a16="http://schemas.microsoft.com/office/drawing/2014/main" id="{427F0FB2-21B5-4E2A-993C-E390F5EDC53A}"/>
            </a:ext>
          </a:extLst>
        </xdr:cNvPr>
        <xdr:cNvCxnSpPr/>
      </xdr:nvCxnSpPr>
      <xdr:spPr>
        <a:xfrm flipV="1">
          <a:off x="11873455" y="2440837"/>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81981</xdr:colOff>
      <xdr:row>16</xdr:row>
      <xdr:rowOff>158334</xdr:rowOff>
    </xdr:from>
    <xdr:to>
      <xdr:col>10</xdr:col>
      <xdr:colOff>585928</xdr:colOff>
      <xdr:row>16</xdr:row>
      <xdr:rowOff>159491</xdr:rowOff>
    </xdr:to>
    <xdr:cxnSp macro="">
      <xdr:nvCxnSpPr>
        <xdr:cNvPr id="23" name="Straight Connector 22">
          <a:extLst>
            <a:ext uri="{FF2B5EF4-FFF2-40B4-BE49-F238E27FC236}">
              <a16:creationId xmlns:a16="http://schemas.microsoft.com/office/drawing/2014/main" id="{E03E1776-8778-4D74-BCBB-4CC690CA1EDD}"/>
            </a:ext>
          </a:extLst>
        </xdr:cNvPr>
        <xdr:cNvCxnSpPr/>
      </xdr:nvCxnSpPr>
      <xdr:spPr>
        <a:xfrm flipV="1">
          <a:off x="5777931" y="2996784"/>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84473</xdr:colOff>
      <xdr:row>16</xdr:row>
      <xdr:rowOff>158334</xdr:rowOff>
    </xdr:from>
    <xdr:to>
      <xdr:col>12</xdr:col>
      <xdr:colOff>588420</xdr:colOff>
      <xdr:row>16</xdr:row>
      <xdr:rowOff>159491</xdr:rowOff>
    </xdr:to>
    <xdr:cxnSp macro="">
      <xdr:nvCxnSpPr>
        <xdr:cNvPr id="24" name="Straight Connector 23">
          <a:extLst>
            <a:ext uri="{FF2B5EF4-FFF2-40B4-BE49-F238E27FC236}">
              <a16:creationId xmlns:a16="http://schemas.microsoft.com/office/drawing/2014/main" id="{B5B48F1D-62E9-4782-A156-4B4E1E9C3A16}"/>
            </a:ext>
          </a:extLst>
        </xdr:cNvPr>
        <xdr:cNvCxnSpPr/>
      </xdr:nvCxnSpPr>
      <xdr:spPr>
        <a:xfrm flipV="1">
          <a:off x="6999623" y="2996784"/>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82797</xdr:colOff>
      <xdr:row>16</xdr:row>
      <xdr:rowOff>158334</xdr:rowOff>
    </xdr:from>
    <xdr:to>
      <xdr:col>14</xdr:col>
      <xdr:colOff>586744</xdr:colOff>
      <xdr:row>16</xdr:row>
      <xdr:rowOff>159491</xdr:rowOff>
    </xdr:to>
    <xdr:cxnSp macro="">
      <xdr:nvCxnSpPr>
        <xdr:cNvPr id="25" name="Straight Connector 24">
          <a:extLst>
            <a:ext uri="{FF2B5EF4-FFF2-40B4-BE49-F238E27FC236}">
              <a16:creationId xmlns:a16="http://schemas.microsoft.com/office/drawing/2014/main" id="{EABF679C-0FF5-4A79-B55D-CAC8746E76DE}"/>
            </a:ext>
          </a:extLst>
        </xdr:cNvPr>
        <xdr:cNvCxnSpPr/>
      </xdr:nvCxnSpPr>
      <xdr:spPr>
        <a:xfrm flipV="1">
          <a:off x="8217147" y="2996784"/>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75886</xdr:colOff>
      <xdr:row>16</xdr:row>
      <xdr:rowOff>158334</xdr:rowOff>
    </xdr:from>
    <xdr:to>
      <xdr:col>16</xdr:col>
      <xdr:colOff>579834</xdr:colOff>
      <xdr:row>16</xdr:row>
      <xdr:rowOff>159491</xdr:rowOff>
    </xdr:to>
    <xdr:cxnSp macro="">
      <xdr:nvCxnSpPr>
        <xdr:cNvPr id="26" name="Straight Connector 25">
          <a:extLst>
            <a:ext uri="{FF2B5EF4-FFF2-40B4-BE49-F238E27FC236}">
              <a16:creationId xmlns:a16="http://schemas.microsoft.com/office/drawing/2014/main" id="{3049C234-4AF9-486F-A33B-DA14AC006DC9}"/>
            </a:ext>
          </a:extLst>
        </xdr:cNvPr>
        <xdr:cNvCxnSpPr/>
      </xdr:nvCxnSpPr>
      <xdr:spPr>
        <a:xfrm flipV="1">
          <a:off x="9429436" y="299678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81638</xdr:colOff>
      <xdr:row>16</xdr:row>
      <xdr:rowOff>158334</xdr:rowOff>
    </xdr:from>
    <xdr:to>
      <xdr:col>18</xdr:col>
      <xdr:colOff>585586</xdr:colOff>
      <xdr:row>16</xdr:row>
      <xdr:rowOff>159491</xdr:rowOff>
    </xdr:to>
    <xdr:cxnSp macro="">
      <xdr:nvCxnSpPr>
        <xdr:cNvPr id="27" name="Straight Connector 26">
          <a:extLst>
            <a:ext uri="{FF2B5EF4-FFF2-40B4-BE49-F238E27FC236}">
              <a16:creationId xmlns:a16="http://schemas.microsoft.com/office/drawing/2014/main" id="{2EFA1C65-F8F9-485F-8906-6FBD8FE6510F}"/>
            </a:ext>
          </a:extLst>
        </xdr:cNvPr>
        <xdr:cNvCxnSpPr/>
      </xdr:nvCxnSpPr>
      <xdr:spPr>
        <a:xfrm flipV="1">
          <a:off x="10654388" y="299678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81505</xdr:colOff>
      <xdr:row>16</xdr:row>
      <xdr:rowOff>158334</xdr:rowOff>
    </xdr:from>
    <xdr:to>
      <xdr:col>20</xdr:col>
      <xdr:colOff>585453</xdr:colOff>
      <xdr:row>16</xdr:row>
      <xdr:rowOff>159491</xdr:rowOff>
    </xdr:to>
    <xdr:cxnSp macro="">
      <xdr:nvCxnSpPr>
        <xdr:cNvPr id="28" name="Straight Connector 27">
          <a:extLst>
            <a:ext uri="{FF2B5EF4-FFF2-40B4-BE49-F238E27FC236}">
              <a16:creationId xmlns:a16="http://schemas.microsoft.com/office/drawing/2014/main" id="{26F38E93-765D-4C15-A944-7CCA5BCC68DD}"/>
            </a:ext>
          </a:extLst>
        </xdr:cNvPr>
        <xdr:cNvCxnSpPr/>
      </xdr:nvCxnSpPr>
      <xdr:spPr>
        <a:xfrm flipV="1">
          <a:off x="11873455" y="299678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81981</xdr:colOff>
      <xdr:row>18</xdr:row>
      <xdr:rowOff>166215</xdr:rowOff>
    </xdr:from>
    <xdr:to>
      <xdr:col>10</xdr:col>
      <xdr:colOff>585928</xdr:colOff>
      <xdr:row>18</xdr:row>
      <xdr:rowOff>167372</xdr:rowOff>
    </xdr:to>
    <xdr:cxnSp macro="">
      <xdr:nvCxnSpPr>
        <xdr:cNvPr id="29" name="Straight Connector 28">
          <a:extLst>
            <a:ext uri="{FF2B5EF4-FFF2-40B4-BE49-F238E27FC236}">
              <a16:creationId xmlns:a16="http://schemas.microsoft.com/office/drawing/2014/main" id="{70C8AB1F-0ADA-4B50-B94B-1857FEED3298}"/>
            </a:ext>
          </a:extLst>
        </xdr:cNvPr>
        <xdr:cNvCxnSpPr/>
      </xdr:nvCxnSpPr>
      <xdr:spPr>
        <a:xfrm flipV="1">
          <a:off x="5777931" y="337296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84473</xdr:colOff>
      <xdr:row>18</xdr:row>
      <xdr:rowOff>166215</xdr:rowOff>
    </xdr:from>
    <xdr:to>
      <xdr:col>12</xdr:col>
      <xdr:colOff>588420</xdr:colOff>
      <xdr:row>18</xdr:row>
      <xdr:rowOff>167372</xdr:rowOff>
    </xdr:to>
    <xdr:cxnSp macro="">
      <xdr:nvCxnSpPr>
        <xdr:cNvPr id="30" name="Straight Connector 29">
          <a:extLst>
            <a:ext uri="{FF2B5EF4-FFF2-40B4-BE49-F238E27FC236}">
              <a16:creationId xmlns:a16="http://schemas.microsoft.com/office/drawing/2014/main" id="{A5E69E4C-1C7D-486F-B87E-9203C543B837}"/>
            </a:ext>
          </a:extLst>
        </xdr:cNvPr>
        <xdr:cNvCxnSpPr/>
      </xdr:nvCxnSpPr>
      <xdr:spPr>
        <a:xfrm flipV="1">
          <a:off x="6999623" y="337296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82797</xdr:colOff>
      <xdr:row>18</xdr:row>
      <xdr:rowOff>166215</xdr:rowOff>
    </xdr:from>
    <xdr:to>
      <xdr:col>14</xdr:col>
      <xdr:colOff>586744</xdr:colOff>
      <xdr:row>18</xdr:row>
      <xdr:rowOff>167372</xdr:rowOff>
    </xdr:to>
    <xdr:cxnSp macro="">
      <xdr:nvCxnSpPr>
        <xdr:cNvPr id="31" name="Straight Connector 30">
          <a:extLst>
            <a:ext uri="{FF2B5EF4-FFF2-40B4-BE49-F238E27FC236}">
              <a16:creationId xmlns:a16="http://schemas.microsoft.com/office/drawing/2014/main" id="{7C285A44-5A1A-4F60-896A-A5E085366D0F}"/>
            </a:ext>
          </a:extLst>
        </xdr:cNvPr>
        <xdr:cNvCxnSpPr/>
      </xdr:nvCxnSpPr>
      <xdr:spPr>
        <a:xfrm flipV="1">
          <a:off x="8217147" y="337296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92941</xdr:colOff>
      <xdr:row>18</xdr:row>
      <xdr:rowOff>166215</xdr:rowOff>
    </xdr:from>
    <xdr:to>
      <xdr:col>16</xdr:col>
      <xdr:colOff>596889</xdr:colOff>
      <xdr:row>18</xdr:row>
      <xdr:rowOff>167372</xdr:rowOff>
    </xdr:to>
    <xdr:cxnSp macro="">
      <xdr:nvCxnSpPr>
        <xdr:cNvPr id="32" name="Straight Connector 31">
          <a:extLst>
            <a:ext uri="{FF2B5EF4-FFF2-40B4-BE49-F238E27FC236}">
              <a16:creationId xmlns:a16="http://schemas.microsoft.com/office/drawing/2014/main" id="{E559BAE2-8B64-4B5C-95D0-88F27531849A}"/>
            </a:ext>
          </a:extLst>
        </xdr:cNvPr>
        <xdr:cNvCxnSpPr/>
      </xdr:nvCxnSpPr>
      <xdr:spPr>
        <a:xfrm flipV="1">
          <a:off x="9446491" y="3372965"/>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81638</xdr:colOff>
      <xdr:row>18</xdr:row>
      <xdr:rowOff>166215</xdr:rowOff>
    </xdr:from>
    <xdr:to>
      <xdr:col>18</xdr:col>
      <xdr:colOff>585586</xdr:colOff>
      <xdr:row>18</xdr:row>
      <xdr:rowOff>167372</xdr:rowOff>
    </xdr:to>
    <xdr:cxnSp macro="">
      <xdr:nvCxnSpPr>
        <xdr:cNvPr id="33" name="Straight Connector 32">
          <a:extLst>
            <a:ext uri="{FF2B5EF4-FFF2-40B4-BE49-F238E27FC236}">
              <a16:creationId xmlns:a16="http://schemas.microsoft.com/office/drawing/2014/main" id="{E2DBE9EC-C1A4-4582-9907-C83938C8486D}"/>
            </a:ext>
          </a:extLst>
        </xdr:cNvPr>
        <xdr:cNvCxnSpPr/>
      </xdr:nvCxnSpPr>
      <xdr:spPr>
        <a:xfrm flipV="1">
          <a:off x="10654388" y="3372965"/>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81505</xdr:colOff>
      <xdr:row>18</xdr:row>
      <xdr:rowOff>166215</xdr:rowOff>
    </xdr:from>
    <xdr:to>
      <xdr:col>20</xdr:col>
      <xdr:colOff>585453</xdr:colOff>
      <xdr:row>18</xdr:row>
      <xdr:rowOff>167372</xdr:rowOff>
    </xdr:to>
    <xdr:cxnSp macro="">
      <xdr:nvCxnSpPr>
        <xdr:cNvPr id="34" name="Straight Connector 33">
          <a:extLst>
            <a:ext uri="{FF2B5EF4-FFF2-40B4-BE49-F238E27FC236}">
              <a16:creationId xmlns:a16="http://schemas.microsoft.com/office/drawing/2014/main" id="{5064CF76-7331-4FD5-9DC4-10898D188C30}"/>
            </a:ext>
          </a:extLst>
        </xdr:cNvPr>
        <xdr:cNvCxnSpPr/>
      </xdr:nvCxnSpPr>
      <xdr:spPr>
        <a:xfrm flipV="1">
          <a:off x="11873455" y="3372965"/>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96981</xdr:colOff>
      <xdr:row>23</xdr:row>
      <xdr:rowOff>152197</xdr:rowOff>
    </xdr:from>
    <xdr:to>
      <xdr:col>10</xdr:col>
      <xdr:colOff>600928</xdr:colOff>
      <xdr:row>23</xdr:row>
      <xdr:rowOff>153354</xdr:rowOff>
    </xdr:to>
    <xdr:cxnSp macro="">
      <xdr:nvCxnSpPr>
        <xdr:cNvPr id="35" name="Straight Connector 34">
          <a:extLst>
            <a:ext uri="{FF2B5EF4-FFF2-40B4-BE49-F238E27FC236}">
              <a16:creationId xmlns:a16="http://schemas.microsoft.com/office/drawing/2014/main" id="{5782B05E-194C-49B8-9FDB-85196F73EF45}"/>
            </a:ext>
          </a:extLst>
        </xdr:cNvPr>
        <xdr:cNvCxnSpPr/>
      </xdr:nvCxnSpPr>
      <xdr:spPr>
        <a:xfrm flipV="1">
          <a:off x="5792931" y="414634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99035</xdr:colOff>
      <xdr:row>23</xdr:row>
      <xdr:rowOff>152197</xdr:rowOff>
    </xdr:from>
    <xdr:to>
      <xdr:col>12</xdr:col>
      <xdr:colOff>603858</xdr:colOff>
      <xdr:row>23</xdr:row>
      <xdr:rowOff>153354</xdr:rowOff>
    </xdr:to>
    <xdr:cxnSp macro="">
      <xdr:nvCxnSpPr>
        <xdr:cNvPr id="36" name="Straight Connector 35">
          <a:extLst>
            <a:ext uri="{FF2B5EF4-FFF2-40B4-BE49-F238E27FC236}">
              <a16:creationId xmlns:a16="http://schemas.microsoft.com/office/drawing/2014/main" id="{E759A60C-4829-4443-9CB9-8FE46E2EBE56}"/>
            </a:ext>
          </a:extLst>
        </xdr:cNvPr>
        <xdr:cNvCxnSpPr/>
      </xdr:nvCxnSpPr>
      <xdr:spPr>
        <a:xfrm flipV="1">
          <a:off x="7014185" y="4146347"/>
          <a:ext cx="1114423"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97360</xdr:colOff>
      <xdr:row>23</xdr:row>
      <xdr:rowOff>152197</xdr:rowOff>
    </xdr:from>
    <xdr:to>
      <xdr:col>14</xdr:col>
      <xdr:colOff>602182</xdr:colOff>
      <xdr:row>23</xdr:row>
      <xdr:rowOff>153354</xdr:rowOff>
    </xdr:to>
    <xdr:cxnSp macro="">
      <xdr:nvCxnSpPr>
        <xdr:cNvPr id="37" name="Straight Connector 36">
          <a:extLst>
            <a:ext uri="{FF2B5EF4-FFF2-40B4-BE49-F238E27FC236}">
              <a16:creationId xmlns:a16="http://schemas.microsoft.com/office/drawing/2014/main" id="{DB980EA2-A356-466E-BBF6-92EED25049E2}"/>
            </a:ext>
          </a:extLst>
        </xdr:cNvPr>
        <xdr:cNvCxnSpPr/>
      </xdr:nvCxnSpPr>
      <xdr:spPr>
        <a:xfrm flipV="1">
          <a:off x="8231710" y="4146347"/>
          <a:ext cx="1114422"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107963</xdr:colOff>
      <xdr:row>23</xdr:row>
      <xdr:rowOff>152197</xdr:rowOff>
    </xdr:from>
    <xdr:to>
      <xdr:col>17</xdr:col>
      <xdr:colOff>1866</xdr:colOff>
      <xdr:row>23</xdr:row>
      <xdr:rowOff>153354</xdr:rowOff>
    </xdr:to>
    <xdr:cxnSp macro="">
      <xdr:nvCxnSpPr>
        <xdr:cNvPr id="38" name="Straight Connector 37">
          <a:extLst>
            <a:ext uri="{FF2B5EF4-FFF2-40B4-BE49-F238E27FC236}">
              <a16:creationId xmlns:a16="http://schemas.microsoft.com/office/drawing/2014/main" id="{C88A56BC-B769-4F6C-AA3A-924AE4B6104B}"/>
            </a:ext>
          </a:extLst>
        </xdr:cNvPr>
        <xdr:cNvCxnSpPr/>
      </xdr:nvCxnSpPr>
      <xdr:spPr>
        <a:xfrm flipV="1">
          <a:off x="9461513" y="4146347"/>
          <a:ext cx="1113103"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96661</xdr:colOff>
      <xdr:row>23</xdr:row>
      <xdr:rowOff>152197</xdr:rowOff>
    </xdr:from>
    <xdr:to>
      <xdr:col>18</xdr:col>
      <xdr:colOff>600563</xdr:colOff>
      <xdr:row>23</xdr:row>
      <xdr:rowOff>153354</xdr:rowOff>
    </xdr:to>
    <xdr:cxnSp macro="">
      <xdr:nvCxnSpPr>
        <xdr:cNvPr id="39" name="Straight Connector 38">
          <a:extLst>
            <a:ext uri="{FF2B5EF4-FFF2-40B4-BE49-F238E27FC236}">
              <a16:creationId xmlns:a16="http://schemas.microsoft.com/office/drawing/2014/main" id="{EDB4DBD6-E312-4F8D-9FB0-DF71FC608D1E}"/>
            </a:ext>
          </a:extLst>
        </xdr:cNvPr>
        <xdr:cNvCxnSpPr/>
      </xdr:nvCxnSpPr>
      <xdr:spPr>
        <a:xfrm flipV="1">
          <a:off x="10669411" y="4146347"/>
          <a:ext cx="1113502"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81527</xdr:colOff>
      <xdr:row>23</xdr:row>
      <xdr:rowOff>152197</xdr:rowOff>
    </xdr:from>
    <xdr:to>
      <xdr:col>20</xdr:col>
      <xdr:colOff>585430</xdr:colOff>
      <xdr:row>23</xdr:row>
      <xdr:rowOff>153354</xdr:rowOff>
    </xdr:to>
    <xdr:cxnSp macro="">
      <xdr:nvCxnSpPr>
        <xdr:cNvPr id="40" name="Straight Connector 39">
          <a:extLst>
            <a:ext uri="{FF2B5EF4-FFF2-40B4-BE49-F238E27FC236}">
              <a16:creationId xmlns:a16="http://schemas.microsoft.com/office/drawing/2014/main" id="{68C7B49E-91F6-439E-84B8-27E486B52CD1}"/>
            </a:ext>
          </a:extLst>
        </xdr:cNvPr>
        <xdr:cNvCxnSpPr/>
      </xdr:nvCxnSpPr>
      <xdr:spPr>
        <a:xfrm flipV="1">
          <a:off x="11873477" y="4146347"/>
          <a:ext cx="1113503"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81981</xdr:colOff>
      <xdr:row>24</xdr:row>
      <xdr:rowOff>191437</xdr:rowOff>
    </xdr:from>
    <xdr:to>
      <xdr:col>10</xdr:col>
      <xdr:colOff>585928</xdr:colOff>
      <xdr:row>24</xdr:row>
      <xdr:rowOff>192594</xdr:rowOff>
    </xdr:to>
    <xdr:cxnSp macro="">
      <xdr:nvCxnSpPr>
        <xdr:cNvPr id="41" name="Straight Connector 40">
          <a:extLst>
            <a:ext uri="{FF2B5EF4-FFF2-40B4-BE49-F238E27FC236}">
              <a16:creationId xmlns:a16="http://schemas.microsoft.com/office/drawing/2014/main" id="{DBA2B7DE-AF6D-4769-91C1-4BAFEC14D7A4}"/>
            </a:ext>
          </a:extLst>
        </xdr:cNvPr>
        <xdr:cNvCxnSpPr/>
      </xdr:nvCxnSpPr>
      <xdr:spPr>
        <a:xfrm flipV="1">
          <a:off x="5777931" y="436338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84473</xdr:colOff>
      <xdr:row>24</xdr:row>
      <xdr:rowOff>191437</xdr:rowOff>
    </xdr:from>
    <xdr:to>
      <xdr:col>12</xdr:col>
      <xdr:colOff>588420</xdr:colOff>
      <xdr:row>24</xdr:row>
      <xdr:rowOff>192594</xdr:rowOff>
    </xdr:to>
    <xdr:cxnSp macro="">
      <xdr:nvCxnSpPr>
        <xdr:cNvPr id="42" name="Straight Connector 41">
          <a:extLst>
            <a:ext uri="{FF2B5EF4-FFF2-40B4-BE49-F238E27FC236}">
              <a16:creationId xmlns:a16="http://schemas.microsoft.com/office/drawing/2014/main" id="{304F78B8-5C24-493E-AF90-8A16F0656E96}"/>
            </a:ext>
          </a:extLst>
        </xdr:cNvPr>
        <xdr:cNvCxnSpPr/>
      </xdr:nvCxnSpPr>
      <xdr:spPr>
        <a:xfrm flipV="1">
          <a:off x="6999623" y="436338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82797</xdr:colOff>
      <xdr:row>24</xdr:row>
      <xdr:rowOff>191437</xdr:rowOff>
    </xdr:from>
    <xdr:to>
      <xdr:col>14</xdr:col>
      <xdr:colOff>586744</xdr:colOff>
      <xdr:row>24</xdr:row>
      <xdr:rowOff>192594</xdr:rowOff>
    </xdr:to>
    <xdr:cxnSp macro="">
      <xdr:nvCxnSpPr>
        <xdr:cNvPr id="43" name="Straight Connector 42">
          <a:extLst>
            <a:ext uri="{FF2B5EF4-FFF2-40B4-BE49-F238E27FC236}">
              <a16:creationId xmlns:a16="http://schemas.microsoft.com/office/drawing/2014/main" id="{BC35AC8F-8806-4D3B-9485-915533605D08}"/>
            </a:ext>
          </a:extLst>
        </xdr:cNvPr>
        <xdr:cNvCxnSpPr/>
      </xdr:nvCxnSpPr>
      <xdr:spPr>
        <a:xfrm flipV="1">
          <a:off x="8217147" y="436338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92941</xdr:colOff>
      <xdr:row>24</xdr:row>
      <xdr:rowOff>191437</xdr:rowOff>
    </xdr:from>
    <xdr:to>
      <xdr:col>16</xdr:col>
      <xdr:colOff>596889</xdr:colOff>
      <xdr:row>24</xdr:row>
      <xdr:rowOff>192594</xdr:rowOff>
    </xdr:to>
    <xdr:cxnSp macro="">
      <xdr:nvCxnSpPr>
        <xdr:cNvPr id="44" name="Straight Connector 43">
          <a:extLst>
            <a:ext uri="{FF2B5EF4-FFF2-40B4-BE49-F238E27FC236}">
              <a16:creationId xmlns:a16="http://schemas.microsoft.com/office/drawing/2014/main" id="{4298747B-CA1D-4334-B056-6F1F97E0514F}"/>
            </a:ext>
          </a:extLst>
        </xdr:cNvPr>
        <xdr:cNvCxnSpPr/>
      </xdr:nvCxnSpPr>
      <xdr:spPr>
        <a:xfrm flipV="1">
          <a:off x="9446491" y="4363387"/>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81638</xdr:colOff>
      <xdr:row>24</xdr:row>
      <xdr:rowOff>191437</xdr:rowOff>
    </xdr:from>
    <xdr:to>
      <xdr:col>18</xdr:col>
      <xdr:colOff>585586</xdr:colOff>
      <xdr:row>24</xdr:row>
      <xdr:rowOff>192594</xdr:rowOff>
    </xdr:to>
    <xdr:cxnSp macro="">
      <xdr:nvCxnSpPr>
        <xdr:cNvPr id="45" name="Straight Connector 44">
          <a:extLst>
            <a:ext uri="{FF2B5EF4-FFF2-40B4-BE49-F238E27FC236}">
              <a16:creationId xmlns:a16="http://schemas.microsoft.com/office/drawing/2014/main" id="{FA843433-4F75-41E1-B27B-49A788F21F00}"/>
            </a:ext>
          </a:extLst>
        </xdr:cNvPr>
        <xdr:cNvCxnSpPr/>
      </xdr:nvCxnSpPr>
      <xdr:spPr>
        <a:xfrm flipV="1">
          <a:off x="10654388" y="4363387"/>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81505</xdr:colOff>
      <xdr:row>24</xdr:row>
      <xdr:rowOff>191437</xdr:rowOff>
    </xdr:from>
    <xdr:to>
      <xdr:col>20</xdr:col>
      <xdr:colOff>585453</xdr:colOff>
      <xdr:row>24</xdr:row>
      <xdr:rowOff>192594</xdr:rowOff>
    </xdr:to>
    <xdr:cxnSp macro="">
      <xdr:nvCxnSpPr>
        <xdr:cNvPr id="46" name="Straight Connector 45">
          <a:extLst>
            <a:ext uri="{FF2B5EF4-FFF2-40B4-BE49-F238E27FC236}">
              <a16:creationId xmlns:a16="http://schemas.microsoft.com/office/drawing/2014/main" id="{CDAA97CF-501A-4DAA-9F75-47851DB966F1}"/>
            </a:ext>
          </a:extLst>
        </xdr:cNvPr>
        <xdr:cNvCxnSpPr/>
      </xdr:nvCxnSpPr>
      <xdr:spPr>
        <a:xfrm flipV="1">
          <a:off x="11873455" y="4363387"/>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81981</xdr:colOff>
      <xdr:row>25</xdr:row>
      <xdr:rowOff>5545</xdr:rowOff>
    </xdr:from>
    <xdr:to>
      <xdr:col>10</xdr:col>
      <xdr:colOff>585928</xdr:colOff>
      <xdr:row>25</xdr:row>
      <xdr:rowOff>6702</xdr:rowOff>
    </xdr:to>
    <xdr:cxnSp macro="">
      <xdr:nvCxnSpPr>
        <xdr:cNvPr id="47" name="Straight Connector 46">
          <a:extLst>
            <a:ext uri="{FF2B5EF4-FFF2-40B4-BE49-F238E27FC236}">
              <a16:creationId xmlns:a16="http://schemas.microsoft.com/office/drawing/2014/main" id="{E39D5674-3C89-423A-A3F4-BCD273693B1E}"/>
            </a:ext>
          </a:extLst>
        </xdr:cNvPr>
        <xdr:cNvCxnSpPr/>
      </xdr:nvCxnSpPr>
      <xdr:spPr>
        <a:xfrm flipV="1">
          <a:off x="5777931" y="436799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84473</xdr:colOff>
      <xdr:row>25</xdr:row>
      <xdr:rowOff>5545</xdr:rowOff>
    </xdr:from>
    <xdr:to>
      <xdr:col>12</xdr:col>
      <xdr:colOff>588420</xdr:colOff>
      <xdr:row>25</xdr:row>
      <xdr:rowOff>6702</xdr:rowOff>
    </xdr:to>
    <xdr:cxnSp macro="">
      <xdr:nvCxnSpPr>
        <xdr:cNvPr id="48" name="Straight Connector 47">
          <a:extLst>
            <a:ext uri="{FF2B5EF4-FFF2-40B4-BE49-F238E27FC236}">
              <a16:creationId xmlns:a16="http://schemas.microsoft.com/office/drawing/2014/main" id="{8FCBD3FA-5999-48EC-A51F-4EF340378507}"/>
            </a:ext>
          </a:extLst>
        </xdr:cNvPr>
        <xdr:cNvCxnSpPr/>
      </xdr:nvCxnSpPr>
      <xdr:spPr>
        <a:xfrm flipV="1">
          <a:off x="6999623" y="436799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82797</xdr:colOff>
      <xdr:row>25</xdr:row>
      <xdr:rowOff>5545</xdr:rowOff>
    </xdr:from>
    <xdr:to>
      <xdr:col>14</xdr:col>
      <xdr:colOff>586744</xdr:colOff>
      <xdr:row>25</xdr:row>
      <xdr:rowOff>6702</xdr:rowOff>
    </xdr:to>
    <xdr:cxnSp macro="">
      <xdr:nvCxnSpPr>
        <xdr:cNvPr id="49" name="Straight Connector 48">
          <a:extLst>
            <a:ext uri="{FF2B5EF4-FFF2-40B4-BE49-F238E27FC236}">
              <a16:creationId xmlns:a16="http://schemas.microsoft.com/office/drawing/2014/main" id="{52FF52AE-3D82-4BC3-B0E2-E9652AA68861}"/>
            </a:ext>
          </a:extLst>
        </xdr:cNvPr>
        <xdr:cNvCxnSpPr/>
      </xdr:nvCxnSpPr>
      <xdr:spPr>
        <a:xfrm flipV="1">
          <a:off x="8217147" y="436799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92941</xdr:colOff>
      <xdr:row>25</xdr:row>
      <xdr:rowOff>5545</xdr:rowOff>
    </xdr:from>
    <xdr:to>
      <xdr:col>16</xdr:col>
      <xdr:colOff>596889</xdr:colOff>
      <xdr:row>25</xdr:row>
      <xdr:rowOff>6702</xdr:rowOff>
    </xdr:to>
    <xdr:cxnSp macro="">
      <xdr:nvCxnSpPr>
        <xdr:cNvPr id="50" name="Straight Connector 49">
          <a:extLst>
            <a:ext uri="{FF2B5EF4-FFF2-40B4-BE49-F238E27FC236}">
              <a16:creationId xmlns:a16="http://schemas.microsoft.com/office/drawing/2014/main" id="{85972843-1CF5-4B97-820F-C2B9B018B480}"/>
            </a:ext>
          </a:extLst>
        </xdr:cNvPr>
        <xdr:cNvCxnSpPr/>
      </xdr:nvCxnSpPr>
      <xdr:spPr>
        <a:xfrm flipV="1">
          <a:off x="9446491" y="4367995"/>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81638</xdr:colOff>
      <xdr:row>25</xdr:row>
      <xdr:rowOff>5545</xdr:rowOff>
    </xdr:from>
    <xdr:to>
      <xdr:col>18</xdr:col>
      <xdr:colOff>585586</xdr:colOff>
      <xdr:row>25</xdr:row>
      <xdr:rowOff>6702</xdr:rowOff>
    </xdr:to>
    <xdr:cxnSp macro="">
      <xdr:nvCxnSpPr>
        <xdr:cNvPr id="51" name="Straight Connector 50">
          <a:extLst>
            <a:ext uri="{FF2B5EF4-FFF2-40B4-BE49-F238E27FC236}">
              <a16:creationId xmlns:a16="http://schemas.microsoft.com/office/drawing/2014/main" id="{EB58E28D-637D-4E17-B2E3-0C565BDC9369}"/>
            </a:ext>
          </a:extLst>
        </xdr:cNvPr>
        <xdr:cNvCxnSpPr/>
      </xdr:nvCxnSpPr>
      <xdr:spPr>
        <a:xfrm flipV="1">
          <a:off x="10654388" y="4367995"/>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81505</xdr:colOff>
      <xdr:row>25</xdr:row>
      <xdr:rowOff>5545</xdr:rowOff>
    </xdr:from>
    <xdr:to>
      <xdr:col>20</xdr:col>
      <xdr:colOff>585453</xdr:colOff>
      <xdr:row>25</xdr:row>
      <xdr:rowOff>6702</xdr:rowOff>
    </xdr:to>
    <xdr:cxnSp macro="">
      <xdr:nvCxnSpPr>
        <xdr:cNvPr id="52" name="Straight Connector 51">
          <a:extLst>
            <a:ext uri="{FF2B5EF4-FFF2-40B4-BE49-F238E27FC236}">
              <a16:creationId xmlns:a16="http://schemas.microsoft.com/office/drawing/2014/main" id="{53516305-A258-4B98-AC22-6AA2E7192404}"/>
            </a:ext>
          </a:extLst>
        </xdr:cNvPr>
        <xdr:cNvCxnSpPr/>
      </xdr:nvCxnSpPr>
      <xdr:spPr>
        <a:xfrm flipV="1">
          <a:off x="11873455" y="4367995"/>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66609</xdr:colOff>
      <xdr:row>10</xdr:row>
      <xdr:rowOff>179312</xdr:rowOff>
    </xdr:from>
    <xdr:to>
      <xdr:col>14</xdr:col>
      <xdr:colOff>581713</xdr:colOff>
      <xdr:row>10</xdr:row>
      <xdr:rowOff>179312</xdr:rowOff>
    </xdr:to>
    <xdr:cxnSp macro="">
      <xdr:nvCxnSpPr>
        <xdr:cNvPr id="53" name="Straight Connector 52">
          <a:extLst>
            <a:ext uri="{FF2B5EF4-FFF2-40B4-BE49-F238E27FC236}">
              <a16:creationId xmlns:a16="http://schemas.microsoft.com/office/drawing/2014/main" id="{ACE3F4DE-87E4-4DBC-997A-29D9A6965FAC}"/>
            </a:ext>
          </a:extLst>
        </xdr:cNvPr>
        <xdr:cNvCxnSpPr/>
      </xdr:nvCxnSpPr>
      <xdr:spPr>
        <a:xfrm>
          <a:off x="5762559" y="1906512"/>
          <a:ext cx="3563104"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9641</xdr:colOff>
      <xdr:row>31</xdr:row>
      <xdr:rowOff>163361</xdr:rowOff>
    </xdr:from>
    <xdr:to>
      <xdr:col>21</xdr:col>
      <xdr:colOff>41413</xdr:colOff>
      <xdr:row>31</xdr:row>
      <xdr:rowOff>163361</xdr:rowOff>
    </xdr:to>
    <xdr:cxnSp macro="">
      <xdr:nvCxnSpPr>
        <xdr:cNvPr id="54" name="Straight Connector 53">
          <a:extLst>
            <a:ext uri="{FF2B5EF4-FFF2-40B4-BE49-F238E27FC236}">
              <a16:creationId xmlns:a16="http://schemas.microsoft.com/office/drawing/2014/main" id="{76F62B61-76EE-4967-BD02-9D1902859A62}"/>
            </a:ext>
          </a:extLst>
        </xdr:cNvPr>
        <xdr:cNvCxnSpPr/>
      </xdr:nvCxnSpPr>
      <xdr:spPr>
        <a:xfrm>
          <a:off x="3876791" y="5637061"/>
          <a:ext cx="9175772" cy="0"/>
        </a:xfrm>
        <a:prstGeom prst="line">
          <a:avLst/>
        </a:prstGeom>
        <a:ln w="12700">
          <a:solidFill>
            <a:schemeClr val="bg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76881</xdr:colOff>
      <xdr:row>33</xdr:row>
      <xdr:rowOff>162327</xdr:rowOff>
    </xdr:from>
    <xdr:to>
      <xdr:col>10</xdr:col>
      <xdr:colOff>580828</xdr:colOff>
      <xdr:row>33</xdr:row>
      <xdr:rowOff>163484</xdr:rowOff>
    </xdr:to>
    <xdr:cxnSp macro="">
      <xdr:nvCxnSpPr>
        <xdr:cNvPr id="55" name="Straight Connector 54">
          <a:extLst>
            <a:ext uri="{FF2B5EF4-FFF2-40B4-BE49-F238E27FC236}">
              <a16:creationId xmlns:a16="http://schemas.microsoft.com/office/drawing/2014/main" id="{3A2CCAEE-4BF5-43B7-82E6-29026B4BA127}"/>
            </a:ext>
          </a:extLst>
        </xdr:cNvPr>
        <xdr:cNvCxnSpPr/>
      </xdr:nvCxnSpPr>
      <xdr:spPr>
        <a:xfrm flipV="1">
          <a:off x="5772831" y="601067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78935</xdr:colOff>
      <xdr:row>33</xdr:row>
      <xdr:rowOff>162327</xdr:rowOff>
    </xdr:from>
    <xdr:to>
      <xdr:col>12</xdr:col>
      <xdr:colOff>583758</xdr:colOff>
      <xdr:row>33</xdr:row>
      <xdr:rowOff>163484</xdr:rowOff>
    </xdr:to>
    <xdr:cxnSp macro="">
      <xdr:nvCxnSpPr>
        <xdr:cNvPr id="56" name="Straight Connector 55">
          <a:extLst>
            <a:ext uri="{FF2B5EF4-FFF2-40B4-BE49-F238E27FC236}">
              <a16:creationId xmlns:a16="http://schemas.microsoft.com/office/drawing/2014/main" id="{EDBA48F9-EB4C-4571-A770-61778ADCB91B}"/>
            </a:ext>
          </a:extLst>
        </xdr:cNvPr>
        <xdr:cNvCxnSpPr/>
      </xdr:nvCxnSpPr>
      <xdr:spPr>
        <a:xfrm flipV="1">
          <a:off x="6994085" y="6010677"/>
          <a:ext cx="1114423"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77260</xdr:colOff>
      <xdr:row>33</xdr:row>
      <xdr:rowOff>162327</xdr:rowOff>
    </xdr:from>
    <xdr:to>
      <xdr:col>14</xdr:col>
      <xdr:colOff>582082</xdr:colOff>
      <xdr:row>33</xdr:row>
      <xdr:rowOff>163484</xdr:rowOff>
    </xdr:to>
    <xdr:cxnSp macro="">
      <xdr:nvCxnSpPr>
        <xdr:cNvPr id="57" name="Straight Connector 56">
          <a:extLst>
            <a:ext uri="{FF2B5EF4-FFF2-40B4-BE49-F238E27FC236}">
              <a16:creationId xmlns:a16="http://schemas.microsoft.com/office/drawing/2014/main" id="{E8276544-9D99-46DE-8EFA-3CD9A10682FF}"/>
            </a:ext>
          </a:extLst>
        </xdr:cNvPr>
        <xdr:cNvCxnSpPr/>
      </xdr:nvCxnSpPr>
      <xdr:spPr>
        <a:xfrm flipV="1">
          <a:off x="8211610" y="6010677"/>
          <a:ext cx="1114422"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87863</xdr:colOff>
      <xdr:row>33</xdr:row>
      <xdr:rowOff>162327</xdr:rowOff>
    </xdr:from>
    <xdr:to>
      <xdr:col>16</xdr:col>
      <xdr:colOff>591766</xdr:colOff>
      <xdr:row>33</xdr:row>
      <xdr:rowOff>163484</xdr:rowOff>
    </xdr:to>
    <xdr:cxnSp macro="">
      <xdr:nvCxnSpPr>
        <xdr:cNvPr id="58" name="Straight Connector 57">
          <a:extLst>
            <a:ext uri="{FF2B5EF4-FFF2-40B4-BE49-F238E27FC236}">
              <a16:creationId xmlns:a16="http://schemas.microsoft.com/office/drawing/2014/main" id="{7C099C2D-AA23-4836-915E-48980DADC669}"/>
            </a:ext>
          </a:extLst>
        </xdr:cNvPr>
        <xdr:cNvCxnSpPr/>
      </xdr:nvCxnSpPr>
      <xdr:spPr>
        <a:xfrm flipV="1">
          <a:off x="9441413" y="6010677"/>
          <a:ext cx="1113503"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76561</xdr:colOff>
      <xdr:row>33</xdr:row>
      <xdr:rowOff>162327</xdr:rowOff>
    </xdr:from>
    <xdr:to>
      <xdr:col>18</xdr:col>
      <xdr:colOff>580463</xdr:colOff>
      <xdr:row>33</xdr:row>
      <xdr:rowOff>163484</xdr:rowOff>
    </xdr:to>
    <xdr:cxnSp macro="">
      <xdr:nvCxnSpPr>
        <xdr:cNvPr id="59" name="Straight Connector 58">
          <a:extLst>
            <a:ext uri="{FF2B5EF4-FFF2-40B4-BE49-F238E27FC236}">
              <a16:creationId xmlns:a16="http://schemas.microsoft.com/office/drawing/2014/main" id="{2FDCFDDF-12F6-4696-981F-3ABE78387907}"/>
            </a:ext>
          </a:extLst>
        </xdr:cNvPr>
        <xdr:cNvCxnSpPr/>
      </xdr:nvCxnSpPr>
      <xdr:spPr>
        <a:xfrm flipV="1">
          <a:off x="10649311" y="6010677"/>
          <a:ext cx="1113502"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61427</xdr:colOff>
      <xdr:row>33</xdr:row>
      <xdr:rowOff>162327</xdr:rowOff>
    </xdr:from>
    <xdr:to>
      <xdr:col>20</xdr:col>
      <xdr:colOff>565330</xdr:colOff>
      <xdr:row>33</xdr:row>
      <xdr:rowOff>163484</xdr:rowOff>
    </xdr:to>
    <xdr:cxnSp macro="">
      <xdr:nvCxnSpPr>
        <xdr:cNvPr id="60" name="Straight Connector 59">
          <a:extLst>
            <a:ext uri="{FF2B5EF4-FFF2-40B4-BE49-F238E27FC236}">
              <a16:creationId xmlns:a16="http://schemas.microsoft.com/office/drawing/2014/main" id="{66189B67-08F2-45FA-A1D1-843505024311}"/>
            </a:ext>
          </a:extLst>
        </xdr:cNvPr>
        <xdr:cNvCxnSpPr/>
      </xdr:nvCxnSpPr>
      <xdr:spPr>
        <a:xfrm flipV="1">
          <a:off x="11853377" y="6010677"/>
          <a:ext cx="1113503"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76881</xdr:colOff>
      <xdr:row>40</xdr:row>
      <xdr:rowOff>159727</xdr:rowOff>
    </xdr:from>
    <xdr:to>
      <xdr:col>10</xdr:col>
      <xdr:colOff>580828</xdr:colOff>
      <xdr:row>40</xdr:row>
      <xdr:rowOff>160884</xdr:rowOff>
    </xdr:to>
    <xdr:cxnSp macro="">
      <xdr:nvCxnSpPr>
        <xdr:cNvPr id="61" name="Straight Connector 60">
          <a:extLst>
            <a:ext uri="{FF2B5EF4-FFF2-40B4-BE49-F238E27FC236}">
              <a16:creationId xmlns:a16="http://schemas.microsoft.com/office/drawing/2014/main" id="{CFD1818D-65E2-445C-B748-3B86C6DC810D}"/>
            </a:ext>
          </a:extLst>
        </xdr:cNvPr>
        <xdr:cNvCxnSpPr/>
      </xdr:nvCxnSpPr>
      <xdr:spPr>
        <a:xfrm flipV="1">
          <a:off x="5772831" y="715742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78935</xdr:colOff>
      <xdr:row>40</xdr:row>
      <xdr:rowOff>159727</xdr:rowOff>
    </xdr:from>
    <xdr:to>
      <xdr:col>12</xdr:col>
      <xdr:colOff>583758</xdr:colOff>
      <xdr:row>40</xdr:row>
      <xdr:rowOff>160884</xdr:rowOff>
    </xdr:to>
    <xdr:cxnSp macro="">
      <xdr:nvCxnSpPr>
        <xdr:cNvPr id="62" name="Straight Connector 61">
          <a:extLst>
            <a:ext uri="{FF2B5EF4-FFF2-40B4-BE49-F238E27FC236}">
              <a16:creationId xmlns:a16="http://schemas.microsoft.com/office/drawing/2014/main" id="{A10FE888-E479-4733-BDAC-2FFEC11034CC}"/>
            </a:ext>
          </a:extLst>
        </xdr:cNvPr>
        <xdr:cNvCxnSpPr/>
      </xdr:nvCxnSpPr>
      <xdr:spPr>
        <a:xfrm flipV="1">
          <a:off x="6994085" y="7157427"/>
          <a:ext cx="1114423"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77260</xdr:colOff>
      <xdr:row>40</xdr:row>
      <xdr:rowOff>159727</xdr:rowOff>
    </xdr:from>
    <xdr:to>
      <xdr:col>14</xdr:col>
      <xdr:colOff>582082</xdr:colOff>
      <xdr:row>40</xdr:row>
      <xdr:rowOff>160884</xdr:rowOff>
    </xdr:to>
    <xdr:cxnSp macro="">
      <xdr:nvCxnSpPr>
        <xdr:cNvPr id="63" name="Straight Connector 62">
          <a:extLst>
            <a:ext uri="{FF2B5EF4-FFF2-40B4-BE49-F238E27FC236}">
              <a16:creationId xmlns:a16="http://schemas.microsoft.com/office/drawing/2014/main" id="{42331AEA-5B47-4DA2-AA6B-B952FB4DDC64}"/>
            </a:ext>
          </a:extLst>
        </xdr:cNvPr>
        <xdr:cNvCxnSpPr/>
      </xdr:nvCxnSpPr>
      <xdr:spPr>
        <a:xfrm flipV="1">
          <a:off x="8211610" y="7157427"/>
          <a:ext cx="1114422"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87863</xdr:colOff>
      <xdr:row>40</xdr:row>
      <xdr:rowOff>159727</xdr:rowOff>
    </xdr:from>
    <xdr:to>
      <xdr:col>16</xdr:col>
      <xdr:colOff>591766</xdr:colOff>
      <xdr:row>40</xdr:row>
      <xdr:rowOff>160884</xdr:rowOff>
    </xdr:to>
    <xdr:cxnSp macro="">
      <xdr:nvCxnSpPr>
        <xdr:cNvPr id="64" name="Straight Connector 63">
          <a:extLst>
            <a:ext uri="{FF2B5EF4-FFF2-40B4-BE49-F238E27FC236}">
              <a16:creationId xmlns:a16="http://schemas.microsoft.com/office/drawing/2014/main" id="{28438DAD-49CD-434A-BD1D-5AAA09230C24}"/>
            </a:ext>
          </a:extLst>
        </xdr:cNvPr>
        <xdr:cNvCxnSpPr/>
      </xdr:nvCxnSpPr>
      <xdr:spPr>
        <a:xfrm flipV="1">
          <a:off x="9441413" y="7157427"/>
          <a:ext cx="1113503"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76561</xdr:colOff>
      <xdr:row>40</xdr:row>
      <xdr:rowOff>159727</xdr:rowOff>
    </xdr:from>
    <xdr:to>
      <xdr:col>18</xdr:col>
      <xdr:colOff>580463</xdr:colOff>
      <xdr:row>40</xdr:row>
      <xdr:rowOff>160884</xdr:rowOff>
    </xdr:to>
    <xdr:cxnSp macro="">
      <xdr:nvCxnSpPr>
        <xdr:cNvPr id="65" name="Straight Connector 64">
          <a:extLst>
            <a:ext uri="{FF2B5EF4-FFF2-40B4-BE49-F238E27FC236}">
              <a16:creationId xmlns:a16="http://schemas.microsoft.com/office/drawing/2014/main" id="{F234A802-3900-4B3B-B165-8AEBBD889E24}"/>
            </a:ext>
          </a:extLst>
        </xdr:cNvPr>
        <xdr:cNvCxnSpPr/>
      </xdr:nvCxnSpPr>
      <xdr:spPr>
        <a:xfrm flipV="1">
          <a:off x="10649311" y="7157427"/>
          <a:ext cx="1113502"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61427</xdr:colOff>
      <xdr:row>40</xdr:row>
      <xdr:rowOff>159727</xdr:rowOff>
    </xdr:from>
    <xdr:to>
      <xdr:col>20</xdr:col>
      <xdr:colOff>565330</xdr:colOff>
      <xdr:row>40</xdr:row>
      <xdr:rowOff>160884</xdr:rowOff>
    </xdr:to>
    <xdr:cxnSp macro="">
      <xdr:nvCxnSpPr>
        <xdr:cNvPr id="66" name="Straight Connector 65">
          <a:extLst>
            <a:ext uri="{FF2B5EF4-FFF2-40B4-BE49-F238E27FC236}">
              <a16:creationId xmlns:a16="http://schemas.microsoft.com/office/drawing/2014/main" id="{493B5E4D-433F-4500-8569-17D63DD7A2CA}"/>
            </a:ext>
          </a:extLst>
        </xdr:cNvPr>
        <xdr:cNvCxnSpPr/>
      </xdr:nvCxnSpPr>
      <xdr:spPr>
        <a:xfrm flipV="1">
          <a:off x="11853377" y="7157427"/>
          <a:ext cx="1113503"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58081</xdr:colOff>
      <xdr:row>44</xdr:row>
      <xdr:rowOff>162046</xdr:rowOff>
    </xdr:from>
    <xdr:to>
      <xdr:col>10</xdr:col>
      <xdr:colOff>562028</xdr:colOff>
      <xdr:row>44</xdr:row>
      <xdr:rowOff>163364</xdr:rowOff>
    </xdr:to>
    <xdr:cxnSp macro="">
      <xdr:nvCxnSpPr>
        <xdr:cNvPr id="67" name="Straight Connector 66">
          <a:extLst>
            <a:ext uri="{FF2B5EF4-FFF2-40B4-BE49-F238E27FC236}">
              <a16:creationId xmlns:a16="http://schemas.microsoft.com/office/drawing/2014/main" id="{3F9FD47A-B6A5-4BD2-980E-5C700BC2B9CF}"/>
            </a:ext>
          </a:extLst>
        </xdr:cNvPr>
        <xdr:cNvCxnSpPr/>
      </xdr:nvCxnSpPr>
      <xdr:spPr>
        <a:xfrm flipV="1">
          <a:off x="5754031" y="78963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60135</xdr:colOff>
      <xdr:row>44</xdr:row>
      <xdr:rowOff>162046</xdr:rowOff>
    </xdr:from>
    <xdr:to>
      <xdr:col>12</xdr:col>
      <xdr:colOff>564958</xdr:colOff>
      <xdr:row>44</xdr:row>
      <xdr:rowOff>163364</xdr:rowOff>
    </xdr:to>
    <xdr:cxnSp macro="">
      <xdr:nvCxnSpPr>
        <xdr:cNvPr id="68" name="Straight Connector 67">
          <a:extLst>
            <a:ext uri="{FF2B5EF4-FFF2-40B4-BE49-F238E27FC236}">
              <a16:creationId xmlns:a16="http://schemas.microsoft.com/office/drawing/2014/main" id="{5ADA8980-8461-44C3-B8E8-095C0E891C37}"/>
            </a:ext>
          </a:extLst>
        </xdr:cNvPr>
        <xdr:cNvCxnSpPr/>
      </xdr:nvCxnSpPr>
      <xdr:spPr>
        <a:xfrm flipV="1">
          <a:off x="6975285" y="7896346"/>
          <a:ext cx="1114423"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58460</xdr:colOff>
      <xdr:row>44</xdr:row>
      <xdr:rowOff>162046</xdr:rowOff>
    </xdr:from>
    <xdr:to>
      <xdr:col>14</xdr:col>
      <xdr:colOff>563282</xdr:colOff>
      <xdr:row>44</xdr:row>
      <xdr:rowOff>163364</xdr:rowOff>
    </xdr:to>
    <xdr:cxnSp macro="">
      <xdr:nvCxnSpPr>
        <xdr:cNvPr id="69" name="Straight Connector 68">
          <a:extLst>
            <a:ext uri="{FF2B5EF4-FFF2-40B4-BE49-F238E27FC236}">
              <a16:creationId xmlns:a16="http://schemas.microsoft.com/office/drawing/2014/main" id="{C5C814DE-BA91-4E49-BDE5-908C3A162F2B}"/>
            </a:ext>
          </a:extLst>
        </xdr:cNvPr>
        <xdr:cNvCxnSpPr/>
      </xdr:nvCxnSpPr>
      <xdr:spPr>
        <a:xfrm flipV="1">
          <a:off x="8192810" y="7896346"/>
          <a:ext cx="1114422"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69063</xdr:colOff>
      <xdr:row>44</xdr:row>
      <xdr:rowOff>162046</xdr:rowOff>
    </xdr:from>
    <xdr:to>
      <xdr:col>16</xdr:col>
      <xdr:colOff>572966</xdr:colOff>
      <xdr:row>44</xdr:row>
      <xdr:rowOff>163364</xdr:rowOff>
    </xdr:to>
    <xdr:cxnSp macro="">
      <xdr:nvCxnSpPr>
        <xdr:cNvPr id="70" name="Straight Connector 69">
          <a:extLst>
            <a:ext uri="{FF2B5EF4-FFF2-40B4-BE49-F238E27FC236}">
              <a16:creationId xmlns:a16="http://schemas.microsoft.com/office/drawing/2014/main" id="{117FF72C-8111-4929-9B19-3FDBE27E53B8}"/>
            </a:ext>
          </a:extLst>
        </xdr:cNvPr>
        <xdr:cNvCxnSpPr/>
      </xdr:nvCxnSpPr>
      <xdr:spPr>
        <a:xfrm flipV="1">
          <a:off x="9422613" y="7896346"/>
          <a:ext cx="1113503"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57761</xdr:colOff>
      <xdr:row>44</xdr:row>
      <xdr:rowOff>162046</xdr:rowOff>
    </xdr:from>
    <xdr:to>
      <xdr:col>18</xdr:col>
      <xdr:colOff>561663</xdr:colOff>
      <xdr:row>44</xdr:row>
      <xdr:rowOff>163364</xdr:rowOff>
    </xdr:to>
    <xdr:cxnSp macro="">
      <xdr:nvCxnSpPr>
        <xdr:cNvPr id="71" name="Straight Connector 70">
          <a:extLst>
            <a:ext uri="{FF2B5EF4-FFF2-40B4-BE49-F238E27FC236}">
              <a16:creationId xmlns:a16="http://schemas.microsoft.com/office/drawing/2014/main" id="{AA036987-F47B-4BC4-B07D-45CDC13DFA1C}"/>
            </a:ext>
          </a:extLst>
        </xdr:cNvPr>
        <xdr:cNvCxnSpPr/>
      </xdr:nvCxnSpPr>
      <xdr:spPr>
        <a:xfrm flipV="1">
          <a:off x="10630511" y="7896346"/>
          <a:ext cx="1113502"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42627</xdr:colOff>
      <xdr:row>44</xdr:row>
      <xdr:rowOff>162046</xdr:rowOff>
    </xdr:from>
    <xdr:to>
      <xdr:col>20</xdr:col>
      <xdr:colOff>546530</xdr:colOff>
      <xdr:row>44</xdr:row>
      <xdr:rowOff>163364</xdr:rowOff>
    </xdr:to>
    <xdr:cxnSp macro="">
      <xdr:nvCxnSpPr>
        <xdr:cNvPr id="72" name="Straight Connector 71">
          <a:extLst>
            <a:ext uri="{FF2B5EF4-FFF2-40B4-BE49-F238E27FC236}">
              <a16:creationId xmlns:a16="http://schemas.microsoft.com/office/drawing/2014/main" id="{2E807151-A8B8-471A-B61B-9A6431F0A250}"/>
            </a:ext>
          </a:extLst>
        </xdr:cNvPr>
        <xdr:cNvCxnSpPr/>
      </xdr:nvCxnSpPr>
      <xdr:spPr>
        <a:xfrm flipV="1">
          <a:off x="11834577" y="7896346"/>
          <a:ext cx="1113503"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58081</xdr:colOff>
      <xdr:row>53</xdr:row>
      <xdr:rowOff>159446</xdr:rowOff>
    </xdr:from>
    <xdr:to>
      <xdr:col>10</xdr:col>
      <xdr:colOff>562028</xdr:colOff>
      <xdr:row>53</xdr:row>
      <xdr:rowOff>160764</xdr:rowOff>
    </xdr:to>
    <xdr:cxnSp macro="">
      <xdr:nvCxnSpPr>
        <xdr:cNvPr id="73" name="Straight Connector 72">
          <a:extLst>
            <a:ext uri="{FF2B5EF4-FFF2-40B4-BE49-F238E27FC236}">
              <a16:creationId xmlns:a16="http://schemas.microsoft.com/office/drawing/2014/main" id="{7FDDF5DA-28F6-406C-83E8-FA0E31BC4A4A}"/>
            </a:ext>
          </a:extLst>
        </xdr:cNvPr>
        <xdr:cNvCxnSpPr/>
      </xdr:nvCxnSpPr>
      <xdr:spPr>
        <a:xfrm flipV="1">
          <a:off x="5754031" y="93986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60135</xdr:colOff>
      <xdr:row>53</xdr:row>
      <xdr:rowOff>159446</xdr:rowOff>
    </xdr:from>
    <xdr:to>
      <xdr:col>12</xdr:col>
      <xdr:colOff>564958</xdr:colOff>
      <xdr:row>53</xdr:row>
      <xdr:rowOff>160764</xdr:rowOff>
    </xdr:to>
    <xdr:cxnSp macro="">
      <xdr:nvCxnSpPr>
        <xdr:cNvPr id="74" name="Straight Connector 73">
          <a:extLst>
            <a:ext uri="{FF2B5EF4-FFF2-40B4-BE49-F238E27FC236}">
              <a16:creationId xmlns:a16="http://schemas.microsoft.com/office/drawing/2014/main" id="{1C0B26E1-2C3C-46C7-A42D-5D7C24269BD0}"/>
            </a:ext>
          </a:extLst>
        </xdr:cNvPr>
        <xdr:cNvCxnSpPr/>
      </xdr:nvCxnSpPr>
      <xdr:spPr>
        <a:xfrm flipV="1">
          <a:off x="6975285" y="9398696"/>
          <a:ext cx="1114423"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58460</xdr:colOff>
      <xdr:row>53</xdr:row>
      <xdr:rowOff>159446</xdr:rowOff>
    </xdr:from>
    <xdr:to>
      <xdr:col>14</xdr:col>
      <xdr:colOff>563282</xdr:colOff>
      <xdr:row>53</xdr:row>
      <xdr:rowOff>160764</xdr:rowOff>
    </xdr:to>
    <xdr:cxnSp macro="">
      <xdr:nvCxnSpPr>
        <xdr:cNvPr id="75" name="Straight Connector 74">
          <a:extLst>
            <a:ext uri="{FF2B5EF4-FFF2-40B4-BE49-F238E27FC236}">
              <a16:creationId xmlns:a16="http://schemas.microsoft.com/office/drawing/2014/main" id="{BF0CB10C-D5CB-44BA-ADB2-2609823DB302}"/>
            </a:ext>
          </a:extLst>
        </xdr:cNvPr>
        <xdr:cNvCxnSpPr/>
      </xdr:nvCxnSpPr>
      <xdr:spPr>
        <a:xfrm flipV="1">
          <a:off x="8192810" y="9398696"/>
          <a:ext cx="1114422"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69063</xdr:colOff>
      <xdr:row>53</xdr:row>
      <xdr:rowOff>159446</xdr:rowOff>
    </xdr:from>
    <xdr:to>
      <xdr:col>16</xdr:col>
      <xdr:colOff>572966</xdr:colOff>
      <xdr:row>53</xdr:row>
      <xdr:rowOff>160764</xdr:rowOff>
    </xdr:to>
    <xdr:cxnSp macro="">
      <xdr:nvCxnSpPr>
        <xdr:cNvPr id="76" name="Straight Connector 75">
          <a:extLst>
            <a:ext uri="{FF2B5EF4-FFF2-40B4-BE49-F238E27FC236}">
              <a16:creationId xmlns:a16="http://schemas.microsoft.com/office/drawing/2014/main" id="{6C619FE0-74C2-4AC4-B461-A88CE67D746D}"/>
            </a:ext>
          </a:extLst>
        </xdr:cNvPr>
        <xdr:cNvCxnSpPr/>
      </xdr:nvCxnSpPr>
      <xdr:spPr>
        <a:xfrm flipV="1">
          <a:off x="9422613" y="9398696"/>
          <a:ext cx="1113503"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57761</xdr:colOff>
      <xdr:row>53</xdr:row>
      <xdr:rowOff>159446</xdr:rowOff>
    </xdr:from>
    <xdr:to>
      <xdr:col>18</xdr:col>
      <xdr:colOff>561663</xdr:colOff>
      <xdr:row>53</xdr:row>
      <xdr:rowOff>160764</xdr:rowOff>
    </xdr:to>
    <xdr:cxnSp macro="">
      <xdr:nvCxnSpPr>
        <xdr:cNvPr id="77" name="Straight Connector 76">
          <a:extLst>
            <a:ext uri="{FF2B5EF4-FFF2-40B4-BE49-F238E27FC236}">
              <a16:creationId xmlns:a16="http://schemas.microsoft.com/office/drawing/2014/main" id="{950BCA1B-A71B-489F-B86F-E06BD0DF3037}"/>
            </a:ext>
          </a:extLst>
        </xdr:cNvPr>
        <xdr:cNvCxnSpPr/>
      </xdr:nvCxnSpPr>
      <xdr:spPr>
        <a:xfrm flipV="1">
          <a:off x="10630511" y="9398696"/>
          <a:ext cx="1113502"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42627</xdr:colOff>
      <xdr:row>53</xdr:row>
      <xdr:rowOff>159446</xdr:rowOff>
    </xdr:from>
    <xdr:to>
      <xdr:col>20</xdr:col>
      <xdr:colOff>546530</xdr:colOff>
      <xdr:row>53</xdr:row>
      <xdr:rowOff>160764</xdr:rowOff>
    </xdr:to>
    <xdr:cxnSp macro="">
      <xdr:nvCxnSpPr>
        <xdr:cNvPr id="78" name="Straight Connector 77">
          <a:extLst>
            <a:ext uri="{FF2B5EF4-FFF2-40B4-BE49-F238E27FC236}">
              <a16:creationId xmlns:a16="http://schemas.microsoft.com/office/drawing/2014/main" id="{06099794-F65F-4C62-A6FE-515D82E10014}"/>
            </a:ext>
          </a:extLst>
        </xdr:cNvPr>
        <xdr:cNvCxnSpPr/>
      </xdr:nvCxnSpPr>
      <xdr:spPr>
        <a:xfrm flipV="1">
          <a:off x="11834577" y="9398696"/>
          <a:ext cx="1113503"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58081</xdr:colOff>
      <xdr:row>54</xdr:row>
      <xdr:rowOff>161846</xdr:rowOff>
    </xdr:from>
    <xdr:to>
      <xdr:col>10</xdr:col>
      <xdr:colOff>562028</xdr:colOff>
      <xdr:row>54</xdr:row>
      <xdr:rowOff>163164</xdr:rowOff>
    </xdr:to>
    <xdr:cxnSp macro="">
      <xdr:nvCxnSpPr>
        <xdr:cNvPr id="79" name="Straight Connector 78">
          <a:extLst>
            <a:ext uri="{FF2B5EF4-FFF2-40B4-BE49-F238E27FC236}">
              <a16:creationId xmlns:a16="http://schemas.microsoft.com/office/drawing/2014/main" id="{519973BF-CB09-4F8E-88E7-1EBADA473DBD}"/>
            </a:ext>
          </a:extLst>
        </xdr:cNvPr>
        <xdr:cNvCxnSpPr/>
      </xdr:nvCxnSpPr>
      <xdr:spPr>
        <a:xfrm flipV="1">
          <a:off x="5754031" y="95852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60135</xdr:colOff>
      <xdr:row>54</xdr:row>
      <xdr:rowOff>161846</xdr:rowOff>
    </xdr:from>
    <xdr:to>
      <xdr:col>12</xdr:col>
      <xdr:colOff>564958</xdr:colOff>
      <xdr:row>54</xdr:row>
      <xdr:rowOff>163164</xdr:rowOff>
    </xdr:to>
    <xdr:cxnSp macro="">
      <xdr:nvCxnSpPr>
        <xdr:cNvPr id="80" name="Straight Connector 79">
          <a:extLst>
            <a:ext uri="{FF2B5EF4-FFF2-40B4-BE49-F238E27FC236}">
              <a16:creationId xmlns:a16="http://schemas.microsoft.com/office/drawing/2014/main" id="{B2BA2E52-F783-4385-A533-CE7C1D64D49F}"/>
            </a:ext>
          </a:extLst>
        </xdr:cNvPr>
        <xdr:cNvCxnSpPr/>
      </xdr:nvCxnSpPr>
      <xdr:spPr>
        <a:xfrm flipV="1">
          <a:off x="6975285" y="9585246"/>
          <a:ext cx="1114423"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58460</xdr:colOff>
      <xdr:row>54</xdr:row>
      <xdr:rowOff>161846</xdr:rowOff>
    </xdr:from>
    <xdr:to>
      <xdr:col>14</xdr:col>
      <xdr:colOff>563282</xdr:colOff>
      <xdr:row>54</xdr:row>
      <xdr:rowOff>163164</xdr:rowOff>
    </xdr:to>
    <xdr:cxnSp macro="">
      <xdr:nvCxnSpPr>
        <xdr:cNvPr id="81" name="Straight Connector 80">
          <a:extLst>
            <a:ext uri="{FF2B5EF4-FFF2-40B4-BE49-F238E27FC236}">
              <a16:creationId xmlns:a16="http://schemas.microsoft.com/office/drawing/2014/main" id="{E74C2D38-467C-487F-8D9C-6FE14E641713}"/>
            </a:ext>
          </a:extLst>
        </xdr:cNvPr>
        <xdr:cNvCxnSpPr/>
      </xdr:nvCxnSpPr>
      <xdr:spPr>
        <a:xfrm flipV="1">
          <a:off x="8192810" y="9585246"/>
          <a:ext cx="1114422"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69063</xdr:colOff>
      <xdr:row>54</xdr:row>
      <xdr:rowOff>161846</xdr:rowOff>
    </xdr:from>
    <xdr:to>
      <xdr:col>16</xdr:col>
      <xdr:colOff>572966</xdr:colOff>
      <xdr:row>54</xdr:row>
      <xdr:rowOff>163164</xdr:rowOff>
    </xdr:to>
    <xdr:cxnSp macro="">
      <xdr:nvCxnSpPr>
        <xdr:cNvPr id="82" name="Straight Connector 81">
          <a:extLst>
            <a:ext uri="{FF2B5EF4-FFF2-40B4-BE49-F238E27FC236}">
              <a16:creationId xmlns:a16="http://schemas.microsoft.com/office/drawing/2014/main" id="{1F76FCCC-9A20-4FA3-8390-E02EB9D43440}"/>
            </a:ext>
          </a:extLst>
        </xdr:cNvPr>
        <xdr:cNvCxnSpPr/>
      </xdr:nvCxnSpPr>
      <xdr:spPr>
        <a:xfrm flipV="1">
          <a:off x="9422613" y="9585246"/>
          <a:ext cx="1113503"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57761</xdr:colOff>
      <xdr:row>54</xdr:row>
      <xdr:rowOff>161846</xdr:rowOff>
    </xdr:from>
    <xdr:to>
      <xdr:col>18</xdr:col>
      <xdr:colOff>561663</xdr:colOff>
      <xdr:row>54</xdr:row>
      <xdr:rowOff>163164</xdr:rowOff>
    </xdr:to>
    <xdr:cxnSp macro="">
      <xdr:nvCxnSpPr>
        <xdr:cNvPr id="83" name="Straight Connector 82">
          <a:extLst>
            <a:ext uri="{FF2B5EF4-FFF2-40B4-BE49-F238E27FC236}">
              <a16:creationId xmlns:a16="http://schemas.microsoft.com/office/drawing/2014/main" id="{5BC6E7A2-F2E8-420F-AE03-B60788BA14B7}"/>
            </a:ext>
          </a:extLst>
        </xdr:cNvPr>
        <xdr:cNvCxnSpPr/>
      </xdr:nvCxnSpPr>
      <xdr:spPr>
        <a:xfrm flipV="1">
          <a:off x="10630511" y="9585246"/>
          <a:ext cx="1113502"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42627</xdr:colOff>
      <xdr:row>54</xdr:row>
      <xdr:rowOff>161846</xdr:rowOff>
    </xdr:from>
    <xdr:to>
      <xdr:col>20</xdr:col>
      <xdr:colOff>546530</xdr:colOff>
      <xdr:row>54</xdr:row>
      <xdr:rowOff>163164</xdr:rowOff>
    </xdr:to>
    <xdr:cxnSp macro="">
      <xdr:nvCxnSpPr>
        <xdr:cNvPr id="84" name="Straight Connector 83">
          <a:extLst>
            <a:ext uri="{FF2B5EF4-FFF2-40B4-BE49-F238E27FC236}">
              <a16:creationId xmlns:a16="http://schemas.microsoft.com/office/drawing/2014/main" id="{96F8DCA3-52D8-4E39-8BB8-C16AD9BBEE56}"/>
            </a:ext>
          </a:extLst>
        </xdr:cNvPr>
        <xdr:cNvCxnSpPr/>
      </xdr:nvCxnSpPr>
      <xdr:spPr>
        <a:xfrm flipV="1">
          <a:off x="11834577" y="9585246"/>
          <a:ext cx="1113503"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58081</xdr:colOff>
      <xdr:row>55</xdr:row>
      <xdr:rowOff>4246</xdr:rowOff>
    </xdr:from>
    <xdr:to>
      <xdr:col>10</xdr:col>
      <xdr:colOff>562028</xdr:colOff>
      <xdr:row>55</xdr:row>
      <xdr:rowOff>5564</xdr:rowOff>
    </xdr:to>
    <xdr:cxnSp macro="">
      <xdr:nvCxnSpPr>
        <xdr:cNvPr id="85" name="Straight Connector 84">
          <a:extLst>
            <a:ext uri="{FF2B5EF4-FFF2-40B4-BE49-F238E27FC236}">
              <a16:creationId xmlns:a16="http://schemas.microsoft.com/office/drawing/2014/main" id="{54D0CD22-A981-46D2-BB9E-E5C01DB6F342}"/>
            </a:ext>
          </a:extLst>
        </xdr:cNvPr>
        <xdr:cNvCxnSpPr/>
      </xdr:nvCxnSpPr>
      <xdr:spPr>
        <a:xfrm flipV="1">
          <a:off x="5754031" y="96117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60135</xdr:colOff>
      <xdr:row>55</xdr:row>
      <xdr:rowOff>4246</xdr:rowOff>
    </xdr:from>
    <xdr:to>
      <xdr:col>12</xdr:col>
      <xdr:colOff>564958</xdr:colOff>
      <xdr:row>55</xdr:row>
      <xdr:rowOff>5564</xdr:rowOff>
    </xdr:to>
    <xdr:cxnSp macro="">
      <xdr:nvCxnSpPr>
        <xdr:cNvPr id="86" name="Straight Connector 85">
          <a:extLst>
            <a:ext uri="{FF2B5EF4-FFF2-40B4-BE49-F238E27FC236}">
              <a16:creationId xmlns:a16="http://schemas.microsoft.com/office/drawing/2014/main" id="{CF80AA60-C388-4F0B-836A-EB79650CECF8}"/>
            </a:ext>
          </a:extLst>
        </xdr:cNvPr>
        <xdr:cNvCxnSpPr/>
      </xdr:nvCxnSpPr>
      <xdr:spPr>
        <a:xfrm flipV="1">
          <a:off x="6975285" y="9611796"/>
          <a:ext cx="1114423"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58460</xdr:colOff>
      <xdr:row>55</xdr:row>
      <xdr:rowOff>4246</xdr:rowOff>
    </xdr:from>
    <xdr:to>
      <xdr:col>14</xdr:col>
      <xdr:colOff>563282</xdr:colOff>
      <xdr:row>55</xdr:row>
      <xdr:rowOff>5564</xdr:rowOff>
    </xdr:to>
    <xdr:cxnSp macro="">
      <xdr:nvCxnSpPr>
        <xdr:cNvPr id="87" name="Straight Connector 86">
          <a:extLst>
            <a:ext uri="{FF2B5EF4-FFF2-40B4-BE49-F238E27FC236}">
              <a16:creationId xmlns:a16="http://schemas.microsoft.com/office/drawing/2014/main" id="{F08916A9-3D5E-4BBC-B669-6FA11B69C850}"/>
            </a:ext>
          </a:extLst>
        </xdr:cNvPr>
        <xdr:cNvCxnSpPr/>
      </xdr:nvCxnSpPr>
      <xdr:spPr>
        <a:xfrm flipV="1">
          <a:off x="8192810" y="9611796"/>
          <a:ext cx="1114422"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69063</xdr:colOff>
      <xdr:row>55</xdr:row>
      <xdr:rowOff>4246</xdr:rowOff>
    </xdr:from>
    <xdr:to>
      <xdr:col>16</xdr:col>
      <xdr:colOff>572966</xdr:colOff>
      <xdr:row>55</xdr:row>
      <xdr:rowOff>5564</xdr:rowOff>
    </xdr:to>
    <xdr:cxnSp macro="">
      <xdr:nvCxnSpPr>
        <xdr:cNvPr id="88" name="Straight Connector 87">
          <a:extLst>
            <a:ext uri="{FF2B5EF4-FFF2-40B4-BE49-F238E27FC236}">
              <a16:creationId xmlns:a16="http://schemas.microsoft.com/office/drawing/2014/main" id="{FEEECAD4-3332-419A-969B-288435738B75}"/>
            </a:ext>
          </a:extLst>
        </xdr:cNvPr>
        <xdr:cNvCxnSpPr/>
      </xdr:nvCxnSpPr>
      <xdr:spPr>
        <a:xfrm flipV="1">
          <a:off x="9422613" y="9611796"/>
          <a:ext cx="1113503"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57761</xdr:colOff>
      <xdr:row>55</xdr:row>
      <xdr:rowOff>4246</xdr:rowOff>
    </xdr:from>
    <xdr:to>
      <xdr:col>18</xdr:col>
      <xdr:colOff>561663</xdr:colOff>
      <xdr:row>55</xdr:row>
      <xdr:rowOff>5564</xdr:rowOff>
    </xdr:to>
    <xdr:cxnSp macro="">
      <xdr:nvCxnSpPr>
        <xdr:cNvPr id="89" name="Straight Connector 88">
          <a:extLst>
            <a:ext uri="{FF2B5EF4-FFF2-40B4-BE49-F238E27FC236}">
              <a16:creationId xmlns:a16="http://schemas.microsoft.com/office/drawing/2014/main" id="{28CA4E58-2026-4CBD-9D68-795B51F20A11}"/>
            </a:ext>
          </a:extLst>
        </xdr:cNvPr>
        <xdr:cNvCxnSpPr/>
      </xdr:nvCxnSpPr>
      <xdr:spPr>
        <a:xfrm flipV="1">
          <a:off x="10630511" y="9611796"/>
          <a:ext cx="1113502"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42627</xdr:colOff>
      <xdr:row>55</xdr:row>
      <xdr:rowOff>4246</xdr:rowOff>
    </xdr:from>
    <xdr:to>
      <xdr:col>20</xdr:col>
      <xdr:colOff>546530</xdr:colOff>
      <xdr:row>55</xdr:row>
      <xdr:rowOff>5564</xdr:rowOff>
    </xdr:to>
    <xdr:cxnSp macro="">
      <xdr:nvCxnSpPr>
        <xdr:cNvPr id="90" name="Straight Connector 89">
          <a:extLst>
            <a:ext uri="{FF2B5EF4-FFF2-40B4-BE49-F238E27FC236}">
              <a16:creationId xmlns:a16="http://schemas.microsoft.com/office/drawing/2014/main" id="{67521B6D-06D6-40A0-BEE2-94288EB6F97D}"/>
            </a:ext>
          </a:extLst>
        </xdr:cNvPr>
        <xdr:cNvCxnSpPr/>
      </xdr:nvCxnSpPr>
      <xdr:spPr>
        <a:xfrm flipV="1">
          <a:off x="11834577" y="9611796"/>
          <a:ext cx="1113503"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9641</xdr:colOff>
      <xdr:row>61</xdr:row>
      <xdr:rowOff>152722</xdr:rowOff>
    </xdr:from>
    <xdr:to>
      <xdr:col>21</xdr:col>
      <xdr:colOff>41413</xdr:colOff>
      <xdr:row>61</xdr:row>
      <xdr:rowOff>152722</xdr:rowOff>
    </xdr:to>
    <xdr:cxnSp macro="">
      <xdr:nvCxnSpPr>
        <xdr:cNvPr id="91" name="Straight Connector 90">
          <a:extLst>
            <a:ext uri="{FF2B5EF4-FFF2-40B4-BE49-F238E27FC236}">
              <a16:creationId xmlns:a16="http://schemas.microsoft.com/office/drawing/2014/main" id="{728366BA-26A3-46B5-995D-7A3704BD98DD}"/>
            </a:ext>
          </a:extLst>
        </xdr:cNvPr>
        <xdr:cNvCxnSpPr/>
      </xdr:nvCxnSpPr>
      <xdr:spPr>
        <a:xfrm>
          <a:off x="3876791" y="10738172"/>
          <a:ext cx="9175772" cy="0"/>
        </a:xfrm>
        <a:prstGeom prst="line">
          <a:avLst/>
        </a:prstGeom>
        <a:ln w="12700">
          <a:solidFill>
            <a:schemeClr val="bg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0</xdr:colOff>
      <xdr:row>64</xdr:row>
      <xdr:rowOff>155963</xdr:rowOff>
    </xdr:from>
    <xdr:to>
      <xdr:col>5</xdr:col>
      <xdr:colOff>0</xdr:colOff>
      <xdr:row>64</xdr:row>
      <xdr:rowOff>163262</xdr:rowOff>
    </xdr:to>
    <xdr:cxnSp macro="">
      <xdr:nvCxnSpPr>
        <xdr:cNvPr id="92" name="Straight Connector 91">
          <a:extLst>
            <a:ext uri="{FF2B5EF4-FFF2-40B4-BE49-F238E27FC236}">
              <a16:creationId xmlns:a16="http://schemas.microsoft.com/office/drawing/2014/main" id="{CF584AA9-8E7F-44F5-A11C-7A3305E71BBD}"/>
            </a:ext>
          </a:extLst>
        </xdr:cNvPr>
        <xdr:cNvCxnSpPr/>
      </xdr:nvCxnSpPr>
      <xdr:spPr>
        <a:xfrm>
          <a:off x="609600" y="11300213"/>
          <a:ext cx="2647950" cy="7299"/>
        </a:xfrm>
        <a:prstGeom prst="line">
          <a:avLst/>
        </a:prstGeom>
        <a:ln w="12700">
          <a:solidFill>
            <a:schemeClr val="bg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604796</xdr:colOff>
      <xdr:row>68</xdr:row>
      <xdr:rowOff>154145</xdr:rowOff>
    </xdr:from>
    <xdr:to>
      <xdr:col>27</xdr:col>
      <xdr:colOff>0</xdr:colOff>
      <xdr:row>68</xdr:row>
      <xdr:rowOff>157534</xdr:rowOff>
    </xdr:to>
    <xdr:cxnSp macro="">
      <xdr:nvCxnSpPr>
        <xdr:cNvPr id="93" name="Straight Connector 92">
          <a:extLst>
            <a:ext uri="{FF2B5EF4-FFF2-40B4-BE49-F238E27FC236}">
              <a16:creationId xmlns:a16="http://schemas.microsoft.com/office/drawing/2014/main" id="{5F821B67-8B8D-4D2D-9E71-73406D49F026}"/>
            </a:ext>
          </a:extLst>
        </xdr:cNvPr>
        <xdr:cNvCxnSpPr/>
      </xdr:nvCxnSpPr>
      <xdr:spPr>
        <a:xfrm flipV="1">
          <a:off x="3862346" y="12041345"/>
          <a:ext cx="13454104" cy="3389"/>
        </a:xfrm>
        <a:prstGeom prst="line">
          <a:avLst/>
        </a:prstGeom>
        <a:ln w="12700">
          <a:solidFill>
            <a:schemeClr val="bg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0</xdr:colOff>
      <xdr:row>38</xdr:row>
      <xdr:rowOff>155032</xdr:rowOff>
    </xdr:from>
    <xdr:to>
      <xdr:col>27</xdr:col>
      <xdr:colOff>0</xdr:colOff>
      <xdr:row>38</xdr:row>
      <xdr:rowOff>155124</xdr:rowOff>
    </xdr:to>
    <xdr:cxnSp macro="">
      <xdr:nvCxnSpPr>
        <xdr:cNvPr id="94" name="Straight Connector 93">
          <a:extLst>
            <a:ext uri="{FF2B5EF4-FFF2-40B4-BE49-F238E27FC236}">
              <a16:creationId xmlns:a16="http://schemas.microsoft.com/office/drawing/2014/main" id="{6756033B-2C22-4362-A75D-C823437E1FD0}"/>
            </a:ext>
          </a:extLst>
        </xdr:cNvPr>
        <xdr:cNvCxnSpPr/>
      </xdr:nvCxnSpPr>
      <xdr:spPr>
        <a:xfrm flipV="1">
          <a:off x="13620750" y="6784432"/>
          <a:ext cx="3695700" cy="92"/>
        </a:xfrm>
        <a:prstGeom prst="line">
          <a:avLst/>
        </a:prstGeom>
        <a:ln w="12700">
          <a:solidFill>
            <a:schemeClr val="bg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62365</xdr:colOff>
      <xdr:row>9</xdr:row>
      <xdr:rowOff>159148</xdr:rowOff>
    </xdr:from>
    <xdr:to>
      <xdr:col>25</xdr:col>
      <xdr:colOff>702445</xdr:colOff>
      <xdr:row>9</xdr:row>
      <xdr:rowOff>159148</xdr:rowOff>
    </xdr:to>
    <xdr:cxnSp macro="">
      <xdr:nvCxnSpPr>
        <xdr:cNvPr id="95" name="Straight Connector 94">
          <a:extLst>
            <a:ext uri="{FF2B5EF4-FFF2-40B4-BE49-F238E27FC236}">
              <a16:creationId xmlns:a16="http://schemas.microsoft.com/office/drawing/2014/main" id="{DA48DDA7-5EAE-4732-A0B5-341D05CC351E}"/>
            </a:ext>
          </a:extLst>
        </xdr:cNvPr>
        <xdr:cNvCxnSpPr/>
      </xdr:nvCxnSpPr>
      <xdr:spPr>
        <a:xfrm>
          <a:off x="15969115" y="1702198"/>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58251</xdr:colOff>
      <xdr:row>9</xdr:row>
      <xdr:rowOff>159148</xdr:rowOff>
    </xdr:from>
    <xdr:to>
      <xdr:col>26</xdr:col>
      <xdr:colOff>698331</xdr:colOff>
      <xdr:row>9</xdr:row>
      <xdr:rowOff>159148</xdr:rowOff>
    </xdr:to>
    <xdr:cxnSp macro="">
      <xdr:nvCxnSpPr>
        <xdr:cNvPr id="96" name="Straight Connector 95">
          <a:extLst>
            <a:ext uri="{FF2B5EF4-FFF2-40B4-BE49-F238E27FC236}">
              <a16:creationId xmlns:a16="http://schemas.microsoft.com/office/drawing/2014/main" id="{D63C5AC1-3061-40FD-8346-6B07C1928E3B}"/>
            </a:ext>
          </a:extLst>
        </xdr:cNvPr>
        <xdr:cNvCxnSpPr/>
      </xdr:nvCxnSpPr>
      <xdr:spPr>
        <a:xfrm>
          <a:off x="16727001" y="1702198"/>
          <a:ext cx="5892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67196</xdr:colOff>
      <xdr:row>13</xdr:row>
      <xdr:rowOff>159506</xdr:rowOff>
    </xdr:from>
    <xdr:to>
      <xdr:col>25</xdr:col>
      <xdr:colOff>707276</xdr:colOff>
      <xdr:row>13</xdr:row>
      <xdr:rowOff>159506</xdr:rowOff>
    </xdr:to>
    <xdr:cxnSp macro="">
      <xdr:nvCxnSpPr>
        <xdr:cNvPr id="97" name="Straight Connector 96">
          <a:extLst>
            <a:ext uri="{FF2B5EF4-FFF2-40B4-BE49-F238E27FC236}">
              <a16:creationId xmlns:a16="http://schemas.microsoft.com/office/drawing/2014/main" id="{ED3CB3C9-41AD-4B53-9479-95DA3C844BC4}"/>
            </a:ext>
          </a:extLst>
        </xdr:cNvPr>
        <xdr:cNvCxnSpPr/>
      </xdr:nvCxnSpPr>
      <xdr:spPr>
        <a:xfrm>
          <a:off x="15973946" y="2445506"/>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63082</xdr:colOff>
      <xdr:row>13</xdr:row>
      <xdr:rowOff>159506</xdr:rowOff>
    </xdr:from>
    <xdr:to>
      <xdr:col>26</xdr:col>
      <xdr:colOff>703162</xdr:colOff>
      <xdr:row>13</xdr:row>
      <xdr:rowOff>159506</xdr:rowOff>
    </xdr:to>
    <xdr:cxnSp macro="">
      <xdr:nvCxnSpPr>
        <xdr:cNvPr id="98" name="Straight Connector 97">
          <a:extLst>
            <a:ext uri="{FF2B5EF4-FFF2-40B4-BE49-F238E27FC236}">
              <a16:creationId xmlns:a16="http://schemas.microsoft.com/office/drawing/2014/main" id="{1E974E74-8418-4DBA-86D4-C748DFCC39BE}"/>
            </a:ext>
          </a:extLst>
        </xdr:cNvPr>
        <xdr:cNvCxnSpPr/>
      </xdr:nvCxnSpPr>
      <xdr:spPr>
        <a:xfrm>
          <a:off x="16731832" y="2445506"/>
          <a:ext cx="58293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68004</xdr:colOff>
      <xdr:row>18</xdr:row>
      <xdr:rowOff>171282</xdr:rowOff>
    </xdr:from>
    <xdr:to>
      <xdr:col>25</xdr:col>
      <xdr:colOff>708084</xdr:colOff>
      <xdr:row>18</xdr:row>
      <xdr:rowOff>171282</xdr:rowOff>
    </xdr:to>
    <xdr:cxnSp macro="">
      <xdr:nvCxnSpPr>
        <xdr:cNvPr id="99" name="Straight Connector 98">
          <a:extLst>
            <a:ext uri="{FF2B5EF4-FFF2-40B4-BE49-F238E27FC236}">
              <a16:creationId xmlns:a16="http://schemas.microsoft.com/office/drawing/2014/main" id="{232DE7A5-5EBD-4C18-8C5F-F579D0BBDACF}"/>
            </a:ext>
          </a:extLst>
        </xdr:cNvPr>
        <xdr:cNvCxnSpPr/>
      </xdr:nvCxnSpPr>
      <xdr:spPr>
        <a:xfrm>
          <a:off x="15974754" y="3378032"/>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63890</xdr:colOff>
      <xdr:row>18</xdr:row>
      <xdr:rowOff>171282</xdr:rowOff>
    </xdr:from>
    <xdr:to>
      <xdr:col>26</xdr:col>
      <xdr:colOff>703970</xdr:colOff>
      <xdr:row>18</xdr:row>
      <xdr:rowOff>171282</xdr:rowOff>
    </xdr:to>
    <xdr:cxnSp macro="">
      <xdr:nvCxnSpPr>
        <xdr:cNvPr id="100" name="Straight Connector 99">
          <a:extLst>
            <a:ext uri="{FF2B5EF4-FFF2-40B4-BE49-F238E27FC236}">
              <a16:creationId xmlns:a16="http://schemas.microsoft.com/office/drawing/2014/main" id="{D7281563-2A25-4581-A114-677933BFB4E9}"/>
            </a:ext>
          </a:extLst>
        </xdr:cNvPr>
        <xdr:cNvCxnSpPr/>
      </xdr:nvCxnSpPr>
      <xdr:spPr>
        <a:xfrm>
          <a:off x="16732640" y="3378032"/>
          <a:ext cx="58293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69448</xdr:colOff>
      <xdr:row>20</xdr:row>
      <xdr:rowOff>166161</xdr:rowOff>
    </xdr:from>
    <xdr:to>
      <xdr:col>25</xdr:col>
      <xdr:colOff>709528</xdr:colOff>
      <xdr:row>20</xdr:row>
      <xdr:rowOff>166161</xdr:rowOff>
    </xdr:to>
    <xdr:cxnSp macro="">
      <xdr:nvCxnSpPr>
        <xdr:cNvPr id="101" name="Straight Connector 100">
          <a:extLst>
            <a:ext uri="{FF2B5EF4-FFF2-40B4-BE49-F238E27FC236}">
              <a16:creationId xmlns:a16="http://schemas.microsoft.com/office/drawing/2014/main" id="{12DF5FA7-EDC5-4ED5-860A-1990D58BF068}"/>
            </a:ext>
          </a:extLst>
        </xdr:cNvPr>
        <xdr:cNvCxnSpPr/>
      </xdr:nvCxnSpPr>
      <xdr:spPr>
        <a:xfrm>
          <a:off x="15976198" y="3607861"/>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65334</xdr:colOff>
      <xdr:row>20</xdr:row>
      <xdr:rowOff>166161</xdr:rowOff>
    </xdr:from>
    <xdr:to>
      <xdr:col>26</xdr:col>
      <xdr:colOff>705414</xdr:colOff>
      <xdr:row>20</xdr:row>
      <xdr:rowOff>166161</xdr:rowOff>
    </xdr:to>
    <xdr:cxnSp macro="">
      <xdr:nvCxnSpPr>
        <xdr:cNvPr id="102" name="Straight Connector 101">
          <a:extLst>
            <a:ext uri="{FF2B5EF4-FFF2-40B4-BE49-F238E27FC236}">
              <a16:creationId xmlns:a16="http://schemas.microsoft.com/office/drawing/2014/main" id="{107B361B-668A-4758-AAC7-8741D9F0070A}"/>
            </a:ext>
          </a:extLst>
        </xdr:cNvPr>
        <xdr:cNvCxnSpPr/>
      </xdr:nvCxnSpPr>
      <xdr:spPr>
        <a:xfrm>
          <a:off x="16734084" y="3607861"/>
          <a:ext cx="58293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74167</xdr:colOff>
      <xdr:row>24</xdr:row>
      <xdr:rowOff>159033</xdr:rowOff>
    </xdr:from>
    <xdr:to>
      <xdr:col>25</xdr:col>
      <xdr:colOff>714247</xdr:colOff>
      <xdr:row>24</xdr:row>
      <xdr:rowOff>159033</xdr:rowOff>
    </xdr:to>
    <xdr:cxnSp macro="">
      <xdr:nvCxnSpPr>
        <xdr:cNvPr id="103" name="Straight Connector 102">
          <a:extLst>
            <a:ext uri="{FF2B5EF4-FFF2-40B4-BE49-F238E27FC236}">
              <a16:creationId xmlns:a16="http://schemas.microsoft.com/office/drawing/2014/main" id="{E7A451A8-069E-4FB1-AB3C-78A65B3D0635}"/>
            </a:ext>
          </a:extLst>
        </xdr:cNvPr>
        <xdr:cNvCxnSpPr/>
      </xdr:nvCxnSpPr>
      <xdr:spPr>
        <a:xfrm>
          <a:off x="15980917" y="4337333"/>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70053</xdr:colOff>
      <xdr:row>24</xdr:row>
      <xdr:rowOff>159033</xdr:rowOff>
    </xdr:from>
    <xdr:to>
      <xdr:col>26</xdr:col>
      <xdr:colOff>710133</xdr:colOff>
      <xdr:row>24</xdr:row>
      <xdr:rowOff>159033</xdr:rowOff>
    </xdr:to>
    <xdr:cxnSp macro="">
      <xdr:nvCxnSpPr>
        <xdr:cNvPr id="104" name="Straight Connector 103">
          <a:extLst>
            <a:ext uri="{FF2B5EF4-FFF2-40B4-BE49-F238E27FC236}">
              <a16:creationId xmlns:a16="http://schemas.microsoft.com/office/drawing/2014/main" id="{1D63F2BB-8ADF-4916-9780-4301F583B4E7}"/>
            </a:ext>
          </a:extLst>
        </xdr:cNvPr>
        <xdr:cNvCxnSpPr/>
      </xdr:nvCxnSpPr>
      <xdr:spPr>
        <a:xfrm>
          <a:off x="16738803" y="4337333"/>
          <a:ext cx="5765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74167</xdr:colOff>
      <xdr:row>28</xdr:row>
      <xdr:rowOff>166653</xdr:rowOff>
    </xdr:from>
    <xdr:to>
      <xdr:col>25</xdr:col>
      <xdr:colOff>714247</xdr:colOff>
      <xdr:row>28</xdr:row>
      <xdr:rowOff>166653</xdr:rowOff>
    </xdr:to>
    <xdr:cxnSp macro="">
      <xdr:nvCxnSpPr>
        <xdr:cNvPr id="105" name="Straight Connector 104">
          <a:extLst>
            <a:ext uri="{FF2B5EF4-FFF2-40B4-BE49-F238E27FC236}">
              <a16:creationId xmlns:a16="http://schemas.microsoft.com/office/drawing/2014/main" id="{54846AEE-F4CE-491E-990A-8823C313EE76}"/>
            </a:ext>
          </a:extLst>
        </xdr:cNvPr>
        <xdr:cNvCxnSpPr/>
      </xdr:nvCxnSpPr>
      <xdr:spPr>
        <a:xfrm>
          <a:off x="15980917" y="5081553"/>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70053</xdr:colOff>
      <xdr:row>28</xdr:row>
      <xdr:rowOff>166653</xdr:rowOff>
    </xdr:from>
    <xdr:to>
      <xdr:col>26</xdr:col>
      <xdr:colOff>710133</xdr:colOff>
      <xdr:row>28</xdr:row>
      <xdr:rowOff>166653</xdr:rowOff>
    </xdr:to>
    <xdr:cxnSp macro="">
      <xdr:nvCxnSpPr>
        <xdr:cNvPr id="106" name="Straight Connector 105">
          <a:extLst>
            <a:ext uri="{FF2B5EF4-FFF2-40B4-BE49-F238E27FC236}">
              <a16:creationId xmlns:a16="http://schemas.microsoft.com/office/drawing/2014/main" id="{593842E8-834E-4AA8-863E-E93F5C1F7ADA}"/>
            </a:ext>
          </a:extLst>
        </xdr:cNvPr>
        <xdr:cNvCxnSpPr/>
      </xdr:nvCxnSpPr>
      <xdr:spPr>
        <a:xfrm>
          <a:off x="16738803" y="5081553"/>
          <a:ext cx="5765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74167</xdr:colOff>
      <xdr:row>33</xdr:row>
      <xdr:rowOff>161573</xdr:rowOff>
    </xdr:from>
    <xdr:to>
      <xdr:col>25</xdr:col>
      <xdr:colOff>714247</xdr:colOff>
      <xdr:row>33</xdr:row>
      <xdr:rowOff>161573</xdr:rowOff>
    </xdr:to>
    <xdr:cxnSp macro="">
      <xdr:nvCxnSpPr>
        <xdr:cNvPr id="107" name="Straight Connector 106">
          <a:extLst>
            <a:ext uri="{FF2B5EF4-FFF2-40B4-BE49-F238E27FC236}">
              <a16:creationId xmlns:a16="http://schemas.microsoft.com/office/drawing/2014/main" id="{C41D5BBD-F281-4643-A55B-7B21297EB59E}"/>
            </a:ext>
          </a:extLst>
        </xdr:cNvPr>
        <xdr:cNvCxnSpPr/>
      </xdr:nvCxnSpPr>
      <xdr:spPr>
        <a:xfrm>
          <a:off x="15980917" y="6009923"/>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70053</xdr:colOff>
      <xdr:row>33</xdr:row>
      <xdr:rowOff>161573</xdr:rowOff>
    </xdr:from>
    <xdr:to>
      <xdr:col>26</xdr:col>
      <xdr:colOff>710133</xdr:colOff>
      <xdr:row>33</xdr:row>
      <xdr:rowOff>161573</xdr:rowOff>
    </xdr:to>
    <xdr:cxnSp macro="">
      <xdr:nvCxnSpPr>
        <xdr:cNvPr id="108" name="Straight Connector 107">
          <a:extLst>
            <a:ext uri="{FF2B5EF4-FFF2-40B4-BE49-F238E27FC236}">
              <a16:creationId xmlns:a16="http://schemas.microsoft.com/office/drawing/2014/main" id="{7757ED82-7885-4DBC-A220-22F049F70B66}"/>
            </a:ext>
          </a:extLst>
        </xdr:cNvPr>
        <xdr:cNvCxnSpPr/>
      </xdr:nvCxnSpPr>
      <xdr:spPr>
        <a:xfrm>
          <a:off x="16738803" y="6009923"/>
          <a:ext cx="5765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71627</xdr:colOff>
      <xdr:row>34</xdr:row>
      <xdr:rowOff>164113</xdr:rowOff>
    </xdr:from>
    <xdr:to>
      <xdr:col>25</xdr:col>
      <xdr:colOff>711707</xdr:colOff>
      <xdr:row>34</xdr:row>
      <xdr:rowOff>164113</xdr:rowOff>
    </xdr:to>
    <xdr:cxnSp macro="">
      <xdr:nvCxnSpPr>
        <xdr:cNvPr id="109" name="Straight Connector 108">
          <a:extLst>
            <a:ext uri="{FF2B5EF4-FFF2-40B4-BE49-F238E27FC236}">
              <a16:creationId xmlns:a16="http://schemas.microsoft.com/office/drawing/2014/main" id="{161297C0-0A0B-4721-8861-9FB864A7E294}"/>
            </a:ext>
          </a:extLst>
        </xdr:cNvPr>
        <xdr:cNvCxnSpPr/>
      </xdr:nvCxnSpPr>
      <xdr:spPr>
        <a:xfrm>
          <a:off x="15978377" y="6196613"/>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67513</xdr:colOff>
      <xdr:row>34</xdr:row>
      <xdr:rowOff>164113</xdr:rowOff>
    </xdr:from>
    <xdr:to>
      <xdr:col>26</xdr:col>
      <xdr:colOff>707593</xdr:colOff>
      <xdr:row>34</xdr:row>
      <xdr:rowOff>164113</xdr:rowOff>
    </xdr:to>
    <xdr:cxnSp macro="">
      <xdr:nvCxnSpPr>
        <xdr:cNvPr id="110" name="Straight Connector 109">
          <a:extLst>
            <a:ext uri="{FF2B5EF4-FFF2-40B4-BE49-F238E27FC236}">
              <a16:creationId xmlns:a16="http://schemas.microsoft.com/office/drawing/2014/main" id="{D4733CFD-A9A3-4FC0-8238-E1C864F48AE6}"/>
            </a:ext>
          </a:extLst>
        </xdr:cNvPr>
        <xdr:cNvCxnSpPr/>
      </xdr:nvCxnSpPr>
      <xdr:spPr>
        <a:xfrm>
          <a:off x="16736263" y="6196613"/>
          <a:ext cx="58293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67221</xdr:colOff>
      <xdr:row>41</xdr:row>
      <xdr:rowOff>164521</xdr:rowOff>
    </xdr:from>
    <xdr:to>
      <xdr:col>26</xdr:col>
      <xdr:colOff>707301</xdr:colOff>
      <xdr:row>41</xdr:row>
      <xdr:rowOff>164521</xdr:rowOff>
    </xdr:to>
    <xdr:cxnSp macro="">
      <xdr:nvCxnSpPr>
        <xdr:cNvPr id="111" name="Straight Connector 110">
          <a:extLst>
            <a:ext uri="{FF2B5EF4-FFF2-40B4-BE49-F238E27FC236}">
              <a16:creationId xmlns:a16="http://schemas.microsoft.com/office/drawing/2014/main" id="{45CCEBC6-B5AA-41F3-9AEE-CBED78894389}"/>
            </a:ext>
          </a:extLst>
        </xdr:cNvPr>
        <xdr:cNvCxnSpPr/>
      </xdr:nvCxnSpPr>
      <xdr:spPr>
        <a:xfrm>
          <a:off x="16735971" y="7346371"/>
          <a:ext cx="58293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67221</xdr:colOff>
      <xdr:row>43</xdr:row>
      <xdr:rowOff>165008</xdr:rowOff>
    </xdr:from>
    <xdr:to>
      <xdr:col>26</xdr:col>
      <xdr:colOff>707301</xdr:colOff>
      <xdr:row>43</xdr:row>
      <xdr:rowOff>165008</xdr:rowOff>
    </xdr:to>
    <xdr:cxnSp macro="">
      <xdr:nvCxnSpPr>
        <xdr:cNvPr id="112" name="Straight Connector 111">
          <a:extLst>
            <a:ext uri="{FF2B5EF4-FFF2-40B4-BE49-F238E27FC236}">
              <a16:creationId xmlns:a16="http://schemas.microsoft.com/office/drawing/2014/main" id="{0B35E84B-B029-4C6A-A1B8-0BE9D60ECCD7}"/>
            </a:ext>
          </a:extLst>
        </xdr:cNvPr>
        <xdr:cNvCxnSpPr/>
      </xdr:nvCxnSpPr>
      <xdr:spPr>
        <a:xfrm>
          <a:off x="16735971" y="7715158"/>
          <a:ext cx="58293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64183</xdr:colOff>
      <xdr:row>48</xdr:row>
      <xdr:rowOff>167497</xdr:rowOff>
    </xdr:from>
    <xdr:to>
      <xdr:col>22</xdr:col>
      <xdr:colOff>704263</xdr:colOff>
      <xdr:row>48</xdr:row>
      <xdr:rowOff>167497</xdr:rowOff>
    </xdr:to>
    <xdr:cxnSp macro="">
      <xdr:nvCxnSpPr>
        <xdr:cNvPr id="113" name="Straight Connector 112">
          <a:extLst>
            <a:ext uri="{FF2B5EF4-FFF2-40B4-BE49-F238E27FC236}">
              <a16:creationId xmlns:a16="http://schemas.microsoft.com/office/drawing/2014/main" id="{1F7BCF2B-4810-4144-A38C-2EDB2D722CE0}"/>
            </a:ext>
          </a:extLst>
        </xdr:cNvPr>
        <xdr:cNvCxnSpPr/>
      </xdr:nvCxnSpPr>
      <xdr:spPr>
        <a:xfrm>
          <a:off x="13684933" y="8638397"/>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606525</xdr:colOff>
      <xdr:row>46</xdr:row>
      <xdr:rowOff>139367</xdr:rowOff>
    </xdr:from>
    <xdr:to>
      <xdr:col>27</xdr:col>
      <xdr:colOff>0</xdr:colOff>
      <xdr:row>46</xdr:row>
      <xdr:rowOff>139367</xdr:rowOff>
    </xdr:to>
    <xdr:cxnSp macro="">
      <xdr:nvCxnSpPr>
        <xdr:cNvPr id="114" name="Straight Connector 113">
          <a:extLst>
            <a:ext uri="{FF2B5EF4-FFF2-40B4-BE49-F238E27FC236}">
              <a16:creationId xmlns:a16="http://schemas.microsoft.com/office/drawing/2014/main" id="{20A68668-E91B-4741-9530-EF76B6ED7765}"/>
            </a:ext>
          </a:extLst>
        </xdr:cNvPr>
        <xdr:cNvCxnSpPr/>
      </xdr:nvCxnSpPr>
      <xdr:spPr>
        <a:xfrm>
          <a:off x="13617675" y="8241967"/>
          <a:ext cx="3698775"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61632</xdr:colOff>
      <xdr:row>48</xdr:row>
      <xdr:rowOff>167497</xdr:rowOff>
    </xdr:from>
    <xdr:to>
      <xdr:col>23</xdr:col>
      <xdr:colOff>701712</xdr:colOff>
      <xdr:row>48</xdr:row>
      <xdr:rowOff>167497</xdr:rowOff>
    </xdr:to>
    <xdr:cxnSp macro="">
      <xdr:nvCxnSpPr>
        <xdr:cNvPr id="115" name="Straight Connector 114">
          <a:extLst>
            <a:ext uri="{FF2B5EF4-FFF2-40B4-BE49-F238E27FC236}">
              <a16:creationId xmlns:a16="http://schemas.microsoft.com/office/drawing/2014/main" id="{D3411A31-A9B5-4103-9334-0FC46407B32A}"/>
            </a:ext>
          </a:extLst>
        </xdr:cNvPr>
        <xdr:cNvCxnSpPr/>
      </xdr:nvCxnSpPr>
      <xdr:spPr>
        <a:xfrm>
          <a:off x="14444382" y="8638397"/>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24</xdr:col>
      <xdr:colOff>59079</xdr:colOff>
      <xdr:row>48</xdr:row>
      <xdr:rowOff>167497</xdr:rowOff>
    </xdr:from>
    <xdr:to>
      <xdr:col>24</xdr:col>
      <xdr:colOff>699159</xdr:colOff>
      <xdr:row>48</xdr:row>
      <xdr:rowOff>167497</xdr:rowOff>
    </xdr:to>
    <xdr:cxnSp macro="">
      <xdr:nvCxnSpPr>
        <xdr:cNvPr id="116" name="Straight Connector 115">
          <a:extLst>
            <a:ext uri="{FF2B5EF4-FFF2-40B4-BE49-F238E27FC236}">
              <a16:creationId xmlns:a16="http://schemas.microsoft.com/office/drawing/2014/main" id="{1CC1A6F3-26AD-43A1-96CC-F8588A03AA5B}"/>
            </a:ext>
          </a:extLst>
        </xdr:cNvPr>
        <xdr:cNvCxnSpPr/>
      </xdr:nvCxnSpPr>
      <xdr:spPr>
        <a:xfrm>
          <a:off x="15203829" y="8638397"/>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68679</xdr:colOff>
      <xdr:row>48</xdr:row>
      <xdr:rowOff>167497</xdr:rowOff>
    </xdr:from>
    <xdr:to>
      <xdr:col>25</xdr:col>
      <xdr:colOff>708759</xdr:colOff>
      <xdr:row>48</xdr:row>
      <xdr:rowOff>167497</xdr:rowOff>
    </xdr:to>
    <xdr:cxnSp macro="">
      <xdr:nvCxnSpPr>
        <xdr:cNvPr id="117" name="Straight Connector 116">
          <a:extLst>
            <a:ext uri="{FF2B5EF4-FFF2-40B4-BE49-F238E27FC236}">
              <a16:creationId xmlns:a16="http://schemas.microsoft.com/office/drawing/2014/main" id="{AD4CCC6B-58A2-4FF5-B384-C6A9BA84342D}"/>
            </a:ext>
          </a:extLst>
        </xdr:cNvPr>
        <xdr:cNvCxnSpPr/>
      </xdr:nvCxnSpPr>
      <xdr:spPr>
        <a:xfrm>
          <a:off x="15975429" y="8638397"/>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63090</xdr:colOff>
      <xdr:row>48</xdr:row>
      <xdr:rowOff>167497</xdr:rowOff>
    </xdr:from>
    <xdr:to>
      <xdr:col>26</xdr:col>
      <xdr:colOff>703170</xdr:colOff>
      <xdr:row>48</xdr:row>
      <xdr:rowOff>167497</xdr:rowOff>
    </xdr:to>
    <xdr:cxnSp macro="">
      <xdr:nvCxnSpPr>
        <xdr:cNvPr id="118" name="Straight Connector 117">
          <a:extLst>
            <a:ext uri="{FF2B5EF4-FFF2-40B4-BE49-F238E27FC236}">
              <a16:creationId xmlns:a16="http://schemas.microsoft.com/office/drawing/2014/main" id="{92DAB0C0-DC21-4890-A4D0-31FEADD636E1}"/>
            </a:ext>
          </a:extLst>
        </xdr:cNvPr>
        <xdr:cNvCxnSpPr/>
      </xdr:nvCxnSpPr>
      <xdr:spPr>
        <a:xfrm>
          <a:off x="16731840" y="8638397"/>
          <a:ext cx="58293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61274</xdr:colOff>
      <xdr:row>54</xdr:row>
      <xdr:rowOff>154333</xdr:rowOff>
    </xdr:from>
    <xdr:to>
      <xdr:col>23</xdr:col>
      <xdr:colOff>701354</xdr:colOff>
      <xdr:row>54</xdr:row>
      <xdr:rowOff>154333</xdr:rowOff>
    </xdr:to>
    <xdr:cxnSp macro="">
      <xdr:nvCxnSpPr>
        <xdr:cNvPr id="119" name="Straight Connector 118">
          <a:extLst>
            <a:ext uri="{FF2B5EF4-FFF2-40B4-BE49-F238E27FC236}">
              <a16:creationId xmlns:a16="http://schemas.microsoft.com/office/drawing/2014/main" id="{B0BA186A-4482-4ABB-BF59-B498C6182A10}"/>
            </a:ext>
          </a:extLst>
        </xdr:cNvPr>
        <xdr:cNvCxnSpPr/>
      </xdr:nvCxnSpPr>
      <xdr:spPr>
        <a:xfrm>
          <a:off x="14444024" y="9577733"/>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24</xdr:col>
      <xdr:colOff>58721</xdr:colOff>
      <xdr:row>54</xdr:row>
      <xdr:rowOff>154333</xdr:rowOff>
    </xdr:from>
    <xdr:to>
      <xdr:col>24</xdr:col>
      <xdr:colOff>698801</xdr:colOff>
      <xdr:row>54</xdr:row>
      <xdr:rowOff>154333</xdr:rowOff>
    </xdr:to>
    <xdr:cxnSp macro="">
      <xdr:nvCxnSpPr>
        <xdr:cNvPr id="120" name="Straight Connector 119">
          <a:extLst>
            <a:ext uri="{FF2B5EF4-FFF2-40B4-BE49-F238E27FC236}">
              <a16:creationId xmlns:a16="http://schemas.microsoft.com/office/drawing/2014/main" id="{77F6E3E8-F4D0-4DFD-B89A-E58B033768A2}"/>
            </a:ext>
          </a:extLst>
        </xdr:cNvPr>
        <xdr:cNvCxnSpPr/>
      </xdr:nvCxnSpPr>
      <xdr:spPr>
        <a:xfrm>
          <a:off x="15203471" y="9577733"/>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14238</xdr:colOff>
      <xdr:row>57</xdr:row>
      <xdr:rowOff>155953</xdr:rowOff>
    </xdr:from>
    <xdr:to>
      <xdr:col>27</xdr:col>
      <xdr:colOff>0</xdr:colOff>
      <xdr:row>57</xdr:row>
      <xdr:rowOff>156614</xdr:rowOff>
    </xdr:to>
    <xdr:cxnSp macro="">
      <xdr:nvCxnSpPr>
        <xdr:cNvPr id="121" name="Straight Connector 120">
          <a:extLst>
            <a:ext uri="{FF2B5EF4-FFF2-40B4-BE49-F238E27FC236}">
              <a16:creationId xmlns:a16="http://schemas.microsoft.com/office/drawing/2014/main" id="{D2DA8E63-011C-40CE-AD3F-415372BC0F76}"/>
            </a:ext>
          </a:extLst>
        </xdr:cNvPr>
        <xdr:cNvCxnSpPr/>
      </xdr:nvCxnSpPr>
      <xdr:spPr>
        <a:xfrm flipV="1">
          <a:off x="13634988" y="9998453"/>
          <a:ext cx="3681462" cy="661"/>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73838</xdr:colOff>
      <xdr:row>59</xdr:row>
      <xdr:rowOff>155229</xdr:rowOff>
    </xdr:from>
    <xdr:to>
      <xdr:col>23</xdr:col>
      <xdr:colOff>713918</xdr:colOff>
      <xdr:row>59</xdr:row>
      <xdr:rowOff>155229</xdr:rowOff>
    </xdr:to>
    <xdr:cxnSp macro="">
      <xdr:nvCxnSpPr>
        <xdr:cNvPr id="122" name="Straight Connector 121">
          <a:extLst>
            <a:ext uri="{FF2B5EF4-FFF2-40B4-BE49-F238E27FC236}">
              <a16:creationId xmlns:a16="http://schemas.microsoft.com/office/drawing/2014/main" id="{1D53476B-E22C-4CA1-899B-644DE632AA51}"/>
            </a:ext>
          </a:extLst>
        </xdr:cNvPr>
        <xdr:cNvCxnSpPr/>
      </xdr:nvCxnSpPr>
      <xdr:spPr>
        <a:xfrm>
          <a:off x="14456588" y="10372379"/>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24</xdr:col>
      <xdr:colOff>71285</xdr:colOff>
      <xdr:row>59</xdr:row>
      <xdr:rowOff>155229</xdr:rowOff>
    </xdr:from>
    <xdr:to>
      <xdr:col>24</xdr:col>
      <xdr:colOff>711365</xdr:colOff>
      <xdr:row>59</xdr:row>
      <xdr:rowOff>155229</xdr:rowOff>
    </xdr:to>
    <xdr:cxnSp macro="">
      <xdr:nvCxnSpPr>
        <xdr:cNvPr id="123" name="Straight Connector 122">
          <a:extLst>
            <a:ext uri="{FF2B5EF4-FFF2-40B4-BE49-F238E27FC236}">
              <a16:creationId xmlns:a16="http://schemas.microsoft.com/office/drawing/2014/main" id="{CBA1E59C-7620-4366-9EEE-50D09F9E4658}"/>
            </a:ext>
          </a:extLst>
        </xdr:cNvPr>
        <xdr:cNvCxnSpPr/>
      </xdr:nvCxnSpPr>
      <xdr:spPr>
        <a:xfrm>
          <a:off x="15216035" y="10372379"/>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80885</xdr:colOff>
      <xdr:row>59</xdr:row>
      <xdr:rowOff>155229</xdr:rowOff>
    </xdr:from>
    <xdr:to>
      <xdr:col>25</xdr:col>
      <xdr:colOff>720965</xdr:colOff>
      <xdr:row>59</xdr:row>
      <xdr:rowOff>155229</xdr:rowOff>
    </xdr:to>
    <xdr:cxnSp macro="">
      <xdr:nvCxnSpPr>
        <xdr:cNvPr id="124" name="Straight Connector 123">
          <a:extLst>
            <a:ext uri="{FF2B5EF4-FFF2-40B4-BE49-F238E27FC236}">
              <a16:creationId xmlns:a16="http://schemas.microsoft.com/office/drawing/2014/main" id="{8A112028-B49B-4BB8-AD2E-34A0566073C3}"/>
            </a:ext>
          </a:extLst>
        </xdr:cNvPr>
        <xdr:cNvCxnSpPr/>
      </xdr:nvCxnSpPr>
      <xdr:spPr>
        <a:xfrm>
          <a:off x="15987635" y="10372379"/>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75296</xdr:colOff>
      <xdr:row>59</xdr:row>
      <xdr:rowOff>155229</xdr:rowOff>
    </xdr:from>
    <xdr:to>
      <xdr:col>26</xdr:col>
      <xdr:colOff>715376</xdr:colOff>
      <xdr:row>59</xdr:row>
      <xdr:rowOff>155229</xdr:rowOff>
    </xdr:to>
    <xdr:cxnSp macro="">
      <xdr:nvCxnSpPr>
        <xdr:cNvPr id="125" name="Straight Connector 124">
          <a:extLst>
            <a:ext uri="{FF2B5EF4-FFF2-40B4-BE49-F238E27FC236}">
              <a16:creationId xmlns:a16="http://schemas.microsoft.com/office/drawing/2014/main" id="{689B8DA7-FDF0-46E8-B983-13AAC18222C3}"/>
            </a:ext>
          </a:extLst>
        </xdr:cNvPr>
        <xdr:cNvCxnSpPr/>
      </xdr:nvCxnSpPr>
      <xdr:spPr>
        <a:xfrm>
          <a:off x="16744046" y="10372379"/>
          <a:ext cx="57023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76885</xdr:colOff>
      <xdr:row>64</xdr:row>
      <xdr:rowOff>159393</xdr:rowOff>
    </xdr:from>
    <xdr:to>
      <xdr:col>23</xdr:col>
      <xdr:colOff>716965</xdr:colOff>
      <xdr:row>64</xdr:row>
      <xdr:rowOff>159393</xdr:rowOff>
    </xdr:to>
    <xdr:cxnSp macro="">
      <xdr:nvCxnSpPr>
        <xdr:cNvPr id="126" name="Straight Connector 125">
          <a:extLst>
            <a:ext uri="{FF2B5EF4-FFF2-40B4-BE49-F238E27FC236}">
              <a16:creationId xmlns:a16="http://schemas.microsoft.com/office/drawing/2014/main" id="{DC2AFECB-9B2B-4940-8F94-727E8EFBF43B}"/>
            </a:ext>
          </a:extLst>
        </xdr:cNvPr>
        <xdr:cNvCxnSpPr/>
      </xdr:nvCxnSpPr>
      <xdr:spPr>
        <a:xfrm>
          <a:off x="14459635" y="11303643"/>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24</xdr:col>
      <xdr:colOff>74332</xdr:colOff>
      <xdr:row>64</xdr:row>
      <xdr:rowOff>159393</xdr:rowOff>
    </xdr:from>
    <xdr:to>
      <xdr:col>24</xdr:col>
      <xdr:colOff>714412</xdr:colOff>
      <xdr:row>64</xdr:row>
      <xdr:rowOff>159393</xdr:rowOff>
    </xdr:to>
    <xdr:cxnSp macro="">
      <xdr:nvCxnSpPr>
        <xdr:cNvPr id="127" name="Straight Connector 126">
          <a:extLst>
            <a:ext uri="{FF2B5EF4-FFF2-40B4-BE49-F238E27FC236}">
              <a16:creationId xmlns:a16="http://schemas.microsoft.com/office/drawing/2014/main" id="{AA25A5F2-2F29-450A-B121-7E2C055931B0}"/>
            </a:ext>
          </a:extLst>
        </xdr:cNvPr>
        <xdr:cNvCxnSpPr/>
      </xdr:nvCxnSpPr>
      <xdr:spPr>
        <a:xfrm>
          <a:off x="15219082" y="11303643"/>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83932</xdr:colOff>
      <xdr:row>64</xdr:row>
      <xdr:rowOff>159393</xdr:rowOff>
    </xdr:from>
    <xdr:to>
      <xdr:col>25</xdr:col>
      <xdr:colOff>724012</xdr:colOff>
      <xdr:row>64</xdr:row>
      <xdr:rowOff>159393</xdr:rowOff>
    </xdr:to>
    <xdr:cxnSp macro="">
      <xdr:nvCxnSpPr>
        <xdr:cNvPr id="128" name="Straight Connector 127">
          <a:extLst>
            <a:ext uri="{FF2B5EF4-FFF2-40B4-BE49-F238E27FC236}">
              <a16:creationId xmlns:a16="http://schemas.microsoft.com/office/drawing/2014/main" id="{C3FF754B-9CF3-4F9F-BC90-9A61176AE09E}"/>
            </a:ext>
          </a:extLst>
        </xdr:cNvPr>
        <xdr:cNvCxnSpPr/>
      </xdr:nvCxnSpPr>
      <xdr:spPr>
        <a:xfrm>
          <a:off x="15990682" y="11303643"/>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78343</xdr:colOff>
      <xdr:row>64</xdr:row>
      <xdr:rowOff>159393</xdr:rowOff>
    </xdr:from>
    <xdr:to>
      <xdr:col>26</xdr:col>
      <xdr:colOff>718423</xdr:colOff>
      <xdr:row>64</xdr:row>
      <xdr:rowOff>159393</xdr:rowOff>
    </xdr:to>
    <xdr:cxnSp macro="">
      <xdr:nvCxnSpPr>
        <xdr:cNvPr id="129" name="Straight Connector 128">
          <a:extLst>
            <a:ext uri="{FF2B5EF4-FFF2-40B4-BE49-F238E27FC236}">
              <a16:creationId xmlns:a16="http://schemas.microsoft.com/office/drawing/2014/main" id="{892D7760-83CE-45EE-9F2C-E9818436804D}"/>
            </a:ext>
          </a:extLst>
        </xdr:cNvPr>
        <xdr:cNvCxnSpPr/>
      </xdr:nvCxnSpPr>
      <xdr:spPr>
        <a:xfrm>
          <a:off x="16747093" y="11303643"/>
          <a:ext cx="57023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609734</xdr:colOff>
      <xdr:row>1</xdr:row>
      <xdr:rowOff>162704</xdr:rowOff>
    </xdr:from>
    <xdr:to>
      <xdr:col>26</xdr:col>
      <xdr:colOff>609734</xdr:colOff>
      <xdr:row>1</xdr:row>
      <xdr:rowOff>162796</xdr:rowOff>
    </xdr:to>
    <xdr:cxnSp macro="">
      <xdr:nvCxnSpPr>
        <xdr:cNvPr id="130" name="Straight Connector 129">
          <a:extLst>
            <a:ext uri="{FF2B5EF4-FFF2-40B4-BE49-F238E27FC236}">
              <a16:creationId xmlns:a16="http://schemas.microsoft.com/office/drawing/2014/main" id="{79AF3BB4-2683-4FB4-850C-6D62127A16F8}"/>
            </a:ext>
          </a:extLst>
        </xdr:cNvPr>
        <xdr:cNvCxnSpPr/>
      </xdr:nvCxnSpPr>
      <xdr:spPr>
        <a:xfrm flipV="1">
          <a:off x="13620884" y="346854"/>
          <a:ext cx="3657600" cy="92"/>
        </a:xfrm>
        <a:prstGeom prst="line">
          <a:avLst/>
        </a:prstGeom>
        <a:ln w="12700">
          <a:solidFill>
            <a:schemeClr val="bg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81638</xdr:colOff>
      <xdr:row>11</xdr:row>
      <xdr:rowOff>169534</xdr:rowOff>
    </xdr:from>
    <xdr:to>
      <xdr:col>20</xdr:col>
      <xdr:colOff>585586</xdr:colOff>
      <xdr:row>11</xdr:row>
      <xdr:rowOff>170691</xdr:rowOff>
    </xdr:to>
    <xdr:cxnSp macro="">
      <xdr:nvCxnSpPr>
        <xdr:cNvPr id="131" name="Straight Connector 130">
          <a:extLst>
            <a:ext uri="{FF2B5EF4-FFF2-40B4-BE49-F238E27FC236}">
              <a16:creationId xmlns:a16="http://schemas.microsoft.com/office/drawing/2014/main" id="{A25EC5E9-79EC-4F3B-85AD-0DFF4991E90F}"/>
            </a:ext>
          </a:extLst>
        </xdr:cNvPr>
        <xdr:cNvCxnSpPr/>
      </xdr:nvCxnSpPr>
      <xdr:spPr>
        <a:xfrm flipV="1">
          <a:off x="11873588" y="208088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81981</xdr:colOff>
      <xdr:row>16</xdr:row>
      <xdr:rowOff>154837</xdr:rowOff>
    </xdr:from>
    <xdr:to>
      <xdr:col>10</xdr:col>
      <xdr:colOff>585928</xdr:colOff>
      <xdr:row>16</xdr:row>
      <xdr:rowOff>155994</xdr:rowOff>
    </xdr:to>
    <xdr:cxnSp macro="">
      <xdr:nvCxnSpPr>
        <xdr:cNvPr id="132" name="Straight Connector 131">
          <a:extLst>
            <a:ext uri="{FF2B5EF4-FFF2-40B4-BE49-F238E27FC236}">
              <a16:creationId xmlns:a16="http://schemas.microsoft.com/office/drawing/2014/main" id="{426E614F-B692-495B-ABF8-25AF6AC89275}"/>
            </a:ext>
          </a:extLst>
        </xdr:cNvPr>
        <xdr:cNvCxnSpPr/>
      </xdr:nvCxnSpPr>
      <xdr:spPr>
        <a:xfrm flipV="1">
          <a:off x="5777931" y="299328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84473</xdr:colOff>
      <xdr:row>16</xdr:row>
      <xdr:rowOff>154837</xdr:rowOff>
    </xdr:from>
    <xdr:to>
      <xdr:col>12</xdr:col>
      <xdr:colOff>588420</xdr:colOff>
      <xdr:row>16</xdr:row>
      <xdr:rowOff>155994</xdr:rowOff>
    </xdr:to>
    <xdr:cxnSp macro="">
      <xdr:nvCxnSpPr>
        <xdr:cNvPr id="133" name="Straight Connector 132">
          <a:extLst>
            <a:ext uri="{FF2B5EF4-FFF2-40B4-BE49-F238E27FC236}">
              <a16:creationId xmlns:a16="http://schemas.microsoft.com/office/drawing/2014/main" id="{9B385813-DA6E-45ED-B454-B74449E1DEC5}"/>
            </a:ext>
          </a:extLst>
        </xdr:cNvPr>
        <xdr:cNvCxnSpPr/>
      </xdr:nvCxnSpPr>
      <xdr:spPr>
        <a:xfrm flipV="1">
          <a:off x="6999623" y="299328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82797</xdr:colOff>
      <xdr:row>16</xdr:row>
      <xdr:rowOff>154837</xdr:rowOff>
    </xdr:from>
    <xdr:to>
      <xdr:col>14</xdr:col>
      <xdr:colOff>586744</xdr:colOff>
      <xdr:row>16</xdr:row>
      <xdr:rowOff>155994</xdr:rowOff>
    </xdr:to>
    <xdr:cxnSp macro="">
      <xdr:nvCxnSpPr>
        <xdr:cNvPr id="134" name="Straight Connector 133">
          <a:extLst>
            <a:ext uri="{FF2B5EF4-FFF2-40B4-BE49-F238E27FC236}">
              <a16:creationId xmlns:a16="http://schemas.microsoft.com/office/drawing/2014/main" id="{2DE4C852-06D0-484B-A893-B8AABE551FBA}"/>
            </a:ext>
          </a:extLst>
        </xdr:cNvPr>
        <xdr:cNvCxnSpPr/>
      </xdr:nvCxnSpPr>
      <xdr:spPr>
        <a:xfrm flipV="1">
          <a:off x="8217147" y="299328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92541</xdr:colOff>
      <xdr:row>16</xdr:row>
      <xdr:rowOff>154837</xdr:rowOff>
    </xdr:from>
    <xdr:to>
      <xdr:col>16</xdr:col>
      <xdr:colOff>596489</xdr:colOff>
      <xdr:row>16</xdr:row>
      <xdr:rowOff>155994</xdr:rowOff>
    </xdr:to>
    <xdr:cxnSp macro="">
      <xdr:nvCxnSpPr>
        <xdr:cNvPr id="135" name="Straight Connector 134">
          <a:extLst>
            <a:ext uri="{FF2B5EF4-FFF2-40B4-BE49-F238E27FC236}">
              <a16:creationId xmlns:a16="http://schemas.microsoft.com/office/drawing/2014/main" id="{09B34F2C-D90D-4BF9-8CF8-1C54EE4C2B44}"/>
            </a:ext>
          </a:extLst>
        </xdr:cNvPr>
        <xdr:cNvCxnSpPr/>
      </xdr:nvCxnSpPr>
      <xdr:spPr>
        <a:xfrm flipV="1">
          <a:off x="9446091" y="2993287"/>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81638</xdr:colOff>
      <xdr:row>16</xdr:row>
      <xdr:rowOff>154837</xdr:rowOff>
    </xdr:from>
    <xdr:to>
      <xdr:col>18</xdr:col>
      <xdr:colOff>585586</xdr:colOff>
      <xdr:row>16</xdr:row>
      <xdr:rowOff>155994</xdr:rowOff>
    </xdr:to>
    <xdr:cxnSp macro="">
      <xdr:nvCxnSpPr>
        <xdr:cNvPr id="136" name="Straight Connector 135">
          <a:extLst>
            <a:ext uri="{FF2B5EF4-FFF2-40B4-BE49-F238E27FC236}">
              <a16:creationId xmlns:a16="http://schemas.microsoft.com/office/drawing/2014/main" id="{59D1745D-4815-45D0-A05D-C23EEA9486A7}"/>
            </a:ext>
          </a:extLst>
        </xdr:cNvPr>
        <xdr:cNvCxnSpPr/>
      </xdr:nvCxnSpPr>
      <xdr:spPr>
        <a:xfrm flipV="1">
          <a:off x="10654388" y="2993287"/>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81638</xdr:colOff>
      <xdr:row>11</xdr:row>
      <xdr:rowOff>169534</xdr:rowOff>
    </xdr:from>
    <xdr:to>
      <xdr:col>20</xdr:col>
      <xdr:colOff>585586</xdr:colOff>
      <xdr:row>11</xdr:row>
      <xdr:rowOff>170691</xdr:rowOff>
    </xdr:to>
    <xdr:cxnSp macro="">
      <xdr:nvCxnSpPr>
        <xdr:cNvPr id="137" name="Straight Connector 136">
          <a:extLst>
            <a:ext uri="{FF2B5EF4-FFF2-40B4-BE49-F238E27FC236}">
              <a16:creationId xmlns:a16="http://schemas.microsoft.com/office/drawing/2014/main" id="{9E1AF879-0CB0-48E4-A092-38BAB33481EE}"/>
            </a:ext>
          </a:extLst>
        </xdr:cNvPr>
        <xdr:cNvCxnSpPr/>
      </xdr:nvCxnSpPr>
      <xdr:spPr>
        <a:xfrm flipV="1">
          <a:off x="11873588" y="208088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81638</xdr:colOff>
      <xdr:row>13</xdr:row>
      <xdr:rowOff>154837</xdr:rowOff>
    </xdr:from>
    <xdr:to>
      <xdr:col>20</xdr:col>
      <xdr:colOff>585586</xdr:colOff>
      <xdr:row>13</xdr:row>
      <xdr:rowOff>155994</xdr:rowOff>
    </xdr:to>
    <xdr:cxnSp macro="">
      <xdr:nvCxnSpPr>
        <xdr:cNvPr id="138" name="Straight Connector 137">
          <a:extLst>
            <a:ext uri="{FF2B5EF4-FFF2-40B4-BE49-F238E27FC236}">
              <a16:creationId xmlns:a16="http://schemas.microsoft.com/office/drawing/2014/main" id="{E13AB005-02D0-4E6B-A903-7231B6514B9D}"/>
            </a:ext>
          </a:extLst>
        </xdr:cNvPr>
        <xdr:cNvCxnSpPr/>
      </xdr:nvCxnSpPr>
      <xdr:spPr>
        <a:xfrm flipV="1">
          <a:off x="11873588" y="2440837"/>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81638</xdr:colOff>
      <xdr:row>16</xdr:row>
      <xdr:rowOff>158334</xdr:rowOff>
    </xdr:from>
    <xdr:to>
      <xdr:col>20</xdr:col>
      <xdr:colOff>585586</xdr:colOff>
      <xdr:row>16</xdr:row>
      <xdr:rowOff>159491</xdr:rowOff>
    </xdr:to>
    <xdr:cxnSp macro="">
      <xdr:nvCxnSpPr>
        <xdr:cNvPr id="139" name="Straight Connector 138">
          <a:extLst>
            <a:ext uri="{FF2B5EF4-FFF2-40B4-BE49-F238E27FC236}">
              <a16:creationId xmlns:a16="http://schemas.microsoft.com/office/drawing/2014/main" id="{38908D28-A535-4504-B9C3-60E176210D39}"/>
            </a:ext>
          </a:extLst>
        </xdr:cNvPr>
        <xdr:cNvCxnSpPr/>
      </xdr:nvCxnSpPr>
      <xdr:spPr>
        <a:xfrm flipV="1">
          <a:off x="11873588" y="299678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81638</xdr:colOff>
      <xdr:row>18</xdr:row>
      <xdr:rowOff>166215</xdr:rowOff>
    </xdr:from>
    <xdr:to>
      <xdr:col>20</xdr:col>
      <xdr:colOff>585586</xdr:colOff>
      <xdr:row>18</xdr:row>
      <xdr:rowOff>167372</xdr:rowOff>
    </xdr:to>
    <xdr:cxnSp macro="">
      <xdr:nvCxnSpPr>
        <xdr:cNvPr id="140" name="Straight Connector 139">
          <a:extLst>
            <a:ext uri="{FF2B5EF4-FFF2-40B4-BE49-F238E27FC236}">
              <a16:creationId xmlns:a16="http://schemas.microsoft.com/office/drawing/2014/main" id="{CABC866E-A3FC-419F-9F46-C3F83A2BCA84}"/>
            </a:ext>
          </a:extLst>
        </xdr:cNvPr>
        <xdr:cNvCxnSpPr/>
      </xdr:nvCxnSpPr>
      <xdr:spPr>
        <a:xfrm flipV="1">
          <a:off x="11873588" y="3372965"/>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96661</xdr:colOff>
      <xdr:row>23</xdr:row>
      <xdr:rowOff>152197</xdr:rowOff>
    </xdr:from>
    <xdr:to>
      <xdr:col>20</xdr:col>
      <xdr:colOff>600563</xdr:colOff>
      <xdr:row>23</xdr:row>
      <xdr:rowOff>153354</xdr:rowOff>
    </xdr:to>
    <xdr:cxnSp macro="">
      <xdr:nvCxnSpPr>
        <xdr:cNvPr id="141" name="Straight Connector 140">
          <a:extLst>
            <a:ext uri="{FF2B5EF4-FFF2-40B4-BE49-F238E27FC236}">
              <a16:creationId xmlns:a16="http://schemas.microsoft.com/office/drawing/2014/main" id="{93778D66-2B2D-4413-BDFB-919614D2AC02}"/>
            </a:ext>
          </a:extLst>
        </xdr:cNvPr>
        <xdr:cNvCxnSpPr/>
      </xdr:nvCxnSpPr>
      <xdr:spPr>
        <a:xfrm flipV="1">
          <a:off x="11888611" y="4146347"/>
          <a:ext cx="1113502"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81638</xdr:colOff>
      <xdr:row>24</xdr:row>
      <xdr:rowOff>191437</xdr:rowOff>
    </xdr:from>
    <xdr:to>
      <xdr:col>20</xdr:col>
      <xdr:colOff>585586</xdr:colOff>
      <xdr:row>24</xdr:row>
      <xdr:rowOff>192594</xdr:rowOff>
    </xdr:to>
    <xdr:cxnSp macro="">
      <xdr:nvCxnSpPr>
        <xdr:cNvPr id="142" name="Straight Connector 141">
          <a:extLst>
            <a:ext uri="{FF2B5EF4-FFF2-40B4-BE49-F238E27FC236}">
              <a16:creationId xmlns:a16="http://schemas.microsoft.com/office/drawing/2014/main" id="{ABDE75DC-5F7D-48B6-BF08-57A4DEBE9082}"/>
            </a:ext>
          </a:extLst>
        </xdr:cNvPr>
        <xdr:cNvCxnSpPr/>
      </xdr:nvCxnSpPr>
      <xdr:spPr>
        <a:xfrm flipV="1">
          <a:off x="11873588" y="4363387"/>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81638</xdr:colOff>
      <xdr:row>25</xdr:row>
      <xdr:rowOff>5545</xdr:rowOff>
    </xdr:from>
    <xdr:to>
      <xdr:col>20</xdr:col>
      <xdr:colOff>585586</xdr:colOff>
      <xdr:row>25</xdr:row>
      <xdr:rowOff>6702</xdr:rowOff>
    </xdr:to>
    <xdr:cxnSp macro="">
      <xdr:nvCxnSpPr>
        <xdr:cNvPr id="143" name="Straight Connector 142">
          <a:extLst>
            <a:ext uri="{FF2B5EF4-FFF2-40B4-BE49-F238E27FC236}">
              <a16:creationId xmlns:a16="http://schemas.microsoft.com/office/drawing/2014/main" id="{37DD0E82-57CE-440E-8376-735434A0A586}"/>
            </a:ext>
          </a:extLst>
        </xdr:cNvPr>
        <xdr:cNvCxnSpPr/>
      </xdr:nvCxnSpPr>
      <xdr:spPr>
        <a:xfrm flipV="1">
          <a:off x="11873588" y="4367995"/>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76561</xdr:colOff>
      <xdr:row>33</xdr:row>
      <xdr:rowOff>162327</xdr:rowOff>
    </xdr:from>
    <xdr:to>
      <xdr:col>20</xdr:col>
      <xdr:colOff>580463</xdr:colOff>
      <xdr:row>33</xdr:row>
      <xdr:rowOff>163484</xdr:rowOff>
    </xdr:to>
    <xdr:cxnSp macro="">
      <xdr:nvCxnSpPr>
        <xdr:cNvPr id="144" name="Straight Connector 143">
          <a:extLst>
            <a:ext uri="{FF2B5EF4-FFF2-40B4-BE49-F238E27FC236}">
              <a16:creationId xmlns:a16="http://schemas.microsoft.com/office/drawing/2014/main" id="{0BE5F741-C082-4CFD-9F53-9415DED2D5A8}"/>
            </a:ext>
          </a:extLst>
        </xdr:cNvPr>
        <xdr:cNvCxnSpPr/>
      </xdr:nvCxnSpPr>
      <xdr:spPr>
        <a:xfrm flipV="1">
          <a:off x="11868511" y="6010677"/>
          <a:ext cx="1113502"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76561</xdr:colOff>
      <xdr:row>40</xdr:row>
      <xdr:rowOff>159727</xdr:rowOff>
    </xdr:from>
    <xdr:to>
      <xdr:col>20</xdr:col>
      <xdr:colOff>580463</xdr:colOff>
      <xdr:row>40</xdr:row>
      <xdr:rowOff>160884</xdr:rowOff>
    </xdr:to>
    <xdr:cxnSp macro="">
      <xdr:nvCxnSpPr>
        <xdr:cNvPr id="145" name="Straight Connector 144">
          <a:extLst>
            <a:ext uri="{FF2B5EF4-FFF2-40B4-BE49-F238E27FC236}">
              <a16:creationId xmlns:a16="http://schemas.microsoft.com/office/drawing/2014/main" id="{0A3FB9F4-0B33-4317-A3E0-6C2B2EF7F538}"/>
            </a:ext>
          </a:extLst>
        </xdr:cNvPr>
        <xdr:cNvCxnSpPr/>
      </xdr:nvCxnSpPr>
      <xdr:spPr>
        <a:xfrm flipV="1">
          <a:off x="11868511" y="7157427"/>
          <a:ext cx="1113502"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57761</xdr:colOff>
      <xdr:row>44</xdr:row>
      <xdr:rowOff>162046</xdr:rowOff>
    </xdr:from>
    <xdr:to>
      <xdr:col>20</xdr:col>
      <xdr:colOff>561663</xdr:colOff>
      <xdr:row>44</xdr:row>
      <xdr:rowOff>163364</xdr:rowOff>
    </xdr:to>
    <xdr:cxnSp macro="">
      <xdr:nvCxnSpPr>
        <xdr:cNvPr id="146" name="Straight Connector 145">
          <a:extLst>
            <a:ext uri="{FF2B5EF4-FFF2-40B4-BE49-F238E27FC236}">
              <a16:creationId xmlns:a16="http://schemas.microsoft.com/office/drawing/2014/main" id="{CC27FF93-6898-47F1-9B2D-7D2B0C919EB0}"/>
            </a:ext>
          </a:extLst>
        </xdr:cNvPr>
        <xdr:cNvCxnSpPr/>
      </xdr:nvCxnSpPr>
      <xdr:spPr>
        <a:xfrm flipV="1">
          <a:off x="11849711" y="7896346"/>
          <a:ext cx="1113502"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57761</xdr:colOff>
      <xdr:row>53</xdr:row>
      <xdr:rowOff>159446</xdr:rowOff>
    </xdr:from>
    <xdr:to>
      <xdr:col>20</xdr:col>
      <xdr:colOff>561663</xdr:colOff>
      <xdr:row>53</xdr:row>
      <xdr:rowOff>160764</xdr:rowOff>
    </xdr:to>
    <xdr:cxnSp macro="">
      <xdr:nvCxnSpPr>
        <xdr:cNvPr id="147" name="Straight Connector 146">
          <a:extLst>
            <a:ext uri="{FF2B5EF4-FFF2-40B4-BE49-F238E27FC236}">
              <a16:creationId xmlns:a16="http://schemas.microsoft.com/office/drawing/2014/main" id="{A6D0AE4E-6958-424D-811B-18BFBCFE738B}"/>
            </a:ext>
          </a:extLst>
        </xdr:cNvPr>
        <xdr:cNvCxnSpPr/>
      </xdr:nvCxnSpPr>
      <xdr:spPr>
        <a:xfrm flipV="1">
          <a:off x="11849711" y="9398696"/>
          <a:ext cx="1113502"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57761</xdr:colOff>
      <xdr:row>54</xdr:row>
      <xdr:rowOff>161846</xdr:rowOff>
    </xdr:from>
    <xdr:to>
      <xdr:col>20</xdr:col>
      <xdr:colOff>561663</xdr:colOff>
      <xdr:row>54</xdr:row>
      <xdr:rowOff>163164</xdr:rowOff>
    </xdr:to>
    <xdr:cxnSp macro="">
      <xdr:nvCxnSpPr>
        <xdr:cNvPr id="148" name="Straight Connector 147">
          <a:extLst>
            <a:ext uri="{FF2B5EF4-FFF2-40B4-BE49-F238E27FC236}">
              <a16:creationId xmlns:a16="http://schemas.microsoft.com/office/drawing/2014/main" id="{AA27B36D-B73B-4EA7-97D5-D19F2D805300}"/>
            </a:ext>
          </a:extLst>
        </xdr:cNvPr>
        <xdr:cNvCxnSpPr/>
      </xdr:nvCxnSpPr>
      <xdr:spPr>
        <a:xfrm flipV="1">
          <a:off x="11849711" y="9585246"/>
          <a:ext cx="1113502"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57761</xdr:colOff>
      <xdr:row>55</xdr:row>
      <xdr:rowOff>4246</xdr:rowOff>
    </xdr:from>
    <xdr:to>
      <xdr:col>20</xdr:col>
      <xdr:colOff>561663</xdr:colOff>
      <xdr:row>55</xdr:row>
      <xdr:rowOff>5564</xdr:rowOff>
    </xdr:to>
    <xdr:cxnSp macro="">
      <xdr:nvCxnSpPr>
        <xdr:cNvPr id="149" name="Straight Connector 148">
          <a:extLst>
            <a:ext uri="{FF2B5EF4-FFF2-40B4-BE49-F238E27FC236}">
              <a16:creationId xmlns:a16="http://schemas.microsoft.com/office/drawing/2014/main" id="{E6ECC376-89EB-4DA3-9C33-6B953D0492DD}"/>
            </a:ext>
          </a:extLst>
        </xdr:cNvPr>
        <xdr:cNvCxnSpPr/>
      </xdr:nvCxnSpPr>
      <xdr:spPr>
        <a:xfrm flipV="1">
          <a:off x="11849711" y="9611796"/>
          <a:ext cx="1113502"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81638</xdr:colOff>
      <xdr:row>16</xdr:row>
      <xdr:rowOff>154837</xdr:rowOff>
    </xdr:from>
    <xdr:to>
      <xdr:col>20</xdr:col>
      <xdr:colOff>585586</xdr:colOff>
      <xdr:row>16</xdr:row>
      <xdr:rowOff>155994</xdr:rowOff>
    </xdr:to>
    <xdr:cxnSp macro="">
      <xdr:nvCxnSpPr>
        <xdr:cNvPr id="150" name="Straight Connector 149">
          <a:extLst>
            <a:ext uri="{FF2B5EF4-FFF2-40B4-BE49-F238E27FC236}">
              <a16:creationId xmlns:a16="http://schemas.microsoft.com/office/drawing/2014/main" id="{8F09C7EB-1259-4F02-B158-C85D5A3F2F59}"/>
            </a:ext>
          </a:extLst>
        </xdr:cNvPr>
        <xdr:cNvCxnSpPr/>
      </xdr:nvCxnSpPr>
      <xdr:spPr>
        <a:xfrm flipV="1">
          <a:off x="11873588" y="2993287"/>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81981</xdr:colOff>
      <xdr:row>24</xdr:row>
      <xdr:rowOff>191437</xdr:rowOff>
    </xdr:from>
    <xdr:to>
      <xdr:col>12</xdr:col>
      <xdr:colOff>585928</xdr:colOff>
      <xdr:row>24</xdr:row>
      <xdr:rowOff>192594</xdr:rowOff>
    </xdr:to>
    <xdr:cxnSp macro="">
      <xdr:nvCxnSpPr>
        <xdr:cNvPr id="151" name="Straight Connector 150">
          <a:extLst>
            <a:ext uri="{FF2B5EF4-FFF2-40B4-BE49-F238E27FC236}">
              <a16:creationId xmlns:a16="http://schemas.microsoft.com/office/drawing/2014/main" id="{E0D6C12E-5D56-4932-97D0-79C209DB8F22}"/>
            </a:ext>
          </a:extLst>
        </xdr:cNvPr>
        <xdr:cNvCxnSpPr/>
      </xdr:nvCxnSpPr>
      <xdr:spPr>
        <a:xfrm flipV="1">
          <a:off x="6997131" y="436338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81981</xdr:colOff>
      <xdr:row>25</xdr:row>
      <xdr:rowOff>5545</xdr:rowOff>
    </xdr:from>
    <xdr:to>
      <xdr:col>12</xdr:col>
      <xdr:colOff>585928</xdr:colOff>
      <xdr:row>25</xdr:row>
      <xdr:rowOff>6702</xdr:rowOff>
    </xdr:to>
    <xdr:cxnSp macro="">
      <xdr:nvCxnSpPr>
        <xdr:cNvPr id="152" name="Straight Connector 151">
          <a:extLst>
            <a:ext uri="{FF2B5EF4-FFF2-40B4-BE49-F238E27FC236}">
              <a16:creationId xmlns:a16="http://schemas.microsoft.com/office/drawing/2014/main" id="{1214D875-D305-479D-8962-805EE86F3F20}"/>
            </a:ext>
          </a:extLst>
        </xdr:cNvPr>
        <xdr:cNvCxnSpPr/>
      </xdr:nvCxnSpPr>
      <xdr:spPr>
        <a:xfrm flipV="1">
          <a:off x="6997131" y="436799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81981</xdr:colOff>
      <xdr:row>24</xdr:row>
      <xdr:rowOff>191437</xdr:rowOff>
    </xdr:from>
    <xdr:to>
      <xdr:col>14</xdr:col>
      <xdr:colOff>585928</xdr:colOff>
      <xdr:row>24</xdr:row>
      <xdr:rowOff>192594</xdr:rowOff>
    </xdr:to>
    <xdr:cxnSp macro="">
      <xdr:nvCxnSpPr>
        <xdr:cNvPr id="153" name="Straight Connector 152">
          <a:extLst>
            <a:ext uri="{FF2B5EF4-FFF2-40B4-BE49-F238E27FC236}">
              <a16:creationId xmlns:a16="http://schemas.microsoft.com/office/drawing/2014/main" id="{C4B0CBB3-C05B-4EF1-9CC1-CB54D1095D7B}"/>
            </a:ext>
          </a:extLst>
        </xdr:cNvPr>
        <xdr:cNvCxnSpPr/>
      </xdr:nvCxnSpPr>
      <xdr:spPr>
        <a:xfrm flipV="1">
          <a:off x="8216331" y="436338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81981</xdr:colOff>
      <xdr:row>25</xdr:row>
      <xdr:rowOff>5545</xdr:rowOff>
    </xdr:from>
    <xdr:to>
      <xdr:col>14</xdr:col>
      <xdr:colOff>585928</xdr:colOff>
      <xdr:row>25</xdr:row>
      <xdr:rowOff>6702</xdr:rowOff>
    </xdr:to>
    <xdr:cxnSp macro="">
      <xdr:nvCxnSpPr>
        <xdr:cNvPr id="154" name="Straight Connector 153">
          <a:extLst>
            <a:ext uri="{FF2B5EF4-FFF2-40B4-BE49-F238E27FC236}">
              <a16:creationId xmlns:a16="http://schemas.microsoft.com/office/drawing/2014/main" id="{005F2D02-3C27-4098-A13F-F390516F65A0}"/>
            </a:ext>
          </a:extLst>
        </xdr:cNvPr>
        <xdr:cNvCxnSpPr/>
      </xdr:nvCxnSpPr>
      <xdr:spPr>
        <a:xfrm flipV="1">
          <a:off x="8216331" y="436799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81981</xdr:colOff>
      <xdr:row>24</xdr:row>
      <xdr:rowOff>191437</xdr:rowOff>
    </xdr:from>
    <xdr:to>
      <xdr:col>16</xdr:col>
      <xdr:colOff>585928</xdr:colOff>
      <xdr:row>24</xdr:row>
      <xdr:rowOff>192594</xdr:rowOff>
    </xdr:to>
    <xdr:cxnSp macro="">
      <xdr:nvCxnSpPr>
        <xdr:cNvPr id="155" name="Straight Connector 154">
          <a:extLst>
            <a:ext uri="{FF2B5EF4-FFF2-40B4-BE49-F238E27FC236}">
              <a16:creationId xmlns:a16="http://schemas.microsoft.com/office/drawing/2014/main" id="{CE306561-0543-4D23-A47C-B4E74C41CEB5}"/>
            </a:ext>
          </a:extLst>
        </xdr:cNvPr>
        <xdr:cNvCxnSpPr/>
      </xdr:nvCxnSpPr>
      <xdr:spPr>
        <a:xfrm flipV="1">
          <a:off x="9435531" y="436338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81981</xdr:colOff>
      <xdr:row>25</xdr:row>
      <xdr:rowOff>5545</xdr:rowOff>
    </xdr:from>
    <xdr:to>
      <xdr:col>16</xdr:col>
      <xdr:colOff>585928</xdr:colOff>
      <xdr:row>25</xdr:row>
      <xdr:rowOff>6702</xdr:rowOff>
    </xdr:to>
    <xdr:cxnSp macro="">
      <xdr:nvCxnSpPr>
        <xdr:cNvPr id="156" name="Straight Connector 155">
          <a:extLst>
            <a:ext uri="{FF2B5EF4-FFF2-40B4-BE49-F238E27FC236}">
              <a16:creationId xmlns:a16="http://schemas.microsoft.com/office/drawing/2014/main" id="{3ED94B4F-FC57-4565-8DCC-09E4D6BA27FF}"/>
            </a:ext>
          </a:extLst>
        </xdr:cNvPr>
        <xdr:cNvCxnSpPr/>
      </xdr:nvCxnSpPr>
      <xdr:spPr>
        <a:xfrm flipV="1">
          <a:off x="9435531" y="436799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81981</xdr:colOff>
      <xdr:row>24</xdr:row>
      <xdr:rowOff>191437</xdr:rowOff>
    </xdr:from>
    <xdr:to>
      <xdr:col>18</xdr:col>
      <xdr:colOff>585928</xdr:colOff>
      <xdr:row>24</xdr:row>
      <xdr:rowOff>192594</xdr:rowOff>
    </xdr:to>
    <xdr:cxnSp macro="">
      <xdr:nvCxnSpPr>
        <xdr:cNvPr id="157" name="Straight Connector 156">
          <a:extLst>
            <a:ext uri="{FF2B5EF4-FFF2-40B4-BE49-F238E27FC236}">
              <a16:creationId xmlns:a16="http://schemas.microsoft.com/office/drawing/2014/main" id="{E9F22981-078F-4CA5-98AC-1D897DCB2FB3}"/>
            </a:ext>
          </a:extLst>
        </xdr:cNvPr>
        <xdr:cNvCxnSpPr/>
      </xdr:nvCxnSpPr>
      <xdr:spPr>
        <a:xfrm flipV="1">
          <a:off x="10654731" y="436338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81981</xdr:colOff>
      <xdr:row>25</xdr:row>
      <xdr:rowOff>5545</xdr:rowOff>
    </xdr:from>
    <xdr:to>
      <xdr:col>18</xdr:col>
      <xdr:colOff>585928</xdr:colOff>
      <xdr:row>25</xdr:row>
      <xdr:rowOff>6702</xdr:rowOff>
    </xdr:to>
    <xdr:cxnSp macro="">
      <xdr:nvCxnSpPr>
        <xdr:cNvPr id="158" name="Straight Connector 157">
          <a:extLst>
            <a:ext uri="{FF2B5EF4-FFF2-40B4-BE49-F238E27FC236}">
              <a16:creationId xmlns:a16="http://schemas.microsoft.com/office/drawing/2014/main" id="{DCA03FE3-A720-4340-9AA9-5FA4625D1F6B}"/>
            </a:ext>
          </a:extLst>
        </xdr:cNvPr>
        <xdr:cNvCxnSpPr/>
      </xdr:nvCxnSpPr>
      <xdr:spPr>
        <a:xfrm flipV="1">
          <a:off x="10654731" y="436799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81981</xdr:colOff>
      <xdr:row>24</xdr:row>
      <xdr:rowOff>191437</xdr:rowOff>
    </xdr:from>
    <xdr:to>
      <xdr:col>20</xdr:col>
      <xdr:colOff>585928</xdr:colOff>
      <xdr:row>24</xdr:row>
      <xdr:rowOff>192594</xdr:rowOff>
    </xdr:to>
    <xdr:cxnSp macro="">
      <xdr:nvCxnSpPr>
        <xdr:cNvPr id="159" name="Straight Connector 158">
          <a:extLst>
            <a:ext uri="{FF2B5EF4-FFF2-40B4-BE49-F238E27FC236}">
              <a16:creationId xmlns:a16="http://schemas.microsoft.com/office/drawing/2014/main" id="{11859B62-23DE-4C8A-AC75-7B031E0ECD77}"/>
            </a:ext>
          </a:extLst>
        </xdr:cNvPr>
        <xdr:cNvCxnSpPr/>
      </xdr:nvCxnSpPr>
      <xdr:spPr>
        <a:xfrm flipV="1">
          <a:off x="11873931" y="436338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81981</xdr:colOff>
      <xdr:row>25</xdr:row>
      <xdr:rowOff>5545</xdr:rowOff>
    </xdr:from>
    <xdr:to>
      <xdr:col>20</xdr:col>
      <xdr:colOff>585928</xdr:colOff>
      <xdr:row>25</xdr:row>
      <xdr:rowOff>6702</xdr:rowOff>
    </xdr:to>
    <xdr:cxnSp macro="">
      <xdr:nvCxnSpPr>
        <xdr:cNvPr id="160" name="Straight Connector 159">
          <a:extLst>
            <a:ext uri="{FF2B5EF4-FFF2-40B4-BE49-F238E27FC236}">
              <a16:creationId xmlns:a16="http://schemas.microsoft.com/office/drawing/2014/main" id="{BE5D4D49-CA58-48DF-9658-E89B1426D652}"/>
            </a:ext>
          </a:extLst>
        </xdr:cNvPr>
        <xdr:cNvCxnSpPr/>
      </xdr:nvCxnSpPr>
      <xdr:spPr>
        <a:xfrm flipV="1">
          <a:off x="11873931" y="436799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81981</xdr:colOff>
      <xdr:row>27</xdr:row>
      <xdr:rowOff>191437</xdr:rowOff>
    </xdr:from>
    <xdr:to>
      <xdr:col>10</xdr:col>
      <xdr:colOff>585928</xdr:colOff>
      <xdr:row>27</xdr:row>
      <xdr:rowOff>192594</xdr:rowOff>
    </xdr:to>
    <xdr:cxnSp macro="">
      <xdr:nvCxnSpPr>
        <xdr:cNvPr id="161" name="Straight Connector 160">
          <a:extLst>
            <a:ext uri="{FF2B5EF4-FFF2-40B4-BE49-F238E27FC236}">
              <a16:creationId xmlns:a16="http://schemas.microsoft.com/office/drawing/2014/main" id="{DB46E0E8-FD2D-436F-BB96-F856245D3A29}"/>
            </a:ext>
          </a:extLst>
        </xdr:cNvPr>
        <xdr:cNvCxnSpPr/>
      </xdr:nvCxnSpPr>
      <xdr:spPr>
        <a:xfrm flipV="1">
          <a:off x="5777931" y="491583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81981</xdr:colOff>
      <xdr:row>28</xdr:row>
      <xdr:rowOff>5545</xdr:rowOff>
    </xdr:from>
    <xdr:to>
      <xdr:col>10</xdr:col>
      <xdr:colOff>585928</xdr:colOff>
      <xdr:row>28</xdr:row>
      <xdr:rowOff>6702</xdr:rowOff>
    </xdr:to>
    <xdr:cxnSp macro="">
      <xdr:nvCxnSpPr>
        <xdr:cNvPr id="162" name="Straight Connector 161">
          <a:extLst>
            <a:ext uri="{FF2B5EF4-FFF2-40B4-BE49-F238E27FC236}">
              <a16:creationId xmlns:a16="http://schemas.microsoft.com/office/drawing/2014/main" id="{8D95F9B0-FBA0-46CB-9C4C-95077A8AAA9B}"/>
            </a:ext>
          </a:extLst>
        </xdr:cNvPr>
        <xdr:cNvCxnSpPr/>
      </xdr:nvCxnSpPr>
      <xdr:spPr>
        <a:xfrm flipV="1">
          <a:off x="5777931" y="492044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81981</xdr:colOff>
      <xdr:row>27</xdr:row>
      <xdr:rowOff>191437</xdr:rowOff>
    </xdr:from>
    <xdr:to>
      <xdr:col>12</xdr:col>
      <xdr:colOff>585928</xdr:colOff>
      <xdr:row>27</xdr:row>
      <xdr:rowOff>192594</xdr:rowOff>
    </xdr:to>
    <xdr:cxnSp macro="">
      <xdr:nvCxnSpPr>
        <xdr:cNvPr id="163" name="Straight Connector 162">
          <a:extLst>
            <a:ext uri="{FF2B5EF4-FFF2-40B4-BE49-F238E27FC236}">
              <a16:creationId xmlns:a16="http://schemas.microsoft.com/office/drawing/2014/main" id="{04B70D99-79F7-4685-9ECF-F2D398231F37}"/>
            </a:ext>
          </a:extLst>
        </xdr:cNvPr>
        <xdr:cNvCxnSpPr/>
      </xdr:nvCxnSpPr>
      <xdr:spPr>
        <a:xfrm flipV="1">
          <a:off x="6997131" y="491583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81981</xdr:colOff>
      <xdr:row>28</xdr:row>
      <xdr:rowOff>5545</xdr:rowOff>
    </xdr:from>
    <xdr:to>
      <xdr:col>12</xdr:col>
      <xdr:colOff>585928</xdr:colOff>
      <xdr:row>28</xdr:row>
      <xdr:rowOff>6702</xdr:rowOff>
    </xdr:to>
    <xdr:cxnSp macro="">
      <xdr:nvCxnSpPr>
        <xdr:cNvPr id="164" name="Straight Connector 163">
          <a:extLst>
            <a:ext uri="{FF2B5EF4-FFF2-40B4-BE49-F238E27FC236}">
              <a16:creationId xmlns:a16="http://schemas.microsoft.com/office/drawing/2014/main" id="{4B0D4F7E-F57E-4572-84F9-35818F83A429}"/>
            </a:ext>
          </a:extLst>
        </xdr:cNvPr>
        <xdr:cNvCxnSpPr/>
      </xdr:nvCxnSpPr>
      <xdr:spPr>
        <a:xfrm flipV="1">
          <a:off x="6997131" y="492044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81981</xdr:colOff>
      <xdr:row>27</xdr:row>
      <xdr:rowOff>191437</xdr:rowOff>
    </xdr:from>
    <xdr:to>
      <xdr:col>14</xdr:col>
      <xdr:colOff>585928</xdr:colOff>
      <xdr:row>27</xdr:row>
      <xdr:rowOff>192594</xdr:rowOff>
    </xdr:to>
    <xdr:cxnSp macro="">
      <xdr:nvCxnSpPr>
        <xdr:cNvPr id="165" name="Straight Connector 164">
          <a:extLst>
            <a:ext uri="{FF2B5EF4-FFF2-40B4-BE49-F238E27FC236}">
              <a16:creationId xmlns:a16="http://schemas.microsoft.com/office/drawing/2014/main" id="{BEF728B9-CF93-48D4-A2D4-DA938CC826B9}"/>
            </a:ext>
          </a:extLst>
        </xdr:cNvPr>
        <xdr:cNvCxnSpPr/>
      </xdr:nvCxnSpPr>
      <xdr:spPr>
        <a:xfrm flipV="1">
          <a:off x="8216331" y="491583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81981</xdr:colOff>
      <xdr:row>28</xdr:row>
      <xdr:rowOff>5545</xdr:rowOff>
    </xdr:from>
    <xdr:to>
      <xdr:col>14</xdr:col>
      <xdr:colOff>585928</xdr:colOff>
      <xdr:row>28</xdr:row>
      <xdr:rowOff>6702</xdr:rowOff>
    </xdr:to>
    <xdr:cxnSp macro="">
      <xdr:nvCxnSpPr>
        <xdr:cNvPr id="166" name="Straight Connector 165">
          <a:extLst>
            <a:ext uri="{FF2B5EF4-FFF2-40B4-BE49-F238E27FC236}">
              <a16:creationId xmlns:a16="http://schemas.microsoft.com/office/drawing/2014/main" id="{C0BF2277-206B-4849-85B4-C4E78B33D45E}"/>
            </a:ext>
          </a:extLst>
        </xdr:cNvPr>
        <xdr:cNvCxnSpPr/>
      </xdr:nvCxnSpPr>
      <xdr:spPr>
        <a:xfrm flipV="1">
          <a:off x="8216331" y="492044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81981</xdr:colOff>
      <xdr:row>27</xdr:row>
      <xdr:rowOff>191437</xdr:rowOff>
    </xdr:from>
    <xdr:to>
      <xdr:col>16</xdr:col>
      <xdr:colOff>585928</xdr:colOff>
      <xdr:row>27</xdr:row>
      <xdr:rowOff>192594</xdr:rowOff>
    </xdr:to>
    <xdr:cxnSp macro="">
      <xdr:nvCxnSpPr>
        <xdr:cNvPr id="167" name="Straight Connector 166">
          <a:extLst>
            <a:ext uri="{FF2B5EF4-FFF2-40B4-BE49-F238E27FC236}">
              <a16:creationId xmlns:a16="http://schemas.microsoft.com/office/drawing/2014/main" id="{374237EE-C0F1-4BFA-AC3B-DBA710BF8D6C}"/>
            </a:ext>
          </a:extLst>
        </xdr:cNvPr>
        <xdr:cNvCxnSpPr/>
      </xdr:nvCxnSpPr>
      <xdr:spPr>
        <a:xfrm flipV="1">
          <a:off x="9435531" y="491583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81981</xdr:colOff>
      <xdr:row>28</xdr:row>
      <xdr:rowOff>5545</xdr:rowOff>
    </xdr:from>
    <xdr:to>
      <xdr:col>16</xdr:col>
      <xdr:colOff>585928</xdr:colOff>
      <xdr:row>28</xdr:row>
      <xdr:rowOff>6702</xdr:rowOff>
    </xdr:to>
    <xdr:cxnSp macro="">
      <xdr:nvCxnSpPr>
        <xdr:cNvPr id="168" name="Straight Connector 167">
          <a:extLst>
            <a:ext uri="{FF2B5EF4-FFF2-40B4-BE49-F238E27FC236}">
              <a16:creationId xmlns:a16="http://schemas.microsoft.com/office/drawing/2014/main" id="{B888FAB2-C4BB-40B9-B580-D0E56CAFA4AC}"/>
            </a:ext>
          </a:extLst>
        </xdr:cNvPr>
        <xdr:cNvCxnSpPr/>
      </xdr:nvCxnSpPr>
      <xdr:spPr>
        <a:xfrm flipV="1">
          <a:off x="9435531" y="492044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81981</xdr:colOff>
      <xdr:row>27</xdr:row>
      <xdr:rowOff>191437</xdr:rowOff>
    </xdr:from>
    <xdr:to>
      <xdr:col>18</xdr:col>
      <xdr:colOff>585928</xdr:colOff>
      <xdr:row>27</xdr:row>
      <xdr:rowOff>192594</xdr:rowOff>
    </xdr:to>
    <xdr:cxnSp macro="">
      <xdr:nvCxnSpPr>
        <xdr:cNvPr id="169" name="Straight Connector 168">
          <a:extLst>
            <a:ext uri="{FF2B5EF4-FFF2-40B4-BE49-F238E27FC236}">
              <a16:creationId xmlns:a16="http://schemas.microsoft.com/office/drawing/2014/main" id="{87F29784-0972-4B7F-AE01-475DD24C5DFA}"/>
            </a:ext>
          </a:extLst>
        </xdr:cNvPr>
        <xdr:cNvCxnSpPr/>
      </xdr:nvCxnSpPr>
      <xdr:spPr>
        <a:xfrm flipV="1">
          <a:off x="10654731" y="491583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81981</xdr:colOff>
      <xdr:row>28</xdr:row>
      <xdr:rowOff>5545</xdr:rowOff>
    </xdr:from>
    <xdr:to>
      <xdr:col>18</xdr:col>
      <xdr:colOff>585928</xdr:colOff>
      <xdr:row>28</xdr:row>
      <xdr:rowOff>6702</xdr:rowOff>
    </xdr:to>
    <xdr:cxnSp macro="">
      <xdr:nvCxnSpPr>
        <xdr:cNvPr id="170" name="Straight Connector 169">
          <a:extLst>
            <a:ext uri="{FF2B5EF4-FFF2-40B4-BE49-F238E27FC236}">
              <a16:creationId xmlns:a16="http://schemas.microsoft.com/office/drawing/2014/main" id="{F01547F0-6C3D-456D-B1F8-C41CE278E5A9}"/>
            </a:ext>
          </a:extLst>
        </xdr:cNvPr>
        <xdr:cNvCxnSpPr/>
      </xdr:nvCxnSpPr>
      <xdr:spPr>
        <a:xfrm flipV="1">
          <a:off x="10654731" y="492044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81981</xdr:colOff>
      <xdr:row>27</xdr:row>
      <xdr:rowOff>191437</xdr:rowOff>
    </xdr:from>
    <xdr:to>
      <xdr:col>20</xdr:col>
      <xdr:colOff>585928</xdr:colOff>
      <xdr:row>27</xdr:row>
      <xdr:rowOff>192594</xdr:rowOff>
    </xdr:to>
    <xdr:cxnSp macro="">
      <xdr:nvCxnSpPr>
        <xdr:cNvPr id="171" name="Straight Connector 170">
          <a:extLst>
            <a:ext uri="{FF2B5EF4-FFF2-40B4-BE49-F238E27FC236}">
              <a16:creationId xmlns:a16="http://schemas.microsoft.com/office/drawing/2014/main" id="{6F6CCE79-8658-4AF8-BD47-5D46749321CD}"/>
            </a:ext>
          </a:extLst>
        </xdr:cNvPr>
        <xdr:cNvCxnSpPr/>
      </xdr:nvCxnSpPr>
      <xdr:spPr>
        <a:xfrm flipV="1">
          <a:off x="11873931" y="491583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81981</xdr:colOff>
      <xdr:row>28</xdr:row>
      <xdr:rowOff>5545</xdr:rowOff>
    </xdr:from>
    <xdr:to>
      <xdr:col>20</xdr:col>
      <xdr:colOff>585928</xdr:colOff>
      <xdr:row>28</xdr:row>
      <xdr:rowOff>6702</xdr:rowOff>
    </xdr:to>
    <xdr:cxnSp macro="">
      <xdr:nvCxnSpPr>
        <xdr:cNvPr id="172" name="Straight Connector 171">
          <a:extLst>
            <a:ext uri="{FF2B5EF4-FFF2-40B4-BE49-F238E27FC236}">
              <a16:creationId xmlns:a16="http://schemas.microsoft.com/office/drawing/2014/main" id="{F58790D5-9ECC-431C-81EA-6D706F6C93F3}"/>
            </a:ext>
          </a:extLst>
        </xdr:cNvPr>
        <xdr:cNvCxnSpPr/>
      </xdr:nvCxnSpPr>
      <xdr:spPr>
        <a:xfrm flipV="1">
          <a:off x="11873931" y="492044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58081</xdr:colOff>
      <xdr:row>44</xdr:row>
      <xdr:rowOff>162046</xdr:rowOff>
    </xdr:from>
    <xdr:to>
      <xdr:col>12</xdr:col>
      <xdr:colOff>562028</xdr:colOff>
      <xdr:row>44</xdr:row>
      <xdr:rowOff>163364</xdr:rowOff>
    </xdr:to>
    <xdr:cxnSp macro="">
      <xdr:nvCxnSpPr>
        <xdr:cNvPr id="173" name="Straight Connector 172">
          <a:extLst>
            <a:ext uri="{FF2B5EF4-FFF2-40B4-BE49-F238E27FC236}">
              <a16:creationId xmlns:a16="http://schemas.microsoft.com/office/drawing/2014/main" id="{0C574629-99DA-49D9-9257-0DA5896C2FD9}"/>
            </a:ext>
          </a:extLst>
        </xdr:cNvPr>
        <xdr:cNvCxnSpPr/>
      </xdr:nvCxnSpPr>
      <xdr:spPr>
        <a:xfrm flipV="1">
          <a:off x="6973231" y="78963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58081</xdr:colOff>
      <xdr:row>44</xdr:row>
      <xdr:rowOff>162046</xdr:rowOff>
    </xdr:from>
    <xdr:to>
      <xdr:col>14</xdr:col>
      <xdr:colOff>562028</xdr:colOff>
      <xdr:row>44</xdr:row>
      <xdr:rowOff>163364</xdr:rowOff>
    </xdr:to>
    <xdr:cxnSp macro="">
      <xdr:nvCxnSpPr>
        <xdr:cNvPr id="174" name="Straight Connector 173">
          <a:extLst>
            <a:ext uri="{FF2B5EF4-FFF2-40B4-BE49-F238E27FC236}">
              <a16:creationId xmlns:a16="http://schemas.microsoft.com/office/drawing/2014/main" id="{3E019B9A-9CE0-4863-85E3-863A8324043E}"/>
            </a:ext>
          </a:extLst>
        </xdr:cNvPr>
        <xdr:cNvCxnSpPr/>
      </xdr:nvCxnSpPr>
      <xdr:spPr>
        <a:xfrm flipV="1">
          <a:off x="8192431" y="78963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58081</xdr:colOff>
      <xdr:row>44</xdr:row>
      <xdr:rowOff>162046</xdr:rowOff>
    </xdr:from>
    <xdr:to>
      <xdr:col>16</xdr:col>
      <xdr:colOff>562028</xdr:colOff>
      <xdr:row>44</xdr:row>
      <xdr:rowOff>163364</xdr:rowOff>
    </xdr:to>
    <xdr:cxnSp macro="">
      <xdr:nvCxnSpPr>
        <xdr:cNvPr id="175" name="Straight Connector 174">
          <a:extLst>
            <a:ext uri="{FF2B5EF4-FFF2-40B4-BE49-F238E27FC236}">
              <a16:creationId xmlns:a16="http://schemas.microsoft.com/office/drawing/2014/main" id="{FF64F379-8513-421E-8E47-0019E3F3AE68}"/>
            </a:ext>
          </a:extLst>
        </xdr:cNvPr>
        <xdr:cNvCxnSpPr/>
      </xdr:nvCxnSpPr>
      <xdr:spPr>
        <a:xfrm flipV="1">
          <a:off x="9411631" y="78963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58081</xdr:colOff>
      <xdr:row>44</xdr:row>
      <xdr:rowOff>162046</xdr:rowOff>
    </xdr:from>
    <xdr:to>
      <xdr:col>18</xdr:col>
      <xdr:colOff>562028</xdr:colOff>
      <xdr:row>44</xdr:row>
      <xdr:rowOff>163364</xdr:rowOff>
    </xdr:to>
    <xdr:cxnSp macro="">
      <xdr:nvCxnSpPr>
        <xdr:cNvPr id="176" name="Straight Connector 175">
          <a:extLst>
            <a:ext uri="{FF2B5EF4-FFF2-40B4-BE49-F238E27FC236}">
              <a16:creationId xmlns:a16="http://schemas.microsoft.com/office/drawing/2014/main" id="{AD9030B2-702D-4B09-9BE0-0E7A132DF289}"/>
            </a:ext>
          </a:extLst>
        </xdr:cNvPr>
        <xdr:cNvCxnSpPr/>
      </xdr:nvCxnSpPr>
      <xdr:spPr>
        <a:xfrm flipV="1">
          <a:off x="10630831" y="78963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58081</xdr:colOff>
      <xdr:row>44</xdr:row>
      <xdr:rowOff>162046</xdr:rowOff>
    </xdr:from>
    <xdr:to>
      <xdr:col>20</xdr:col>
      <xdr:colOff>562028</xdr:colOff>
      <xdr:row>44</xdr:row>
      <xdr:rowOff>163364</xdr:rowOff>
    </xdr:to>
    <xdr:cxnSp macro="">
      <xdr:nvCxnSpPr>
        <xdr:cNvPr id="177" name="Straight Connector 176">
          <a:extLst>
            <a:ext uri="{FF2B5EF4-FFF2-40B4-BE49-F238E27FC236}">
              <a16:creationId xmlns:a16="http://schemas.microsoft.com/office/drawing/2014/main" id="{436D483E-FF0D-4DD8-8403-B5EC06B18EAC}"/>
            </a:ext>
          </a:extLst>
        </xdr:cNvPr>
        <xdr:cNvCxnSpPr/>
      </xdr:nvCxnSpPr>
      <xdr:spPr>
        <a:xfrm flipV="1">
          <a:off x="11850031" y="78963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58081</xdr:colOff>
      <xdr:row>53</xdr:row>
      <xdr:rowOff>159446</xdr:rowOff>
    </xdr:from>
    <xdr:to>
      <xdr:col>12</xdr:col>
      <xdr:colOff>562028</xdr:colOff>
      <xdr:row>53</xdr:row>
      <xdr:rowOff>160764</xdr:rowOff>
    </xdr:to>
    <xdr:cxnSp macro="">
      <xdr:nvCxnSpPr>
        <xdr:cNvPr id="178" name="Straight Connector 177">
          <a:extLst>
            <a:ext uri="{FF2B5EF4-FFF2-40B4-BE49-F238E27FC236}">
              <a16:creationId xmlns:a16="http://schemas.microsoft.com/office/drawing/2014/main" id="{13C1B4A1-AEBF-4F38-9A3C-1414384DAAF8}"/>
            </a:ext>
          </a:extLst>
        </xdr:cNvPr>
        <xdr:cNvCxnSpPr/>
      </xdr:nvCxnSpPr>
      <xdr:spPr>
        <a:xfrm flipV="1">
          <a:off x="6973231" y="93986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58081</xdr:colOff>
      <xdr:row>53</xdr:row>
      <xdr:rowOff>159446</xdr:rowOff>
    </xdr:from>
    <xdr:to>
      <xdr:col>14</xdr:col>
      <xdr:colOff>562028</xdr:colOff>
      <xdr:row>53</xdr:row>
      <xdr:rowOff>160764</xdr:rowOff>
    </xdr:to>
    <xdr:cxnSp macro="">
      <xdr:nvCxnSpPr>
        <xdr:cNvPr id="179" name="Straight Connector 178">
          <a:extLst>
            <a:ext uri="{FF2B5EF4-FFF2-40B4-BE49-F238E27FC236}">
              <a16:creationId xmlns:a16="http://schemas.microsoft.com/office/drawing/2014/main" id="{E8218DB7-87EF-4EF7-910D-0923B4C8342A}"/>
            </a:ext>
          </a:extLst>
        </xdr:cNvPr>
        <xdr:cNvCxnSpPr/>
      </xdr:nvCxnSpPr>
      <xdr:spPr>
        <a:xfrm flipV="1">
          <a:off x="8192431" y="93986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58081</xdr:colOff>
      <xdr:row>53</xdr:row>
      <xdr:rowOff>159446</xdr:rowOff>
    </xdr:from>
    <xdr:to>
      <xdr:col>16</xdr:col>
      <xdr:colOff>562028</xdr:colOff>
      <xdr:row>53</xdr:row>
      <xdr:rowOff>160764</xdr:rowOff>
    </xdr:to>
    <xdr:cxnSp macro="">
      <xdr:nvCxnSpPr>
        <xdr:cNvPr id="180" name="Straight Connector 179">
          <a:extLst>
            <a:ext uri="{FF2B5EF4-FFF2-40B4-BE49-F238E27FC236}">
              <a16:creationId xmlns:a16="http://schemas.microsoft.com/office/drawing/2014/main" id="{CBAED249-495E-46A2-8A16-D07C8D41BA39}"/>
            </a:ext>
          </a:extLst>
        </xdr:cNvPr>
        <xdr:cNvCxnSpPr/>
      </xdr:nvCxnSpPr>
      <xdr:spPr>
        <a:xfrm flipV="1">
          <a:off x="9411631" y="93986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58081</xdr:colOff>
      <xdr:row>53</xdr:row>
      <xdr:rowOff>159446</xdr:rowOff>
    </xdr:from>
    <xdr:to>
      <xdr:col>18</xdr:col>
      <xdr:colOff>562028</xdr:colOff>
      <xdr:row>53</xdr:row>
      <xdr:rowOff>160764</xdr:rowOff>
    </xdr:to>
    <xdr:cxnSp macro="">
      <xdr:nvCxnSpPr>
        <xdr:cNvPr id="181" name="Straight Connector 180">
          <a:extLst>
            <a:ext uri="{FF2B5EF4-FFF2-40B4-BE49-F238E27FC236}">
              <a16:creationId xmlns:a16="http://schemas.microsoft.com/office/drawing/2014/main" id="{D79EDCD5-4DCF-42D8-B5B4-23E192E998DA}"/>
            </a:ext>
          </a:extLst>
        </xdr:cNvPr>
        <xdr:cNvCxnSpPr/>
      </xdr:nvCxnSpPr>
      <xdr:spPr>
        <a:xfrm flipV="1">
          <a:off x="10630831" y="93986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58081</xdr:colOff>
      <xdr:row>53</xdr:row>
      <xdr:rowOff>159446</xdr:rowOff>
    </xdr:from>
    <xdr:to>
      <xdr:col>20</xdr:col>
      <xdr:colOff>562028</xdr:colOff>
      <xdr:row>53</xdr:row>
      <xdr:rowOff>160764</xdr:rowOff>
    </xdr:to>
    <xdr:cxnSp macro="">
      <xdr:nvCxnSpPr>
        <xdr:cNvPr id="182" name="Straight Connector 181">
          <a:extLst>
            <a:ext uri="{FF2B5EF4-FFF2-40B4-BE49-F238E27FC236}">
              <a16:creationId xmlns:a16="http://schemas.microsoft.com/office/drawing/2014/main" id="{3A1A932E-014C-4519-AE91-FBFB2AFA0426}"/>
            </a:ext>
          </a:extLst>
        </xdr:cNvPr>
        <xdr:cNvCxnSpPr/>
      </xdr:nvCxnSpPr>
      <xdr:spPr>
        <a:xfrm flipV="1">
          <a:off x="11850031" y="93986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58081</xdr:colOff>
      <xdr:row>54</xdr:row>
      <xdr:rowOff>159446</xdr:rowOff>
    </xdr:from>
    <xdr:to>
      <xdr:col>10</xdr:col>
      <xdr:colOff>562028</xdr:colOff>
      <xdr:row>54</xdr:row>
      <xdr:rowOff>160764</xdr:rowOff>
    </xdr:to>
    <xdr:cxnSp macro="">
      <xdr:nvCxnSpPr>
        <xdr:cNvPr id="183" name="Straight Connector 182">
          <a:extLst>
            <a:ext uri="{FF2B5EF4-FFF2-40B4-BE49-F238E27FC236}">
              <a16:creationId xmlns:a16="http://schemas.microsoft.com/office/drawing/2014/main" id="{F16D62F7-82A8-47CE-8348-BD39740B645B}"/>
            </a:ext>
          </a:extLst>
        </xdr:cNvPr>
        <xdr:cNvCxnSpPr/>
      </xdr:nvCxnSpPr>
      <xdr:spPr>
        <a:xfrm flipV="1">
          <a:off x="5754031" y="95828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58081</xdr:colOff>
      <xdr:row>54</xdr:row>
      <xdr:rowOff>161846</xdr:rowOff>
    </xdr:from>
    <xdr:to>
      <xdr:col>12</xdr:col>
      <xdr:colOff>562028</xdr:colOff>
      <xdr:row>54</xdr:row>
      <xdr:rowOff>163164</xdr:rowOff>
    </xdr:to>
    <xdr:cxnSp macro="">
      <xdr:nvCxnSpPr>
        <xdr:cNvPr id="184" name="Straight Connector 183">
          <a:extLst>
            <a:ext uri="{FF2B5EF4-FFF2-40B4-BE49-F238E27FC236}">
              <a16:creationId xmlns:a16="http://schemas.microsoft.com/office/drawing/2014/main" id="{635B5587-10C6-4AD3-B2CA-5DE9F2E8B24F}"/>
            </a:ext>
          </a:extLst>
        </xdr:cNvPr>
        <xdr:cNvCxnSpPr/>
      </xdr:nvCxnSpPr>
      <xdr:spPr>
        <a:xfrm flipV="1">
          <a:off x="6973231" y="95852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58081</xdr:colOff>
      <xdr:row>54</xdr:row>
      <xdr:rowOff>159446</xdr:rowOff>
    </xdr:from>
    <xdr:to>
      <xdr:col>12</xdr:col>
      <xdr:colOff>562028</xdr:colOff>
      <xdr:row>54</xdr:row>
      <xdr:rowOff>160764</xdr:rowOff>
    </xdr:to>
    <xdr:cxnSp macro="">
      <xdr:nvCxnSpPr>
        <xdr:cNvPr id="185" name="Straight Connector 184">
          <a:extLst>
            <a:ext uri="{FF2B5EF4-FFF2-40B4-BE49-F238E27FC236}">
              <a16:creationId xmlns:a16="http://schemas.microsoft.com/office/drawing/2014/main" id="{EAAA7EFB-1DC9-4540-9EF6-C26A90734BBE}"/>
            </a:ext>
          </a:extLst>
        </xdr:cNvPr>
        <xdr:cNvCxnSpPr/>
      </xdr:nvCxnSpPr>
      <xdr:spPr>
        <a:xfrm flipV="1">
          <a:off x="6973231" y="95828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58081</xdr:colOff>
      <xdr:row>54</xdr:row>
      <xdr:rowOff>161846</xdr:rowOff>
    </xdr:from>
    <xdr:to>
      <xdr:col>14</xdr:col>
      <xdr:colOff>562028</xdr:colOff>
      <xdr:row>54</xdr:row>
      <xdr:rowOff>163164</xdr:rowOff>
    </xdr:to>
    <xdr:cxnSp macro="">
      <xdr:nvCxnSpPr>
        <xdr:cNvPr id="186" name="Straight Connector 185">
          <a:extLst>
            <a:ext uri="{FF2B5EF4-FFF2-40B4-BE49-F238E27FC236}">
              <a16:creationId xmlns:a16="http://schemas.microsoft.com/office/drawing/2014/main" id="{6CECAD74-8067-48D1-A63F-CC58D88F6D70}"/>
            </a:ext>
          </a:extLst>
        </xdr:cNvPr>
        <xdr:cNvCxnSpPr/>
      </xdr:nvCxnSpPr>
      <xdr:spPr>
        <a:xfrm flipV="1">
          <a:off x="8192431" y="95852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58081</xdr:colOff>
      <xdr:row>54</xdr:row>
      <xdr:rowOff>159446</xdr:rowOff>
    </xdr:from>
    <xdr:to>
      <xdr:col>14</xdr:col>
      <xdr:colOff>562028</xdr:colOff>
      <xdr:row>54</xdr:row>
      <xdr:rowOff>160764</xdr:rowOff>
    </xdr:to>
    <xdr:cxnSp macro="">
      <xdr:nvCxnSpPr>
        <xdr:cNvPr id="187" name="Straight Connector 186">
          <a:extLst>
            <a:ext uri="{FF2B5EF4-FFF2-40B4-BE49-F238E27FC236}">
              <a16:creationId xmlns:a16="http://schemas.microsoft.com/office/drawing/2014/main" id="{73819B98-E5A4-4032-899C-90A3B36CD6FE}"/>
            </a:ext>
          </a:extLst>
        </xdr:cNvPr>
        <xdr:cNvCxnSpPr/>
      </xdr:nvCxnSpPr>
      <xdr:spPr>
        <a:xfrm flipV="1">
          <a:off x="8192431" y="95828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58081</xdr:colOff>
      <xdr:row>54</xdr:row>
      <xdr:rowOff>161846</xdr:rowOff>
    </xdr:from>
    <xdr:to>
      <xdr:col>16</xdr:col>
      <xdr:colOff>562028</xdr:colOff>
      <xdr:row>54</xdr:row>
      <xdr:rowOff>163164</xdr:rowOff>
    </xdr:to>
    <xdr:cxnSp macro="">
      <xdr:nvCxnSpPr>
        <xdr:cNvPr id="188" name="Straight Connector 187">
          <a:extLst>
            <a:ext uri="{FF2B5EF4-FFF2-40B4-BE49-F238E27FC236}">
              <a16:creationId xmlns:a16="http://schemas.microsoft.com/office/drawing/2014/main" id="{60DB5B0B-D4EF-495F-A34B-4DBDECDCB6AB}"/>
            </a:ext>
          </a:extLst>
        </xdr:cNvPr>
        <xdr:cNvCxnSpPr/>
      </xdr:nvCxnSpPr>
      <xdr:spPr>
        <a:xfrm flipV="1">
          <a:off x="9411631" y="95852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58081</xdr:colOff>
      <xdr:row>54</xdr:row>
      <xdr:rowOff>159446</xdr:rowOff>
    </xdr:from>
    <xdr:to>
      <xdr:col>16</xdr:col>
      <xdr:colOff>562028</xdr:colOff>
      <xdr:row>54</xdr:row>
      <xdr:rowOff>160764</xdr:rowOff>
    </xdr:to>
    <xdr:cxnSp macro="">
      <xdr:nvCxnSpPr>
        <xdr:cNvPr id="189" name="Straight Connector 188">
          <a:extLst>
            <a:ext uri="{FF2B5EF4-FFF2-40B4-BE49-F238E27FC236}">
              <a16:creationId xmlns:a16="http://schemas.microsoft.com/office/drawing/2014/main" id="{8897CF92-A5BC-4FF6-AA00-0F673393F1B5}"/>
            </a:ext>
          </a:extLst>
        </xdr:cNvPr>
        <xdr:cNvCxnSpPr/>
      </xdr:nvCxnSpPr>
      <xdr:spPr>
        <a:xfrm flipV="1">
          <a:off x="9411631" y="95828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58081</xdr:colOff>
      <xdr:row>54</xdr:row>
      <xdr:rowOff>161846</xdr:rowOff>
    </xdr:from>
    <xdr:to>
      <xdr:col>18</xdr:col>
      <xdr:colOff>562028</xdr:colOff>
      <xdr:row>54</xdr:row>
      <xdr:rowOff>163164</xdr:rowOff>
    </xdr:to>
    <xdr:cxnSp macro="">
      <xdr:nvCxnSpPr>
        <xdr:cNvPr id="190" name="Straight Connector 189">
          <a:extLst>
            <a:ext uri="{FF2B5EF4-FFF2-40B4-BE49-F238E27FC236}">
              <a16:creationId xmlns:a16="http://schemas.microsoft.com/office/drawing/2014/main" id="{87A08F78-B09B-4234-8089-BB5C4BD0772C}"/>
            </a:ext>
          </a:extLst>
        </xdr:cNvPr>
        <xdr:cNvCxnSpPr/>
      </xdr:nvCxnSpPr>
      <xdr:spPr>
        <a:xfrm flipV="1">
          <a:off x="10630831" y="95852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58081</xdr:colOff>
      <xdr:row>54</xdr:row>
      <xdr:rowOff>159446</xdr:rowOff>
    </xdr:from>
    <xdr:to>
      <xdr:col>18</xdr:col>
      <xdr:colOff>562028</xdr:colOff>
      <xdr:row>54</xdr:row>
      <xdr:rowOff>160764</xdr:rowOff>
    </xdr:to>
    <xdr:cxnSp macro="">
      <xdr:nvCxnSpPr>
        <xdr:cNvPr id="191" name="Straight Connector 190">
          <a:extLst>
            <a:ext uri="{FF2B5EF4-FFF2-40B4-BE49-F238E27FC236}">
              <a16:creationId xmlns:a16="http://schemas.microsoft.com/office/drawing/2014/main" id="{F46A821E-540E-478A-A629-0A646FF87C68}"/>
            </a:ext>
          </a:extLst>
        </xdr:cNvPr>
        <xdr:cNvCxnSpPr/>
      </xdr:nvCxnSpPr>
      <xdr:spPr>
        <a:xfrm flipV="1">
          <a:off x="10630831" y="95828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58081</xdr:colOff>
      <xdr:row>54</xdr:row>
      <xdr:rowOff>161846</xdr:rowOff>
    </xdr:from>
    <xdr:to>
      <xdr:col>20</xdr:col>
      <xdr:colOff>562028</xdr:colOff>
      <xdr:row>54</xdr:row>
      <xdr:rowOff>163164</xdr:rowOff>
    </xdr:to>
    <xdr:cxnSp macro="">
      <xdr:nvCxnSpPr>
        <xdr:cNvPr id="192" name="Straight Connector 191">
          <a:extLst>
            <a:ext uri="{FF2B5EF4-FFF2-40B4-BE49-F238E27FC236}">
              <a16:creationId xmlns:a16="http://schemas.microsoft.com/office/drawing/2014/main" id="{D8335382-03F9-4FC8-BA7E-56B087387CFC}"/>
            </a:ext>
          </a:extLst>
        </xdr:cNvPr>
        <xdr:cNvCxnSpPr/>
      </xdr:nvCxnSpPr>
      <xdr:spPr>
        <a:xfrm flipV="1">
          <a:off x="11850031" y="95852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58081</xdr:colOff>
      <xdr:row>54</xdr:row>
      <xdr:rowOff>159446</xdr:rowOff>
    </xdr:from>
    <xdr:to>
      <xdr:col>20</xdr:col>
      <xdr:colOff>562028</xdr:colOff>
      <xdr:row>54</xdr:row>
      <xdr:rowOff>160764</xdr:rowOff>
    </xdr:to>
    <xdr:cxnSp macro="">
      <xdr:nvCxnSpPr>
        <xdr:cNvPr id="193" name="Straight Connector 192">
          <a:extLst>
            <a:ext uri="{FF2B5EF4-FFF2-40B4-BE49-F238E27FC236}">
              <a16:creationId xmlns:a16="http://schemas.microsoft.com/office/drawing/2014/main" id="{73308C76-8C0A-4B57-B98B-A58BF67357E0}"/>
            </a:ext>
          </a:extLst>
        </xdr:cNvPr>
        <xdr:cNvCxnSpPr/>
      </xdr:nvCxnSpPr>
      <xdr:spPr>
        <a:xfrm flipV="1">
          <a:off x="11850031" y="95828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58081</xdr:colOff>
      <xdr:row>55</xdr:row>
      <xdr:rowOff>4246</xdr:rowOff>
    </xdr:from>
    <xdr:to>
      <xdr:col>12</xdr:col>
      <xdr:colOff>562028</xdr:colOff>
      <xdr:row>55</xdr:row>
      <xdr:rowOff>5564</xdr:rowOff>
    </xdr:to>
    <xdr:cxnSp macro="">
      <xdr:nvCxnSpPr>
        <xdr:cNvPr id="194" name="Straight Connector 193">
          <a:extLst>
            <a:ext uri="{FF2B5EF4-FFF2-40B4-BE49-F238E27FC236}">
              <a16:creationId xmlns:a16="http://schemas.microsoft.com/office/drawing/2014/main" id="{184D019A-7F65-41DF-A55B-ABD268DC9F66}"/>
            </a:ext>
          </a:extLst>
        </xdr:cNvPr>
        <xdr:cNvCxnSpPr/>
      </xdr:nvCxnSpPr>
      <xdr:spPr>
        <a:xfrm flipV="1">
          <a:off x="6973231" y="96117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58081</xdr:colOff>
      <xdr:row>55</xdr:row>
      <xdr:rowOff>4246</xdr:rowOff>
    </xdr:from>
    <xdr:to>
      <xdr:col>14</xdr:col>
      <xdr:colOff>562028</xdr:colOff>
      <xdr:row>55</xdr:row>
      <xdr:rowOff>5564</xdr:rowOff>
    </xdr:to>
    <xdr:cxnSp macro="">
      <xdr:nvCxnSpPr>
        <xdr:cNvPr id="195" name="Straight Connector 194">
          <a:extLst>
            <a:ext uri="{FF2B5EF4-FFF2-40B4-BE49-F238E27FC236}">
              <a16:creationId xmlns:a16="http://schemas.microsoft.com/office/drawing/2014/main" id="{5F359C24-BEF2-4356-99CE-C2838D3149B3}"/>
            </a:ext>
          </a:extLst>
        </xdr:cNvPr>
        <xdr:cNvCxnSpPr/>
      </xdr:nvCxnSpPr>
      <xdr:spPr>
        <a:xfrm flipV="1">
          <a:off x="8192431" y="96117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58081</xdr:colOff>
      <xdr:row>55</xdr:row>
      <xdr:rowOff>4246</xdr:rowOff>
    </xdr:from>
    <xdr:to>
      <xdr:col>16</xdr:col>
      <xdr:colOff>562028</xdr:colOff>
      <xdr:row>55</xdr:row>
      <xdr:rowOff>5564</xdr:rowOff>
    </xdr:to>
    <xdr:cxnSp macro="">
      <xdr:nvCxnSpPr>
        <xdr:cNvPr id="196" name="Straight Connector 195">
          <a:extLst>
            <a:ext uri="{FF2B5EF4-FFF2-40B4-BE49-F238E27FC236}">
              <a16:creationId xmlns:a16="http://schemas.microsoft.com/office/drawing/2014/main" id="{75207A8F-8235-47AB-8659-1B0590DA95C0}"/>
            </a:ext>
          </a:extLst>
        </xdr:cNvPr>
        <xdr:cNvCxnSpPr/>
      </xdr:nvCxnSpPr>
      <xdr:spPr>
        <a:xfrm flipV="1">
          <a:off x="9411631" y="96117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58081</xdr:colOff>
      <xdr:row>55</xdr:row>
      <xdr:rowOff>4246</xdr:rowOff>
    </xdr:from>
    <xdr:to>
      <xdr:col>18</xdr:col>
      <xdr:colOff>562028</xdr:colOff>
      <xdr:row>55</xdr:row>
      <xdr:rowOff>5564</xdr:rowOff>
    </xdr:to>
    <xdr:cxnSp macro="">
      <xdr:nvCxnSpPr>
        <xdr:cNvPr id="197" name="Straight Connector 196">
          <a:extLst>
            <a:ext uri="{FF2B5EF4-FFF2-40B4-BE49-F238E27FC236}">
              <a16:creationId xmlns:a16="http://schemas.microsoft.com/office/drawing/2014/main" id="{44407020-6FC4-4C51-B82F-46A6DAB08BB4}"/>
            </a:ext>
          </a:extLst>
        </xdr:cNvPr>
        <xdr:cNvCxnSpPr/>
      </xdr:nvCxnSpPr>
      <xdr:spPr>
        <a:xfrm flipV="1">
          <a:off x="10630831" y="96117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58081</xdr:colOff>
      <xdr:row>55</xdr:row>
      <xdr:rowOff>4246</xdr:rowOff>
    </xdr:from>
    <xdr:to>
      <xdr:col>20</xdr:col>
      <xdr:colOff>562028</xdr:colOff>
      <xdr:row>55</xdr:row>
      <xdr:rowOff>5564</xdr:rowOff>
    </xdr:to>
    <xdr:cxnSp macro="">
      <xdr:nvCxnSpPr>
        <xdr:cNvPr id="198" name="Straight Connector 197">
          <a:extLst>
            <a:ext uri="{FF2B5EF4-FFF2-40B4-BE49-F238E27FC236}">
              <a16:creationId xmlns:a16="http://schemas.microsoft.com/office/drawing/2014/main" id="{A7B95408-0549-409F-8AA0-D31A706AD453}"/>
            </a:ext>
          </a:extLst>
        </xdr:cNvPr>
        <xdr:cNvCxnSpPr/>
      </xdr:nvCxnSpPr>
      <xdr:spPr>
        <a:xfrm flipV="1">
          <a:off x="11850031" y="96117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69448</xdr:colOff>
      <xdr:row>20</xdr:row>
      <xdr:rowOff>166161</xdr:rowOff>
    </xdr:from>
    <xdr:to>
      <xdr:col>26</xdr:col>
      <xdr:colOff>709528</xdr:colOff>
      <xdr:row>20</xdr:row>
      <xdr:rowOff>166161</xdr:rowOff>
    </xdr:to>
    <xdr:cxnSp macro="">
      <xdr:nvCxnSpPr>
        <xdr:cNvPr id="199" name="Straight Connector 198">
          <a:extLst>
            <a:ext uri="{FF2B5EF4-FFF2-40B4-BE49-F238E27FC236}">
              <a16:creationId xmlns:a16="http://schemas.microsoft.com/office/drawing/2014/main" id="{2E80B6A7-3567-4759-A348-E79DC8A15346}"/>
            </a:ext>
          </a:extLst>
        </xdr:cNvPr>
        <xdr:cNvCxnSpPr/>
      </xdr:nvCxnSpPr>
      <xdr:spPr>
        <a:xfrm>
          <a:off x="16738198" y="3607861"/>
          <a:ext cx="5765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69448</xdr:colOff>
      <xdr:row>20</xdr:row>
      <xdr:rowOff>166161</xdr:rowOff>
    </xdr:from>
    <xdr:to>
      <xdr:col>26</xdr:col>
      <xdr:colOff>709528</xdr:colOff>
      <xdr:row>20</xdr:row>
      <xdr:rowOff>166161</xdr:rowOff>
    </xdr:to>
    <xdr:cxnSp macro="">
      <xdr:nvCxnSpPr>
        <xdr:cNvPr id="200" name="Straight Connector 199">
          <a:extLst>
            <a:ext uri="{FF2B5EF4-FFF2-40B4-BE49-F238E27FC236}">
              <a16:creationId xmlns:a16="http://schemas.microsoft.com/office/drawing/2014/main" id="{B5BC2DF2-F98A-438E-ABD6-0ABE7CFD56EB}"/>
            </a:ext>
          </a:extLst>
        </xdr:cNvPr>
        <xdr:cNvCxnSpPr/>
      </xdr:nvCxnSpPr>
      <xdr:spPr>
        <a:xfrm>
          <a:off x="16738198" y="3607861"/>
          <a:ext cx="5765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71627</xdr:colOff>
      <xdr:row>34</xdr:row>
      <xdr:rowOff>164113</xdr:rowOff>
    </xdr:from>
    <xdr:to>
      <xdr:col>26</xdr:col>
      <xdr:colOff>711707</xdr:colOff>
      <xdr:row>34</xdr:row>
      <xdr:rowOff>164113</xdr:rowOff>
    </xdr:to>
    <xdr:cxnSp macro="">
      <xdr:nvCxnSpPr>
        <xdr:cNvPr id="201" name="Straight Connector 200">
          <a:extLst>
            <a:ext uri="{FF2B5EF4-FFF2-40B4-BE49-F238E27FC236}">
              <a16:creationId xmlns:a16="http://schemas.microsoft.com/office/drawing/2014/main" id="{02B84235-D819-43EC-BC09-060D82BC37B8}"/>
            </a:ext>
          </a:extLst>
        </xdr:cNvPr>
        <xdr:cNvCxnSpPr/>
      </xdr:nvCxnSpPr>
      <xdr:spPr>
        <a:xfrm>
          <a:off x="16740377" y="6196613"/>
          <a:ext cx="5765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81638</xdr:colOff>
      <xdr:row>11</xdr:row>
      <xdr:rowOff>169534</xdr:rowOff>
    </xdr:from>
    <xdr:to>
      <xdr:col>20</xdr:col>
      <xdr:colOff>585586</xdr:colOff>
      <xdr:row>11</xdr:row>
      <xdr:rowOff>170691</xdr:rowOff>
    </xdr:to>
    <xdr:cxnSp macro="">
      <xdr:nvCxnSpPr>
        <xdr:cNvPr id="202" name="Straight Connector 201">
          <a:extLst>
            <a:ext uri="{FF2B5EF4-FFF2-40B4-BE49-F238E27FC236}">
              <a16:creationId xmlns:a16="http://schemas.microsoft.com/office/drawing/2014/main" id="{100D7286-D6A9-489C-9B82-7068D3856491}"/>
            </a:ext>
          </a:extLst>
        </xdr:cNvPr>
        <xdr:cNvCxnSpPr/>
      </xdr:nvCxnSpPr>
      <xdr:spPr>
        <a:xfrm flipV="1">
          <a:off x="11873588" y="208088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74332</xdr:colOff>
      <xdr:row>64</xdr:row>
      <xdr:rowOff>159393</xdr:rowOff>
    </xdr:from>
    <xdr:to>
      <xdr:col>25</xdr:col>
      <xdr:colOff>714412</xdr:colOff>
      <xdr:row>64</xdr:row>
      <xdr:rowOff>159393</xdr:rowOff>
    </xdr:to>
    <xdr:cxnSp macro="">
      <xdr:nvCxnSpPr>
        <xdr:cNvPr id="203" name="Straight Connector 202">
          <a:extLst>
            <a:ext uri="{FF2B5EF4-FFF2-40B4-BE49-F238E27FC236}">
              <a16:creationId xmlns:a16="http://schemas.microsoft.com/office/drawing/2014/main" id="{390789CC-3750-42FC-9E6F-3D5972D8667A}"/>
            </a:ext>
          </a:extLst>
        </xdr:cNvPr>
        <xdr:cNvCxnSpPr/>
      </xdr:nvCxnSpPr>
      <xdr:spPr>
        <a:xfrm>
          <a:off x="15981082" y="11303643"/>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55843</xdr:colOff>
      <xdr:row>26</xdr:row>
      <xdr:rowOff>139492</xdr:rowOff>
    </xdr:from>
    <xdr:to>
      <xdr:col>4</xdr:col>
      <xdr:colOff>541946</xdr:colOff>
      <xdr:row>26</xdr:row>
      <xdr:rowOff>139492</xdr:rowOff>
    </xdr:to>
    <xdr:cxnSp macro="">
      <xdr:nvCxnSpPr>
        <xdr:cNvPr id="204" name="Straight Connector 203">
          <a:extLst>
            <a:ext uri="{FF2B5EF4-FFF2-40B4-BE49-F238E27FC236}">
              <a16:creationId xmlns:a16="http://schemas.microsoft.com/office/drawing/2014/main" id="{A79BA362-71FA-4F7D-A032-6879935E8AD1}"/>
            </a:ext>
          </a:extLst>
        </xdr:cNvPr>
        <xdr:cNvCxnSpPr/>
      </xdr:nvCxnSpPr>
      <xdr:spPr>
        <a:xfrm>
          <a:off x="2773643" y="4686092"/>
          <a:ext cx="486103"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55843</xdr:colOff>
      <xdr:row>32</xdr:row>
      <xdr:rowOff>169413</xdr:rowOff>
    </xdr:from>
    <xdr:to>
      <xdr:col>4</xdr:col>
      <xdr:colOff>541946</xdr:colOff>
      <xdr:row>32</xdr:row>
      <xdr:rowOff>169413</xdr:rowOff>
    </xdr:to>
    <xdr:cxnSp macro="">
      <xdr:nvCxnSpPr>
        <xdr:cNvPr id="205" name="Straight Connector 204">
          <a:extLst>
            <a:ext uri="{FF2B5EF4-FFF2-40B4-BE49-F238E27FC236}">
              <a16:creationId xmlns:a16="http://schemas.microsoft.com/office/drawing/2014/main" id="{5256646A-881F-480B-B63C-CD7AF75525B1}"/>
            </a:ext>
          </a:extLst>
        </xdr:cNvPr>
        <xdr:cNvCxnSpPr/>
      </xdr:nvCxnSpPr>
      <xdr:spPr>
        <a:xfrm>
          <a:off x="2773643" y="5833613"/>
          <a:ext cx="486103"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55843</xdr:colOff>
      <xdr:row>33</xdr:row>
      <xdr:rowOff>167269</xdr:rowOff>
    </xdr:from>
    <xdr:to>
      <xdr:col>4</xdr:col>
      <xdr:colOff>541946</xdr:colOff>
      <xdr:row>33</xdr:row>
      <xdr:rowOff>167269</xdr:rowOff>
    </xdr:to>
    <xdr:cxnSp macro="">
      <xdr:nvCxnSpPr>
        <xdr:cNvPr id="206" name="Straight Connector 205">
          <a:extLst>
            <a:ext uri="{FF2B5EF4-FFF2-40B4-BE49-F238E27FC236}">
              <a16:creationId xmlns:a16="http://schemas.microsoft.com/office/drawing/2014/main" id="{E56D52D0-B41B-47AC-94E6-18F6619FAAB7}"/>
            </a:ext>
          </a:extLst>
        </xdr:cNvPr>
        <xdr:cNvCxnSpPr/>
      </xdr:nvCxnSpPr>
      <xdr:spPr>
        <a:xfrm>
          <a:off x="2773643" y="6015619"/>
          <a:ext cx="486103"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55843</xdr:colOff>
      <xdr:row>26</xdr:row>
      <xdr:rowOff>139492</xdr:rowOff>
    </xdr:from>
    <xdr:to>
      <xdr:col>4</xdr:col>
      <xdr:colOff>541946</xdr:colOff>
      <xdr:row>26</xdr:row>
      <xdr:rowOff>139492</xdr:rowOff>
    </xdr:to>
    <xdr:cxnSp macro="">
      <xdr:nvCxnSpPr>
        <xdr:cNvPr id="207" name="Straight Connector 206">
          <a:extLst>
            <a:ext uri="{FF2B5EF4-FFF2-40B4-BE49-F238E27FC236}">
              <a16:creationId xmlns:a16="http://schemas.microsoft.com/office/drawing/2014/main" id="{D47C5CD3-CC3A-43F8-A028-95AB2ACE5C38}"/>
            </a:ext>
          </a:extLst>
        </xdr:cNvPr>
        <xdr:cNvCxnSpPr/>
      </xdr:nvCxnSpPr>
      <xdr:spPr>
        <a:xfrm>
          <a:off x="2773643" y="4686092"/>
          <a:ext cx="486103"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55843</xdr:colOff>
      <xdr:row>32</xdr:row>
      <xdr:rowOff>169413</xdr:rowOff>
    </xdr:from>
    <xdr:to>
      <xdr:col>4</xdr:col>
      <xdr:colOff>541946</xdr:colOff>
      <xdr:row>32</xdr:row>
      <xdr:rowOff>169413</xdr:rowOff>
    </xdr:to>
    <xdr:cxnSp macro="">
      <xdr:nvCxnSpPr>
        <xdr:cNvPr id="208" name="Straight Connector 207">
          <a:extLst>
            <a:ext uri="{FF2B5EF4-FFF2-40B4-BE49-F238E27FC236}">
              <a16:creationId xmlns:a16="http://schemas.microsoft.com/office/drawing/2014/main" id="{5E882BA2-6DD7-4AB8-AB75-C62486C4DFC2}"/>
            </a:ext>
          </a:extLst>
        </xdr:cNvPr>
        <xdr:cNvCxnSpPr/>
      </xdr:nvCxnSpPr>
      <xdr:spPr>
        <a:xfrm>
          <a:off x="2773643" y="5833613"/>
          <a:ext cx="486103"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55843</xdr:colOff>
      <xdr:row>33</xdr:row>
      <xdr:rowOff>167269</xdr:rowOff>
    </xdr:from>
    <xdr:to>
      <xdr:col>4</xdr:col>
      <xdr:colOff>541946</xdr:colOff>
      <xdr:row>33</xdr:row>
      <xdr:rowOff>167269</xdr:rowOff>
    </xdr:to>
    <xdr:cxnSp macro="">
      <xdr:nvCxnSpPr>
        <xdr:cNvPr id="209" name="Straight Connector 208">
          <a:extLst>
            <a:ext uri="{FF2B5EF4-FFF2-40B4-BE49-F238E27FC236}">
              <a16:creationId xmlns:a16="http://schemas.microsoft.com/office/drawing/2014/main" id="{4906CB5E-4817-450D-9C8A-C9E6E6217E4F}"/>
            </a:ext>
          </a:extLst>
        </xdr:cNvPr>
        <xdr:cNvCxnSpPr/>
      </xdr:nvCxnSpPr>
      <xdr:spPr>
        <a:xfrm>
          <a:off x="2773643" y="6015619"/>
          <a:ext cx="486103"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25099</xdr:colOff>
      <xdr:row>38</xdr:row>
      <xdr:rowOff>175830</xdr:rowOff>
    </xdr:from>
    <xdr:to>
      <xdr:col>2</xdr:col>
      <xdr:colOff>665179</xdr:colOff>
      <xdr:row>38</xdr:row>
      <xdr:rowOff>175830</xdr:rowOff>
    </xdr:to>
    <xdr:cxnSp macro="">
      <xdr:nvCxnSpPr>
        <xdr:cNvPr id="210" name="Straight Connector 209">
          <a:extLst>
            <a:ext uri="{FF2B5EF4-FFF2-40B4-BE49-F238E27FC236}">
              <a16:creationId xmlns:a16="http://schemas.microsoft.com/office/drawing/2014/main" id="{DA2C428B-54B4-4C83-A65D-8E184DBBF29B}"/>
            </a:ext>
          </a:extLst>
        </xdr:cNvPr>
        <xdr:cNvCxnSpPr/>
      </xdr:nvCxnSpPr>
      <xdr:spPr>
        <a:xfrm>
          <a:off x="1244299" y="6805230"/>
          <a:ext cx="58293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22202</xdr:colOff>
      <xdr:row>38</xdr:row>
      <xdr:rowOff>170983</xdr:rowOff>
    </xdr:from>
    <xdr:to>
      <xdr:col>4</xdr:col>
      <xdr:colOff>589130</xdr:colOff>
      <xdr:row>38</xdr:row>
      <xdr:rowOff>170983</xdr:rowOff>
    </xdr:to>
    <xdr:cxnSp macro="">
      <xdr:nvCxnSpPr>
        <xdr:cNvPr id="211" name="Straight Connector 210">
          <a:extLst>
            <a:ext uri="{FF2B5EF4-FFF2-40B4-BE49-F238E27FC236}">
              <a16:creationId xmlns:a16="http://schemas.microsoft.com/office/drawing/2014/main" id="{664B4B13-66CE-4F5C-A617-A93D894AEB9E}"/>
            </a:ext>
          </a:extLst>
        </xdr:cNvPr>
        <xdr:cNvCxnSpPr/>
      </xdr:nvCxnSpPr>
      <xdr:spPr>
        <a:xfrm>
          <a:off x="2740002" y="6800383"/>
          <a:ext cx="516128"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77421</xdr:colOff>
      <xdr:row>11</xdr:row>
      <xdr:rowOff>169534</xdr:rowOff>
    </xdr:from>
    <xdr:to>
      <xdr:col>16</xdr:col>
      <xdr:colOff>581369</xdr:colOff>
      <xdr:row>11</xdr:row>
      <xdr:rowOff>170691</xdr:rowOff>
    </xdr:to>
    <xdr:cxnSp macro="">
      <xdr:nvCxnSpPr>
        <xdr:cNvPr id="212" name="Straight Connector 211">
          <a:extLst>
            <a:ext uri="{FF2B5EF4-FFF2-40B4-BE49-F238E27FC236}">
              <a16:creationId xmlns:a16="http://schemas.microsoft.com/office/drawing/2014/main" id="{273F3EB0-4440-4153-9C96-55D1D14258A2}"/>
            </a:ext>
          </a:extLst>
        </xdr:cNvPr>
        <xdr:cNvCxnSpPr/>
      </xdr:nvCxnSpPr>
      <xdr:spPr>
        <a:xfrm flipV="1">
          <a:off x="9430971" y="208088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81638</xdr:colOff>
      <xdr:row>11</xdr:row>
      <xdr:rowOff>169534</xdr:rowOff>
    </xdr:from>
    <xdr:to>
      <xdr:col>18</xdr:col>
      <xdr:colOff>585586</xdr:colOff>
      <xdr:row>11</xdr:row>
      <xdr:rowOff>170691</xdr:rowOff>
    </xdr:to>
    <xdr:cxnSp macro="">
      <xdr:nvCxnSpPr>
        <xdr:cNvPr id="213" name="Straight Connector 212">
          <a:extLst>
            <a:ext uri="{FF2B5EF4-FFF2-40B4-BE49-F238E27FC236}">
              <a16:creationId xmlns:a16="http://schemas.microsoft.com/office/drawing/2014/main" id="{53E37D62-7E68-4008-B692-1F65B67E1F33}"/>
            </a:ext>
          </a:extLst>
        </xdr:cNvPr>
        <xdr:cNvCxnSpPr/>
      </xdr:nvCxnSpPr>
      <xdr:spPr>
        <a:xfrm flipV="1">
          <a:off x="10654388" y="208088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81505</xdr:colOff>
      <xdr:row>11</xdr:row>
      <xdr:rowOff>169534</xdr:rowOff>
    </xdr:from>
    <xdr:to>
      <xdr:col>20</xdr:col>
      <xdr:colOff>585453</xdr:colOff>
      <xdr:row>11</xdr:row>
      <xdr:rowOff>170691</xdr:rowOff>
    </xdr:to>
    <xdr:cxnSp macro="">
      <xdr:nvCxnSpPr>
        <xdr:cNvPr id="214" name="Straight Connector 213">
          <a:extLst>
            <a:ext uri="{FF2B5EF4-FFF2-40B4-BE49-F238E27FC236}">
              <a16:creationId xmlns:a16="http://schemas.microsoft.com/office/drawing/2014/main" id="{9B1101AC-0A6C-44DC-BD5E-0120DAB7437D}"/>
            </a:ext>
          </a:extLst>
        </xdr:cNvPr>
        <xdr:cNvCxnSpPr/>
      </xdr:nvCxnSpPr>
      <xdr:spPr>
        <a:xfrm flipV="1">
          <a:off x="11873455" y="208088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81638</xdr:colOff>
      <xdr:row>11</xdr:row>
      <xdr:rowOff>169534</xdr:rowOff>
    </xdr:from>
    <xdr:to>
      <xdr:col>20</xdr:col>
      <xdr:colOff>585586</xdr:colOff>
      <xdr:row>11</xdr:row>
      <xdr:rowOff>170691</xdr:rowOff>
    </xdr:to>
    <xdr:cxnSp macro="">
      <xdr:nvCxnSpPr>
        <xdr:cNvPr id="215" name="Straight Connector 214">
          <a:extLst>
            <a:ext uri="{FF2B5EF4-FFF2-40B4-BE49-F238E27FC236}">
              <a16:creationId xmlns:a16="http://schemas.microsoft.com/office/drawing/2014/main" id="{1E199F70-E822-49F1-A8C9-CF3DBB44AEA4}"/>
            </a:ext>
          </a:extLst>
        </xdr:cNvPr>
        <xdr:cNvCxnSpPr/>
      </xdr:nvCxnSpPr>
      <xdr:spPr>
        <a:xfrm flipV="1">
          <a:off x="11873588" y="208088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81638</xdr:colOff>
      <xdr:row>11</xdr:row>
      <xdr:rowOff>169534</xdr:rowOff>
    </xdr:from>
    <xdr:to>
      <xdr:col>20</xdr:col>
      <xdr:colOff>585586</xdr:colOff>
      <xdr:row>11</xdr:row>
      <xdr:rowOff>170691</xdr:rowOff>
    </xdr:to>
    <xdr:cxnSp macro="">
      <xdr:nvCxnSpPr>
        <xdr:cNvPr id="216" name="Straight Connector 215">
          <a:extLst>
            <a:ext uri="{FF2B5EF4-FFF2-40B4-BE49-F238E27FC236}">
              <a16:creationId xmlns:a16="http://schemas.microsoft.com/office/drawing/2014/main" id="{3728B064-3848-4675-9693-5D996BC249F8}"/>
            </a:ext>
          </a:extLst>
        </xdr:cNvPr>
        <xdr:cNvCxnSpPr/>
      </xdr:nvCxnSpPr>
      <xdr:spPr>
        <a:xfrm flipV="1">
          <a:off x="11873588" y="208088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81638</xdr:colOff>
      <xdr:row>11</xdr:row>
      <xdr:rowOff>169534</xdr:rowOff>
    </xdr:from>
    <xdr:to>
      <xdr:col>20</xdr:col>
      <xdr:colOff>585586</xdr:colOff>
      <xdr:row>11</xdr:row>
      <xdr:rowOff>170691</xdr:rowOff>
    </xdr:to>
    <xdr:cxnSp macro="">
      <xdr:nvCxnSpPr>
        <xdr:cNvPr id="217" name="Straight Connector 216">
          <a:extLst>
            <a:ext uri="{FF2B5EF4-FFF2-40B4-BE49-F238E27FC236}">
              <a16:creationId xmlns:a16="http://schemas.microsoft.com/office/drawing/2014/main" id="{4DE706D6-E091-4F89-B88E-E2C1F629B940}"/>
            </a:ext>
          </a:extLst>
        </xdr:cNvPr>
        <xdr:cNvCxnSpPr/>
      </xdr:nvCxnSpPr>
      <xdr:spPr>
        <a:xfrm flipV="1">
          <a:off x="11873588" y="208088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77421</xdr:colOff>
      <xdr:row>11</xdr:row>
      <xdr:rowOff>169534</xdr:rowOff>
    </xdr:from>
    <xdr:to>
      <xdr:col>16</xdr:col>
      <xdr:colOff>581369</xdr:colOff>
      <xdr:row>11</xdr:row>
      <xdr:rowOff>170691</xdr:rowOff>
    </xdr:to>
    <xdr:cxnSp macro="">
      <xdr:nvCxnSpPr>
        <xdr:cNvPr id="218" name="Straight Connector 217">
          <a:extLst>
            <a:ext uri="{FF2B5EF4-FFF2-40B4-BE49-F238E27FC236}">
              <a16:creationId xmlns:a16="http://schemas.microsoft.com/office/drawing/2014/main" id="{5E23283B-2AE3-485D-8EA9-D43BC5C8BB05}"/>
            </a:ext>
          </a:extLst>
        </xdr:cNvPr>
        <xdr:cNvCxnSpPr/>
      </xdr:nvCxnSpPr>
      <xdr:spPr>
        <a:xfrm flipV="1">
          <a:off x="9430971" y="208088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81638</xdr:colOff>
      <xdr:row>11</xdr:row>
      <xdr:rowOff>169534</xdr:rowOff>
    </xdr:from>
    <xdr:to>
      <xdr:col>18</xdr:col>
      <xdr:colOff>585586</xdr:colOff>
      <xdr:row>11</xdr:row>
      <xdr:rowOff>170691</xdr:rowOff>
    </xdr:to>
    <xdr:cxnSp macro="">
      <xdr:nvCxnSpPr>
        <xdr:cNvPr id="219" name="Straight Connector 218">
          <a:extLst>
            <a:ext uri="{FF2B5EF4-FFF2-40B4-BE49-F238E27FC236}">
              <a16:creationId xmlns:a16="http://schemas.microsoft.com/office/drawing/2014/main" id="{5A5B81DA-634B-4345-B636-C733CB236AD7}"/>
            </a:ext>
          </a:extLst>
        </xdr:cNvPr>
        <xdr:cNvCxnSpPr/>
      </xdr:nvCxnSpPr>
      <xdr:spPr>
        <a:xfrm flipV="1">
          <a:off x="10654388" y="208088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81505</xdr:colOff>
      <xdr:row>11</xdr:row>
      <xdr:rowOff>169534</xdr:rowOff>
    </xdr:from>
    <xdr:to>
      <xdr:col>20</xdr:col>
      <xdr:colOff>585453</xdr:colOff>
      <xdr:row>11</xdr:row>
      <xdr:rowOff>170691</xdr:rowOff>
    </xdr:to>
    <xdr:cxnSp macro="">
      <xdr:nvCxnSpPr>
        <xdr:cNvPr id="220" name="Straight Connector 219">
          <a:extLst>
            <a:ext uri="{FF2B5EF4-FFF2-40B4-BE49-F238E27FC236}">
              <a16:creationId xmlns:a16="http://schemas.microsoft.com/office/drawing/2014/main" id="{C3A8A5CB-33E3-4DA5-B704-95F160A2F2D6}"/>
            </a:ext>
          </a:extLst>
        </xdr:cNvPr>
        <xdr:cNvCxnSpPr/>
      </xdr:nvCxnSpPr>
      <xdr:spPr>
        <a:xfrm flipV="1">
          <a:off x="11873455" y="208088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81638</xdr:colOff>
      <xdr:row>11</xdr:row>
      <xdr:rowOff>169534</xdr:rowOff>
    </xdr:from>
    <xdr:to>
      <xdr:col>20</xdr:col>
      <xdr:colOff>585586</xdr:colOff>
      <xdr:row>11</xdr:row>
      <xdr:rowOff>170691</xdr:rowOff>
    </xdr:to>
    <xdr:cxnSp macro="">
      <xdr:nvCxnSpPr>
        <xdr:cNvPr id="221" name="Straight Connector 220">
          <a:extLst>
            <a:ext uri="{FF2B5EF4-FFF2-40B4-BE49-F238E27FC236}">
              <a16:creationId xmlns:a16="http://schemas.microsoft.com/office/drawing/2014/main" id="{8E47D947-9A80-400E-AAC7-CB3802BDABAE}"/>
            </a:ext>
          </a:extLst>
        </xdr:cNvPr>
        <xdr:cNvCxnSpPr/>
      </xdr:nvCxnSpPr>
      <xdr:spPr>
        <a:xfrm flipV="1">
          <a:off x="11873588" y="208088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81638</xdr:colOff>
      <xdr:row>11</xdr:row>
      <xdr:rowOff>169534</xdr:rowOff>
    </xdr:from>
    <xdr:to>
      <xdr:col>20</xdr:col>
      <xdr:colOff>585586</xdr:colOff>
      <xdr:row>11</xdr:row>
      <xdr:rowOff>170691</xdr:rowOff>
    </xdr:to>
    <xdr:cxnSp macro="">
      <xdr:nvCxnSpPr>
        <xdr:cNvPr id="222" name="Straight Connector 221">
          <a:extLst>
            <a:ext uri="{FF2B5EF4-FFF2-40B4-BE49-F238E27FC236}">
              <a16:creationId xmlns:a16="http://schemas.microsoft.com/office/drawing/2014/main" id="{AAF27225-8B80-4A12-B77E-A99B343C8E62}"/>
            </a:ext>
          </a:extLst>
        </xdr:cNvPr>
        <xdr:cNvCxnSpPr/>
      </xdr:nvCxnSpPr>
      <xdr:spPr>
        <a:xfrm flipV="1">
          <a:off x="11873588" y="208088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81638</xdr:colOff>
      <xdr:row>11</xdr:row>
      <xdr:rowOff>169534</xdr:rowOff>
    </xdr:from>
    <xdr:to>
      <xdr:col>20</xdr:col>
      <xdr:colOff>585586</xdr:colOff>
      <xdr:row>11</xdr:row>
      <xdr:rowOff>170691</xdr:rowOff>
    </xdr:to>
    <xdr:cxnSp macro="">
      <xdr:nvCxnSpPr>
        <xdr:cNvPr id="223" name="Straight Connector 222">
          <a:extLst>
            <a:ext uri="{FF2B5EF4-FFF2-40B4-BE49-F238E27FC236}">
              <a16:creationId xmlns:a16="http://schemas.microsoft.com/office/drawing/2014/main" id="{7FCB7CA1-31B5-421F-B18D-054F109FEB73}"/>
            </a:ext>
          </a:extLst>
        </xdr:cNvPr>
        <xdr:cNvCxnSpPr/>
      </xdr:nvCxnSpPr>
      <xdr:spPr>
        <a:xfrm flipV="1">
          <a:off x="11873588" y="208088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77421</xdr:colOff>
      <xdr:row>11</xdr:row>
      <xdr:rowOff>169534</xdr:rowOff>
    </xdr:from>
    <xdr:to>
      <xdr:col>16</xdr:col>
      <xdr:colOff>581369</xdr:colOff>
      <xdr:row>11</xdr:row>
      <xdr:rowOff>170691</xdr:rowOff>
    </xdr:to>
    <xdr:cxnSp macro="">
      <xdr:nvCxnSpPr>
        <xdr:cNvPr id="224" name="Straight Connector 223">
          <a:extLst>
            <a:ext uri="{FF2B5EF4-FFF2-40B4-BE49-F238E27FC236}">
              <a16:creationId xmlns:a16="http://schemas.microsoft.com/office/drawing/2014/main" id="{C822D124-1262-47D0-8726-2CD45A0CD6DF}"/>
            </a:ext>
          </a:extLst>
        </xdr:cNvPr>
        <xdr:cNvCxnSpPr/>
      </xdr:nvCxnSpPr>
      <xdr:spPr>
        <a:xfrm flipV="1">
          <a:off x="9430971" y="208088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81638</xdr:colOff>
      <xdr:row>11</xdr:row>
      <xdr:rowOff>169534</xdr:rowOff>
    </xdr:from>
    <xdr:to>
      <xdr:col>18</xdr:col>
      <xdr:colOff>585586</xdr:colOff>
      <xdr:row>11</xdr:row>
      <xdr:rowOff>170691</xdr:rowOff>
    </xdr:to>
    <xdr:cxnSp macro="">
      <xdr:nvCxnSpPr>
        <xdr:cNvPr id="225" name="Straight Connector 224">
          <a:extLst>
            <a:ext uri="{FF2B5EF4-FFF2-40B4-BE49-F238E27FC236}">
              <a16:creationId xmlns:a16="http://schemas.microsoft.com/office/drawing/2014/main" id="{C34B3F90-9057-42A7-9719-7B1138A8B406}"/>
            </a:ext>
          </a:extLst>
        </xdr:cNvPr>
        <xdr:cNvCxnSpPr/>
      </xdr:nvCxnSpPr>
      <xdr:spPr>
        <a:xfrm flipV="1">
          <a:off x="10654388" y="208088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55843</xdr:colOff>
      <xdr:row>26</xdr:row>
      <xdr:rowOff>139492</xdr:rowOff>
    </xdr:from>
    <xdr:to>
      <xdr:col>4</xdr:col>
      <xdr:colOff>541946</xdr:colOff>
      <xdr:row>26</xdr:row>
      <xdr:rowOff>139492</xdr:rowOff>
    </xdr:to>
    <xdr:cxnSp macro="">
      <xdr:nvCxnSpPr>
        <xdr:cNvPr id="2" name="Straight Connector 1">
          <a:extLst>
            <a:ext uri="{FF2B5EF4-FFF2-40B4-BE49-F238E27FC236}">
              <a16:creationId xmlns:a16="http://schemas.microsoft.com/office/drawing/2014/main" id="{9A4A3CA7-CA35-417C-BF1A-D00E381E19E2}"/>
            </a:ext>
          </a:extLst>
        </xdr:cNvPr>
        <xdr:cNvCxnSpPr/>
      </xdr:nvCxnSpPr>
      <xdr:spPr>
        <a:xfrm>
          <a:off x="2773643" y="4781342"/>
          <a:ext cx="486103"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55843</xdr:colOff>
      <xdr:row>32</xdr:row>
      <xdr:rowOff>169413</xdr:rowOff>
    </xdr:from>
    <xdr:to>
      <xdr:col>4</xdr:col>
      <xdr:colOff>541946</xdr:colOff>
      <xdr:row>32</xdr:row>
      <xdr:rowOff>169413</xdr:rowOff>
    </xdr:to>
    <xdr:cxnSp macro="">
      <xdr:nvCxnSpPr>
        <xdr:cNvPr id="3" name="Straight Connector 2">
          <a:extLst>
            <a:ext uri="{FF2B5EF4-FFF2-40B4-BE49-F238E27FC236}">
              <a16:creationId xmlns:a16="http://schemas.microsoft.com/office/drawing/2014/main" id="{902B5D7D-7FF3-4B69-9861-CB5AB475442A}"/>
            </a:ext>
          </a:extLst>
        </xdr:cNvPr>
        <xdr:cNvCxnSpPr/>
      </xdr:nvCxnSpPr>
      <xdr:spPr>
        <a:xfrm>
          <a:off x="2773643" y="5928863"/>
          <a:ext cx="486103"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55843</xdr:colOff>
      <xdr:row>33</xdr:row>
      <xdr:rowOff>167269</xdr:rowOff>
    </xdr:from>
    <xdr:to>
      <xdr:col>4</xdr:col>
      <xdr:colOff>541946</xdr:colOff>
      <xdr:row>33</xdr:row>
      <xdr:rowOff>167269</xdr:rowOff>
    </xdr:to>
    <xdr:cxnSp macro="">
      <xdr:nvCxnSpPr>
        <xdr:cNvPr id="4" name="Straight Connector 3">
          <a:extLst>
            <a:ext uri="{FF2B5EF4-FFF2-40B4-BE49-F238E27FC236}">
              <a16:creationId xmlns:a16="http://schemas.microsoft.com/office/drawing/2014/main" id="{E9E18E72-B4C2-4BFE-8BD7-25DEB32FF8A3}"/>
            </a:ext>
          </a:extLst>
        </xdr:cNvPr>
        <xdr:cNvCxnSpPr/>
      </xdr:nvCxnSpPr>
      <xdr:spPr>
        <a:xfrm>
          <a:off x="2773643" y="6110869"/>
          <a:ext cx="486103"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25099</xdr:colOff>
      <xdr:row>38</xdr:row>
      <xdr:rowOff>175830</xdr:rowOff>
    </xdr:from>
    <xdr:to>
      <xdr:col>2</xdr:col>
      <xdr:colOff>665179</xdr:colOff>
      <xdr:row>38</xdr:row>
      <xdr:rowOff>175830</xdr:rowOff>
    </xdr:to>
    <xdr:cxnSp macro="">
      <xdr:nvCxnSpPr>
        <xdr:cNvPr id="5" name="Straight Connector 4">
          <a:extLst>
            <a:ext uri="{FF2B5EF4-FFF2-40B4-BE49-F238E27FC236}">
              <a16:creationId xmlns:a16="http://schemas.microsoft.com/office/drawing/2014/main" id="{CC0BD09E-414B-4E7D-9186-08A71D8D1A78}"/>
            </a:ext>
          </a:extLst>
        </xdr:cNvPr>
        <xdr:cNvCxnSpPr/>
      </xdr:nvCxnSpPr>
      <xdr:spPr>
        <a:xfrm>
          <a:off x="1244299" y="6900480"/>
          <a:ext cx="58293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26112</xdr:colOff>
      <xdr:row>38</xdr:row>
      <xdr:rowOff>170983</xdr:rowOff>
    </xdr:from>
    <xdr:to>
      <xdr:col>3</xdr:col>
      <xdr:colOff>593040</xdr:colOff>
      <xdr:row>38</xdr:row>
      <xdr:rowOff>170983</xdr:rowOff>
    </xdr:to>
    <xdr:cxnSp macro="">
      <xdr:nvCxnSpPr>
        <xdr:cNvPr id="6" name="Straight Connector 5">
          <a:extLst>
            <a:ext uri="{FF2B5EF4-FFF2-40B4-BE49-F238E27FC236}">
              <a16:creationId xmlns:a16="http://schemas.microsoft.com/office/drawing/2014/main" id="{4098D5C7-F4CC-496C-9B67-6CD3D15CB856}"/>
            </a:ext>
          </a:extLst>
        </xdr:cNvPr>
        <xdr:cNvCxnSpPr/>
      </xdr:nvCxnSpPr>
      <xdr:spPr>
        <a:xfrm>
          <a:off x="1854912" y="6895633"/>
          <a:ext cx="566928"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22202</xdr:colOff>
      <xdr:row>38</xdr:row>
      <xdr:rowOff>170983</xdr:rowOff>
    </xdr:from>
    <xdr:to>
      <xdr:col>4</xdr:col>
      <xdr:colOff>589130</xdr:colOff>
      <xdr:row>38</xdr:row>
      <xdr:rowOff>170983</xdr:rowOff>
    </xdr:to>
    <xdr:cxnSp macro="">
      <xdr:nvCxnSpPr>
        <xdr:cNvPr id="7" name="Straight Connector 6">
          <a:extLst>
            <a:ext uri="{FF2B5EF4-FFF2-40B4-BE49-F238E27FC236}">
              <a16:creationId xmlns:a16="http://schemas.microsoft.com/office/drawing/2014/main" id="{E72A8437-D321-426B-822E-BD134B5A6C1D}"/>
            </a:ext>
          </a:extLst>
        </xdr:cNvPr>
        <xdr:cNvCxnSpPr/>
      </xdr:nvCxnSpPr>
      <xdr:spPr>
        <a:xfrm>
          <a:off x="2740002" y="6895633"/>
          <a:ext cx="516128"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30719</xdr:colOff>
      <xdr:row>65</xdr:row>
      <xdr:rowOff>145082</xdr:rowOff>
    </xdr:from>
    <xdr:to>
      <xdr:col>2</xdr:col>
      <xdr:colOff>670799</xdr:colOff>
      <xdr:row>65</xdr:row>
      <xdr:rowOff>145082</xdr:rowOff>
    </xdr:to>
    <xdr:cxnSp macro="">
      <xdr:nvCxnSpPr>
        <xdr:cNvPr id="8" name="Straight Connector 7">
          <a:extLst>
            <a:ext uri="{FF2B5EF4-FFF2-40B4-BE49-F238E27FC236}">
              <a16:creationId xmlns:a16="http://schemas.microsoft.com/office/drawing/2014/main" id="{6DCD6B10-2115-4D37-9AFD-BF42ADCCE7DF}"/>
            </a:ext>
          </a:extLst>
        </xdr:cNvPr>
        <xdr:cNvCxnSpPr/>
      </xdr:nvCxnSpPr>
      <xdr:spPr>
        <a:xfrm>
          <a:off x="1249919" y="11568732"/>
          <a:ext cx="5765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26112</xdr:colOff>
      <xdr:row>65</xdr:row>
      <xdr:rowOff>145082</xdr:rowOff>
    </xdr:from>
    <xdr:to>
      <xdr:col>3</xdr:col>
      <xdr:colOff>593040</xdr:colOff>
      <xdr:row>65</xdr:row>
      <xdr:rowOff>145082</xdr:rowOff>
    </xdr:to>
    <xdr:cxnSp macro="">
      <xdr:nvCxnSpPr>
        <xdr:cNvPr id="9" name="Straight Connector 8">
          <a:extLst>
            <a:ext uri="{FF2B5EF4-FFF2-40B4-BE49-F238E27FC236}">
              <a16:creationId xmlns:a16="http://schemas.microsoft.com/office/drawing/2014/main" id="{563FC92A-D784-40EA-816C-4BA93AA05469}"/>
            </a:ext>
          </a:extLst>
        </xdr:cNvPr>
        <xdr:cNvCxnSpPr/>
      </xdr:nvCxnSpPr>
      <xdr:spPr>
        <a:xfrm>
          <a:off x="1854912" y="11568732"/>
          <a:ext cx="566928"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22202</xdr:colOff>
      <xdr:row>65</xdr:row>
      <xdr:rowOff>145082</xdr:rowOff>
    </xdr:from>
    <xdr:to>
      <xdr:col>4</xdr:col>
      <xdr:colOff>589130</xdr:colOff>
      <xdr:row>65</xdr:row>
      <xdr:rowOff>145082</xdr:rowOff>
    </xdr:to>
    <xdr:cxnSp macro="">
      <xdr:nvCxnSpPr>
        <xdr:cNvPr id="10" name="Straight Connector 9">
          <a:extLst>
            <a:ext uri="{FF2B5EF4-FFF2-40B4-BE49-F238E27FC236}">
              <a16:creationId xmlns:a16="http://schemas.microsoft.com/office/drawing/2014/main" id="{E5F0E49C-94A4-4CB4-8C67-29F7DD680FB9}"/>
            </a:ext>
          </a:extLst>
        </xdr:cNvPr>
        <xdr:cNvCxnSpPr/>
      </xdr:nvCxnSpPr>
      <xdr:spPr>
        <a:xfrm>
          <a:off x="2740002" y="11568732"/>
          <a:ext cx="516128"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81981</xdr:colOff>
      <xdr:row>11</xdr:row>
      <xdr:rowOff>169534</xdr:rowOff>
    </xdr:from>
    <xdr:to>
      <xdr:col>10</xdr:col>
      <xdr:colOff>585928</xdr:colOff>
      <xdr:row>11</xdr:row>
      <xdr:rowOff>170691</xdr:rowOff>
    </xdr:to>
    <xdr:cxnSp macro="">
      <xdr:nvCxnSpPr>
        <xdr:cNvPr id="11" name="Straight Connector 10">
          <a:extLst>
            <a:ext uri="{FF2B5EF4-FFF2-40B4-BE49-F238E27FC236}">
              <a16:creationId xmlns:a16="http://schemas.microsoft.com/office/drawing/2014/main" id="{B557BC35-71CD-4E8C-999F-A1B97488ED12}"/>
            </a:ext>
          </a:extLst>
        </xdr:cNvPr>
        <xdr:cNvCxnSpPr/>
      </xdr:nvCxnSpPr>
      <xdr:spPr>
        <a:xfrm flipV="1">
          <a:off x="5777931" y="2176134"/>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84473</xdr:colOff>
      <xdr:row>11</xdr:row>
      <xdr:rowOff>169534</xdr:rowOff>
    </xdr:from>
    <xdr:to>
      <xdr:col>12</xdr:col>
      <xdr:colOff>588420</xdr:colOff>
      <xdr:row>11</xdr:row>
      <xdr:rowOff>170691</xdr:rowOff>
    </xdr:to>
    <xdr:cxnSp macro="">
      <xdr:nvCxnSpPr>
        <xdr:cNvPr id="12" name="Straight Connector 11">
          <a:extLst>
            <a:ext uri="{FF2B5EF4-FFF2-40B4-BE49-F238E27FC236}">
              <a16:creationId xmlns:a16="http://schemas.microsoft.com/office/drawing/2014/main" id="{94117853-9E4C-4CC4-A420-490D2E148453}"/>
            </a:ext>
          </a:extLst>
        </xdr:cNvPr>
        <xdr:cNvCxnSpPr/>
      </xdr:nvCxnSpPr>
      <xdr:spPr>
        <a:xfrm flipV="1">
          <a:off x="6999623" y="2176134"/>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82797</xdr:colOff>
      <xdr:row>11</xdr:row>
      <xdr:rowOff>169534</xdr:rowOff>
    </xdr:from>
    <xdr:to>
      <xdr:col>14</xdr:col>
      <xdr:colOff>586744</xdr:colOff>
      <xdr:row>11</xdr:row>
      <xdr:rowOff>170691</xdr:rowOff>
    </xdr:to>
    <xdr:cxnSp macro="">
      <xdr:nvCxnSpPr>
        <xdr:cNvPr id="13" name="Straight Connector 12">
          <a:extLst>
            <a:ext uri="{FF2B5EF4-FFF2-40B4-BE49-F238E27FC236}">
              <a16:creationId xmlns:a16="http://schemas.microsoft.com/office/drawing/2014/main" id="{97DEED33-E7CA-4EC1-B7CC-382C1A4CF59D}"/>
            </a:ext>
          </a:extLst>
        </xdr:cNvPr>
        <xdr:cNvCxnSpPr/>
      </xdr:nvCxnSpPr>
      <xdr:spPr>
        <a:xfrm flipV="1">
          <a:off x="8217147" y="2176134"/>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77421</xdr:colOff>
      <xdr:row>11</xdr:row>
      <xdr:rowOff>169534</xdr:rowOff>
    </xdr:from>
    <xdr:to>
      <xdr:col>16</xdr:col>
      <xdr:colOff>581369</xdr:colOff>
      <xdr:row>11</xdr:row>
      <xdr:rowOff>170691</xdr:rowOff>
    </xdr:to>
    <xdr:cxnSp macro="">
      <xdr:nvCxnSpPr>
        <xdr:cNvPr id="14" name="Straight Connector 13">
          <a:extLst>
            <a:ext uri="{FF2B5EF4-FFF2-40B4-BE49-F238E27FC236}">
              <a16:creationId xmlns:a16="http://schemas.microsoft.com/office/drawing/2014/main" id="{6AD12EBC-8808-4EFC-9415-E7CC21B3F2E1}"/>
            </a:ext>
          </a:extLst>
        </xdr:cNvPr>
        <xdr:cNvCxnSpPr/>
      </xdr:nvCxnSpPr>
      <xdr:spPr>
        <a:xfrm flipV="1">
          <a:off x="9430971" y="217613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81638</xdr:colOff>
      <xdr:row>11</xdr:row>
      <xdr:rowOff>169534</xdr:rowOff>
    </xdr:from>
    <xdr:to>
      <xdr:col>18</xdr:col>
      <xdr:colOff>585586</xdr:colOff>
      <xdr:row>11</xdr:row>
      <xdr:rowOff>170691</xdr:rowOff>
    </xdr:to>
    <xdr:cxnSp macro="">
      <xdr:nvCxnSpPr>
        <xdr:cNvPr id="15" name="Straight Connector 14">
          <a:extLst>
            <a:ext uri="{FF2B5EF4-FFF2-40B4-BE49-F238E27FC236}">
              <a16:creationId xmlns:a16="http://schemas.microsoft.com/office/drawing/2014/main" id="{CE0A33C5-7A2F-4D56-8CFC-F3117950160D}"/>
            </a:ext>
          </a:extLst>
        </xdr:cNvPr>
        <xdr:cNvCxnSpPr/>
      </xdr:nvCxnSpPr>
      <xdr:spPr>
        <a:xfrm flipV="1">
          <a:off x="10654388" y="217613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81505</xdr:colOff>
      <xdr:row>11</xdr:row>
      <xdr:rowOff>169534</xdr:rowOff>
    </xdr:from>
    <xdr:to>
      <xdr:col>20</xdr:col>
      <xdr:colOff>585453</xdr:colOff>
      <xdr:row>11</xdr:row>
      <xdr:rowOff>170691</xdr:rowOff>
    </xdr:to>
    <xdr:cxnSp macro="">
      <xdr:nvCxnSpPr>
        <xdr:cNvPr id="16" name="Straight Connector 15">
          <a:extLst>
            <a:ext uri="{FF2B5EF4-FFF2-40B4-BE49-F238E27FC236}">
              <a16:creationId xmlns:a16="http://schemas.microsoft.com/office/drawing/2014/main" id="{07809F28-562D-45AC-A40D-65CF28361260}"/>
            </a:ext>
          </a:extLst>
        </xdr:cNvPr>
        <xdr:cNvCxnSpPr/>
      </xdr:nvCxnSpPr>
      <xdr:spPr>
        <a:xfrm flipV="1">
          <a:off x="11873455" y="217613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81981</xdr:colOff>
      <xdr:row>13</xdr:row>
      <xdr:rowOff>154837</xdr:rowOff>
    </xdr:from>
    <xdr:to>
      <xdr:col>10</xdr:col>
      <xdr:colOff>585928</xdr:colOff>
      <xdr:row>13</xdr:row>
      <xdr:rowOff>155994</xdr:rowOff>
    </xdr:to>
    <xdr:cxnSp macro="">
      <xdr:nvCxnSpPr>
        <xdr:cNvPr id="17" name="Straight Connector 16">
          <a:extLst>
            <a:ext uri="{FF2B5EF4-FFF2-40B4-BE49-F238E27FC236}">
              <a16:creationId xmlns:a16="http://schemas.microsoft.com/office/drawing/2014/main" id="{F6E41421-10F7-4998-86A9-B7AD5DAB00BB}"/>
            </a:ext>
          </a:extLst>
        </xdr:cNvPr>
        <xdr:cNvCxnSpPr/>
      </xdr:nvCxnSpPr>
      <xdr:spPr>
        <a:xfrm flipV="1">
          <a:off x="5777931" y="253608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84473</xdr:colOff>
      <xdr:row>13</xdr:row>
      <xdr:rowOff>154837</xdr:rowOff>
    </xdr:from>
    <xdr:to>
      <xdr:col>12</xdr:col>
      <xdr:colOff>588420</xdr:colOff>
      <xdr:row>13</xdr:row>
      <xdr:rowOff>155994</xdr:rowOff>
    </xdr:to>
    <xdr:cxnSp macro="">
      <xdr:nvCxnSpPr>
        <xdr:cNvPr id="18" name="Straight Connector 17">
          <a:extLst>
            <a:ext uri="{FF2B5EF4-FFF2-40B4-BE49-F238E27FC236}">
              <a16:creationId xmlns:a16="http://schemas.microsoft.com/office/drawing/2014/main" id="{EEEF22F0-6652-443C-94C5-0036E3DD6971}"/>
            </a:ext>
          </a:extLst>
        </xdr:cNvPr>
        <xdr:cNvCxnSpPr/>
      </xdr:nvCxnSpPr>
      <xdr:spPr>
        <a:xfrm flipV="1">
          <a:off x="6999623" y="253608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82797</xdr:colOff>
      <xdr:row>13</xdr:row>
      <xdr:rowOff>154837</xdr:rowOff>
    </xdr:from>
    <xdr:to>
      <xdr:col>14</xdr:col>
      <xdr:colOff>586744</xdr:colOff>
      <xdr:row>13</xdr:row>
      <xdr:rowOff>155994</xdr:rowOff>
    </xdr:to>
    <xdr:cxnSp macro="">
      <xdr:nvCxnSpPr>
        <xdr:cNvPr id="19" name="Straight Connector 18">
          <a:extLst>
            <a:ext uri="{FF2B5EF4-FFF2-40B4-BE49-F238E27FC236}">
              <a16:creationId xmlns:a16="http://schemas.microsoft.com/office/drawing/2014/main" id="{DF2544FC-E935-48DB-AA6D-B650F8AB04A8}"/>
            </a:ext>
          </a:extLst>
        </xdr:cNvPr>
        <xdr:cNvCxnSpPr/>
      </xdr:nvCxnSpPr>
      <xdr:spPr>
        <a:xfrm flipV="1">
          <a:off x="8217147" y="253608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92541</xdr:colOff>
      <xdr:row>13</xdr:row>
      <xdr:rowOff>154837</xdr:rowOff>
    </xdr:from>
    <xdr:to>
      <xdr:col>16</xdr:col>
      <xdr:colOff>596489</xdr:colOff>
      <xdr:row>13</xdr:row>
      <xdr:rowOff>155994</xdr:rowOff>
    </xdr:to>
    <xdr:cxnSp macro="">
      <xdr:nvCxnSpPr>
        <xdr:cNvPr id="20" name="Straight Connector 19">
          <a:extLst>
            <a:ext uri="{FF2B5EF4-FFF2-40B4-BE49-F238E27FC236}">
              <a16:creationId xmlns:a16="http://schemas.microsoft.com/office/drawing/2014/main" id="{7C39F2EF-079D-4499-8731-FCC35D0A4B67}"/>
            </a:ext>
          </a:extLst>
        </xdr:cNvPr>
        <xdr:cNvCxnSpPr/>
      </xdr:nvCxnSpPr>
      <xdr:spPr>
        <a:xfrm flipV="1">
          <a:off x="9446091" y="2536087"/>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81638</xdr:colOff>
      <xdr:row>13</xdr:row>
      <xdr:rowOff>154837</xdr:rowOff>
    </xdr:from>
    <xdr:to>
      <xdr:col>18</xdr:col>
      <xdr:colOff>585586</xdr:colOff>
      <xdr:row>13</xdr:row>
      <xdr:rowOff>155994</xdr:rowOff>
    </xdr:to>
    <xdr:cxnSp macro="">
      <xdr:nvCxnSpPr>
        <xdr:cNvPr id="21" name="Straight Connector 20">
          <a:extLst>
            <a:ext uri="{FF2B5EF4-FFF2-40B4-BE49-F238E27FC236}">
              <a16:creationId xmlns:a16="http://schemas.microsoft.com/office/drawing/2014/main" id="{DF5FB3D2-0DF5-4D69-A14B-0D518DBC62DD}"/>
            </a:ext>
          </a:extLst>
        </xdr:cNvPr>
        <xdr:cNvCxnSpPr/>
      </xdr:nvCxnSpPr>
      <xdr:spPr>
        <a:xfrm flipV="1">
          <a:off x="10654388" y="2536087"/>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81505</xdr:colOff>
      <xdr:row>13</xdr:row>
      <xdr:rowOff>154837</xdr:rowOff>
    </xdr:from>
    <xdr:to>
      <xdr:col>20</xdr:col>
      <xdr:colOff>585453</xdr:colOff>
      <xdr:row>13</xdr:row>
      <xdr:rowOff>155994</xdr:rowOff>
    </xdr:to>
    <xdr:cxnSp macro="">
      <xdr:nvCxnSpPr>
        <xdr:cNvPr id="22" name="Straight Connector 21">
          <a:extLst>
            <a:ext uri="{FF2B5EF4-FFF2-40B4-BE49-F238E27FC236}">
              <a16:creationId xmlns:a16="http://schemas.microsoft.com/office/drawing/2014/main" id="{55D80878-AAA9-47D6-A0D1-7E2F0456C4C1}"/>
            </a:ext>
          </a:extLst>
        </xdr:cNvPr>
        <xdr:cNvCxnSpPr/>
      </xdr:nvCxnSpPr>
      <xdr:spPr>
        <a:xfrm flipV="1">
          <a:off x="11873455" y="2536087"/>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81981</xdr:colOff>
      <xdr:row>16</xdr:row>
      <xdr:rowOff>158334</xdr:rowOff>
    </xdr:from>
    <xdr:to>
      <xdr:col>10</xdr:col>
      <xdr:colOff>585928</xdr:colOff>
      <xdr:row>16</xdr:row>
      <xdr:rowOff>159491</xdr:rowOff>
    </xdr:to>
    <xdr:cxnSp macro="">
      <xdr:nvCxnSpPr>
        <xdr:cNvPr id="23" name="Straight Connector 22">
          <a:extLst>
            <a:ext uri="{FF2B5EF4-FFF2-40B4-BE49-F238E27FC236}">
              <a16:creationId xmlns:a16="http://schemas.microsoft.com/office/drawing/2014/main" id="{D303482A-D785-471C-8DDC-B372AF8EF293}"/>
            </a:ext>
          </a:extLst>
        </xdr:cNvPr>
        <xdr:cNvCxnSpPr/>
      </xdr:nvCxnSpPr>
      <xdr:spPr>
        <a:xfrm flipV="1">
          <a:off x="5777931" y="3092034"/>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84473</xdr:colOff>
      <xdr:row>16</xdr:row>
      <xdr:rowOff>158334</xdr:rowOff>
    </xdr:from>
    <xdr:to>
      <xdr:col>12</xdr:col>
      <xdr:colOff>588420</xdr:colOff>
      <xdr:row>16</xdr:row>
      <xdr:rowOff>159491</xdr:rowOff>
    </xdr:to>
    <xdr:cxnSp macro="">
      <xdr:nvCxnSpPr>
        <xdr:cNvPr id="24" name="Straight Connector 23">
          <a:extLst>
            <a:ext uri="{FF2B5EF4-FFF2-40B4-BE49-F238E27FC236}">
              <a16:creationId xmlns:a16="http://schemas.microsoft.com/office/drawing/2014/main" id="{276EBEAF-B4F4-4100-9253-B4861EEB1EB3}"/>
            </a:ext>
          </a:extLst>
        </xdr:cNvPr>
        <xdr:cNvCxnSpPr/>
      </xdr:nvCxnSpPr>
      <xdr:spPr>
        <a:xfrm flipV="1">
          <a:off x="6999623" y="3092034"/>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82797</xdr:colOff>
      <xdr:row>16</xdr:row>
      <xdr:rowOff>158334</xdr:rowOff>
    </xdr:from>
    <xdr:to>
      <xdr:col>14</xdr:col>
      <xdr:colOff>586744</xdr:colOff>
      <xdr:row>16</xdr:row>
      <xdr:rowOff>159491</xdr:rowOff>
    </xdr:to>
    <xdr:cxnSp macro="">
      <xdr:nvCxnSpPr>
        <xdr:cNvPr id="25" name="Straight Connector 24">
          <a:extLst>
            <a:ext uri="{FF2B5EF4-FFF2-40B4-BE49-F238E27FC236}">
              <a16:creationId xmlns:a16="http://schemas.microsoft.com/office/drawing/2014/main" id="{3C96FEDA-DDB8-4CC6-8556-60E90D0D49A4}"/>
            </a:ext>
          </a:extLst>
        </xdr:cNvPr>
        <xdr:cNvCxnSpPr/>
      </xdr:nvCxnSpPr>
      <xdr:spPr>
        <a:xfrm flipV="1">
          <a:off x="8217147" y="3092034"/>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75886</xdr:colOff>
      <xdr:row>16</xdr:row>
      <xdr:rowOff>158334</xdr:rowOff>
    </xdr:from>
    <xdr:to>
      <xdr:col>16</xdr:col>
      <xdr:colOff>579834</xdr:colOff>
      <xdr:row>16</xdr:row>
      <xdr:rowOff>159491</xdr:rowOff>
    </xdr:to>
    <xdr:cxnSp macro="">
      <xdr:nvCxnSpPr>
        <xdr:cNvPr id="26" name="Straight Connector 25">
          <a:extLst>
            <a:ext uri="{FF2B5EF4-FFF2-40B4-BE49-F238E27FC236}">
              <a16:creationId xmlns:a16="http://schemas.microsoft.com/office/drawing/2014/main" id="{69B394EB-D7E9-43FF-9D2F-7C3B8CB91BFF}"/>
            </a:ext>
          </a:extLst>
        </xdr:cNvPr>
        <xdr:cNvCxnSpPr/>
      </xdr:nvCxnSpPr>
      <xdr:spPr>
        <a:xfrm flipV="1">
          <a:off x="9429436" y="309203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81638</xdr:colOff>
      <xdr:row>16</xdr:row>
      <xdr:rowOff>158334</xdr:rowOff>
    </xdr:from>
    <xdr:to>
      <xdr:col>18</xdr:col>
      <xdr:colOff>585586</xdr:colOff>
      <xdr:row>16</xdr:row>
      <xdr:rowOff>159491</xdr:rowOff>
    </xdr:to>
    <xdr:cxnSp macro="">
      <xdr:nvCxnSpPr>
        <xdr:cNvPr id="27" name="Straight Connector 26">
          <a:extLst>
            <a:ext uri="{FF2B5EF4-FFF2-40B4-BE49-F238E27FC236}">
              <a16:creationId xmlns:a16="http://schemas.microsoft.com/office/drawing/2014/main" id="{ED2AC5DA-D4BE-4C02-8BC4-D2309166E113}"/>
            </a:ext>
          </a:extLst>
        </xdr:cNvPr>
        <xdr:cNvCxnSpPr/>
      </xdr:nvCxnSpPr>
      <xdr:spPr>
        <a:xfrm flipV="1">
          <a:off x="10654388" y="309203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81505</xdr:colOff>
      <xdr:row>16</xdr:row>
      <xdr:rowOff>158334</xdr:rowOff>
    </xdr:from>
    <xdr:to>
      <xdr:col>20</xdr:col>
      <xdr:colOff>585453</xdr:colOff>
      <xdr:row>16</xdr:row>
      <xdr:rowOff>159491</xdr:rowOff>
    </xdr:to>
    <xdr:cxnSp macro="">
      <xdr:nvCxnSpPr>
        <xdr:cNvPr id="28" name="Straight Connector 27">
          <a:extLst>
            <a:ext uri="{FF2B5EF4-FFF2-40B4-BE49-F238E27FC236}">
              <a16:creationId xmlns:a16="http://schemas.microsoft.com/office/drawing/2014/main" id="{9C346513-253C-43FD-8625-1A333B5A97E7}"/>
            </a:ext>
          </a:extLst>
        </xdr:cNvPr>
        <xdr:cNvCxnSpPr/>
      </xdr:nvCxnSpPr>
      <xdr:spPr>
        <a:xfrm flipV="1">
          <a:off x="11873455" y="309203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81981</xdr:colOff>
      <xdr:row>18</xdr:row>
      <xdr:rowOff>166215</xdr:rowOff>
    </xdr:from>
    <xdr:to>
      <xdr:col>10</xdr:col>
      <xdr:colOff>585928</xdr:colOff>
      <xdr:row>18</xdr:row>
      <xdr:rowOff>167372</xdr:rowOff>
    </xdr:to>
    <xdr:cxnSp macro="">
      <xdr:nvCxnSpPr>
        <xdr:cNvPr id="29" name="Straight Connector 28">
          <a:extLst>
            <a:ext uri="{FF2B5EF4-FFF2-40B4-BE49-F238E27FC236}">
              <a16:creationId xmlns:a16="http://schemas.microsoft.com/office/drawing/2014/main" id="{1FAA12BD-CBEF-4DDE-9C74-B55EC1ABD61C}"/>
            </a:ext>
          </a:extLst>
        </xdr:cNvPr>
        <xdr:cNvCxnSpPr/>
      </xdr:nvCxnSpPr>
      <xdr:spPr>
        <a:xfrm flipV="1">
          <a:off x="5777931" y="346821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84473</xdr:colOff>
      <xdr:row>18</xdr:row>
      <xdr:rowOff>166215</xdr:rowOff>
    </xdr:from>
    <xdr:to>
      <xdr:col>12</xdr:col>
      <xdr:colOff>588420</xdr:colOff>
      <xdr:row>18</xdr:row>
      <xdr:rowOff>167372</xdr:rowOff>
    </xdr:to>
    <xdr:cxnSp macro="">
      <xdr:nvCxnSpPr>
        <xdr:cNvPr id="30" name="Straight Connector 29">
          <a:extLst>
            <a:ext uri="{FF2B5EF4-FFF2-40B4-BE49-F238E27FC236}">
              <a16:creationId xmlns:a16="http://schemas.microsoft.com/office/drawing/2014/main" id="{7938038C-3261-4D89-9B69-B67F4E8BB4FA}"/>
            </a:ext>
          </a:extLst>
        </xdr:cNvPr>
        <xdr:cNvCxnSpPr/>
      </xdr:nvCxnSpPr>
      <xdr:spPr>
        <a:xfrm flipV="1">
          <a:off x="6999623" y="346821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82797</xdr:colOff>
      <xdr:row>18</xdr:row>
      <xdr:rowOff>166215</xdr:rowOff>
    </xdr:from>
    <xdr:to>
      <xdr:col>14</xdr:col>
      <xdr:colOff>586744</xdr:colOff>
      <xdr:row>18</xdr:row>
      <xdr:rowOff>167372</xdr:rowOff>
    </xdr:to>
    <xdr:cxnSp macro="">
      <xdr:nvCxnSpPr>
        <xdr:cNvPr id="31" name="Straight Connector 30">
          <a:extLst>
            <a:ext uri="{FF2B5EF4-FFF2-40B4-BE49-F238E27FC236}">
              <a16:creationId xmlns:a16="http://schemas.microsoft.com/office/drawing/2014/main" id="{2B8DE96F-CFAD-4147-9D72-078711DE43C7}"/>
            </a:ext>
          </a:extLst>
        </xdr:cNvPr>
        <xdr:cNvCxnSpPr/>
      </xdr:nvCxnSpPr>
      <xdr:spPr>
        <a:xfrm flipV="1">
          <a:off x="8217147" y="346821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92941</xdr:colOff>
      <xdr:row>18</xdr:row>
      <xdr:rowOff>166215</xdr:rowOff>
    </xdr:from>
    <xdr:to>
      <xdr:col>16</xdr:col>
      <xdr:colOff>596889</xdr:colOff>
      <xdr:row>18</xdr:row>
      <xdr:rowOff>167372</xdr:rowOff>
    </xdr:to>
    <xdr:cxnSp macro="">
      <xdr:nvCxnSpPr>
        <xdr:cNvPr id="32" name="Straight Connector 31">
          <a:extLst>
            <a:ext uri="{FF2B5EF4-FFF2-40B4-BE49-F238E27FC236}">
              <a16:creationId xmlns:a16="http://schemas.microsoft.com/office/drawing/2014/main" id="{E16F795F-BC05-4DB5-A2FB-797EB658F89A}"/>
            </a:ext>
          </a:extLst>
        </xdr:cNvPr>
        <xdr:cNvCxnSpPr/>
      </xdr:nvCxnSpPr>
      <xdr:spPr>
        <a:xfrm flipV="1">
          <a:off x="9446491" y="3468215"/>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81638</xdr:colOff>
      <xdr:row>18</xdr:row>
      <xdr:rowOff>166215</xdr:rowOff>
    </xdr:from>
    <xdr:to>
      <xdr:col>18</xdr:col>
      <xdr:colOff>585586</xdr:colOff>
      <xdr:row>18</xdr:row>
      <xdr:rowOff>167372</xdr:rowOff>
    </xdr:to>
    <xdr:cxnSp macro="">
      <xdr:nvCxnSpPr>
        <xdr:cNvPr id="33" name="Straight Connector 32">
          <a:extLst>
            <a:ext uri="{FF2B5EF4-FFF2-40B4-BE49-F238E27FC236}">
              <a16:creationId xmlns:a16="http://schemas.microsoft.com/office/drawing/2014/main" id="{FDDACE83-6C70-475A-A826-BAB2969E2742}"/>
            </a:ext>
          </a:extLst>
        </xdr:cNvPr>
        <xdr:cNvCxnSpPr/>
      </xdr:nvCxnSpPr>
      <xdr:spPr>
        <a:xfrm flipV="1">
          <a:off x="10654388" y="3468215"/>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81505</xdr:colOff>
      <xdr:row>18</xdr:row>
      <xdr:rowOff>166215</xdr:rowOff>
    </xdr:from>
    <xdr:to>
      <xdr:col>20</xdr:col>
      <xdr:colOff>585453</xdr:colOff>
      <xdr:row>18</xdr:row>
      <xdr:rowOff>167372</xdr:rowOff>
    </xdr:to>
    <xdr:cxnSp macro="">
      <xdr:nvCxnSpPr>
        <xdr:cNvPr id="34" name="Straight Connector 33">
          <a:extLst>
            <a:ext uri="{FF2B5EF4-FFF2-40B4-BE49-F238E27FC236}">
              <a16:creationId xmlns:a16="http://schemas.microsoft.com/office/drawing/2014/main" id="{D67EB13E-D0C3-40C2-B7A2-44D1A3DAFC95}"/>
            </a:ext>
          </a:extLst>
        </xdr:cNvPr>
        <xdr:cNvCxnSpPr/>
      </xdr:nvCxnSpPr>
      <xdr:spPr>
        <a:xfrm flipV="1">
          <a:off x="11873455" y="3468215"/>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96981</xdr:colOff>
      <xdr:row>23</xdr:row>
      <xdr:rowOff>152197</xdr:rowOff>
    </xdr:from>
    <xdr:to>
      <xdr:col>10</xdr:col>
      <xdr:colOff>600928</xdr:colOff>
      <xdr:row>23</xdr:row>
      <xdr:rowOff>153354</xdr:rowOff>
    </xdr:to>
    <xdr:cxnSp macro="">
      <xdr:nvCxnSpPr>
        <xdr:cNvPr id="35" name="Straight Connector 34">
          <a:extLst>
            <a:ext uri="{FF2B5EF4-FFF2-40B4-BE49-F238E27FC236}">
              <a16:creationId xmlns:a16="http://schemas.microsoft.com/office/drawing/2014/main" id="{8F7837FF-A5EC-442E-A366-87D2B1711819}"/>
            </a:ext>
          </a:extLst>
        </xdr:cNvPr>
        <xdr:cNvCxnSpPr/>
      </xdr:nvCxnSpPr>
      <xdr:spPr>
        <a:xfrm flipV="1">
          <a:off x="5792931" y="424159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99035</xdr:colOff>
      <xdr:row>23</xdr:row>
      <xdr:rowOff>152197</xdr:rowOff>
    </xdr:from>
    <xdr:to>
      <xdr:col>12</xdr:col>
      <xdr:colOff>603858</xdr:colOff>
      <xdr:row>23</xdr:row>
      <xdr:rowOff>153354</xdr:rowOff>
    </xdr:to>
    <xdr:cxnSp macro="">
      <xdr:nvCxnSpPr>
        <xdr:cNvPr id="36" name="Straight Connector 35">
          <a:extLst>
            <a:ext uri="{FF2B5EF4-FFF2-40B4-BE49-F238E27FC236}">
              <a16:creationId xmlns:a16="http://schemas.microsoft.com/office/drawing/2014/main" id="{9E9E2A85-6196-4159-AD3D-80BB67787D7B}"/>
            </a:ext>
          </a:extLst>
        </xdr:cNvPr>
        <xdr:cNvCxnSpPr/>
      </xdr:nvCxnSpPr>
      <xdr:spPr>
        <a:xfrm flipV="1">
          <a:off x="7014185" y="4241597"/>
          <a:ext cx="1114423"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97360</xdr:colOff>
      <xdr:row>23</xdr:row>
      <xdr:rowOff>152197</xdr:rowOff>
    </xdr:from>
    <xdr:to>
      <xdr:col>14</xdr:col>
      <xdr:colOff>602182</xdr:colOff>
      <xdr:row>23</xdr:row>
      <xdr:rowOff>153354</xdr:rowOff>
    </xdr:to>
    <xdr:cxnSp macro="">
      <xdr:nvCxnSpPr>
        <xdr:cNvPr id="37" name="Straight Connector 36">
          <a:extLst>
            <a:ext uri="{FF2B5EF4-FFF2-40B4-BE49-F238E27FC236}">
              <a16:creationId xmlns:a16="http://schemas.microsoft.com/office/drawing/2014/main" id="{5E8C933D-B51C-4862-9037-51CA005E9467}"/>
            </a:ext>
          </a:extLst>
        </xdr:cNvPr>
        <xdr:cNvCxnSpPr/>
      </xdr:nvCxnSpPr>
      <xdr:spPr>
        <a:xfrm flipV="1">
          <a:off x="8231710" y="4241597"/>
          <a:ext cx="1114422"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107963</xdr:colOff>
      <xdr:row>23</xdr:row>
      <xdr:rowOff>152197</xdr:rowOff>
    </xdr:from>
    <xdr:to>
      <xdr:col>17</xdr:col>
      <xdr:colOff>1866</xdr:colOff>
      <xdr:row>23</xdr:row>
      <xdr:rowOff>153354</xdr:rowOff>
    </xdr:to>
    <xdr:cxnSp macro="">
      <xdr:nvCxnSpPr>
        <xdr:cNvPr id="38" name="Straight Connector 37">
          <a:extLst>
            <a:ext uri="{FF2B5EF4-FFF2-40B4-BE49-F238E27FC236}">
              <a16:creationId xmlns:a16="http://schemas.microsoft.com/office/drawing/2014/main" id="{454F42C1-AA91-4BD7-9C0C-1F77469E0196}"/>
            </a:ext>
          </a:extLst>
        </xdr:cNvPr>
        <xdr:cNvCxnSpPr/>
      </xdr:nvCxnSpPr>
      <xdr:spPr>
        <a:xfrm flipV="1">
          <a:off x="9461513" y="4241597"/>
          <a:ext cx="1113103"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96661</xdr:colOff>
      <xdr:row>23</xdr:row>
      <xdr:rowOff>152197</xdr:rowOff>
    </xdr:from>
    <xdr:to>
      <xdr:col>18</xdr:col>
      <xdr:colOff>600563</xdr:colOff>
      <xdr:row>23</xdr:row>
      <xdr:rowOff>153354</xdr:rowOff>
    </xdr:to>
    <xdr:cxnSp macro="">
      <xdr:nvCxnSpPr>
        <xdr:cNvPr id="39" name="Straight Connector 38">
          <a:extLst>
            <a:ext uri="{FF2B5EF4-FFF2-40B4-BE49-F238E27FC236}">
              <a16:creationId xmlns:a16="http://schemas.microsoft.com/office/drawing/2014/main" id="{5018D3CB-01E7-4798-850A-DEFF1579CB1B}"/>
            </a:ext>
          </a:extLst>
        </xdr:cNvPr>
        <xdr:cNvCxnSpPr/>
      </xdr:nvCxnSpPr>
      <xdr:spPr>
        <a:xfrm flipV="1">
          <a:off x="10669411" y="4241597"/>
          <a:ext cx="1113502"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81527</xdr:colOff>
      <xdr:row>23</xdr:row>
      <xdr:rowOff>152197</xdr:rowOff>
    </xdr:from>
    <xdr:to>
      <xdr:col>20</xdr:col>
      <xdr:colOff>585430</xdr:colOff>
      <xdr:row>23</xdr:row>
      <xdr:rowOff>153354</xdr:rowOff>
    </xdr:to>
    <xdr:cxnSp macro="">
      <xdr:nvCxnSpPr>
        <xdr:cNvPr id="40" name="Straight Connector 39">
          <a:extLst>
            <a:ext uri="{FF2B5EF4-FFF2-40B4-BE49-F238E27FC236}">
              <a16:creationId xmlns:a16="http://schemas.microsoft.com/office/drawing/2014/main" id="{392EA168-3A95-4D07-8C45-BF6375E986F6}"/>
            </a:ext>
          </a:extLst>
        </xdr:cNvPr>
        <xdr:cNvCxnSpPr/>
      </xdr:nvCxnSpPr>
      <xdr:spPr>
        <a:xfrm flipV="1">
          <a:off x="11873477" y="4241597"/>
          <a:ext cx="1113503"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81981</xdr:colOff>
      <xdr:row>24</xdr:row>
      <xdr:rowOff>191437</xdr:rowOff>
    </xdr:from>
    <xdr:to>
      <xdr:col>10</xdr:col>
      <xdr:colOff>585928</xdr:colOff>
      <xdr:row>24</xdr:row>
      <xdr:rowOff>192594</xdr:rowOff>
    </xdr:to>
    <xdr:cxnSp macro="">
      <xdr:nvCxnSpPr>
        <xdr:cNvPr id="41" name="Straight Connector 40">
          <a:extLst>
            <a:ext uri="{FF2B5EF4-FFF2-40B4-BE49-F238E27FC236}">
              <a16:creationId xmlns:a16="http://schemas.microsoft.com/office/drawing/2014/main" id="{6358D2BD-8676-477E-A7D8-07DCBA49C3A0}"/>
            </a:ext>
          </a:extLst>
        </xdr:cNvPr>
        <xdr:cNvCxnSpPr/>
      </xdr:nvCxnSpPr>
      <xdr:spPr>
        <a:xfrm flipV="1">
          <a:off x="5777931" y="445863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84473</xdr:colOff>
      <xdr:row>24</xdr:row>
      <xdr:rowOff>191437</xdr:rowOff>
    </xdr:from>
    <xdr:to>
      <xdr:col>12</xdr:col>
      <xdr:colOff>588420</xdr:colOff>
      <xdr:row>24</xdr:row>
      <xdr:rowOff>192594</xdr:rowOff>
    </xdr:to>
    <xdr:cxnSp macro="">
      <xdr:nvCxnSpPr>
        <xdr:cNvPr id="42" name="Straight Connector 41">
          <a:extLst>
            <a:ext uri="{FF2B5EF4-FFF2-40B4-BE49-F238E27FC236}">
              <a16:creationId xmlns:a16="http://schemas.microsoft.com/office/drawing/2014/main" id="{66B08C36-395F-41B7-997C-7709FF09667D}"/>
            </a:ext>
          </a:extLst>
        </xdr:cNvPr>
        <xdr:cNvCxnSpPr/>
      </xdr:nvCxnSpPr>
      <xdr:spPr>
        <a:xfrm flipV="1">
          <a:off x="6999623" y="445863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82797</xdr:colOff>
      <xdr:row>24</xdr:row>
      <xdr:rowOff>191437</xdr:rowOff>
    </xdr:from>
    <xdr:to>
      <xdr:col>14</xdr:col>
      <xdr:colOff>586744</xdr:colOff>
      <xdr:row>24</xdr:row>
      <xdr:rowOff>192594</xdr:rowOff>
    </xdr:to>
    <xdr:cxnSp macro="">
      <xdr:nvCxnSpPr>
        <xdr:cNvPr id="43" name="Straight Connector 42">
          <a:extLst>
            <a:ext uri="{FF2B5EF4-FFF2-40B4-BE49-F238E27FC236}">
              <a16:creationId xmlns:a16="http://schemas.microsoft.com/office/drawing/2014/main" id="{67FFF69D-DEFF-4AD8-A3E8-661AADDB7BB6}"/>
            </a:ext>
          </a:extLst>
        </xdr:cNvPr>
        <xdr:cNvCxnSpPr/>
      </xdr:nvCxnSpPr>
      <xdr:spPr>
        <a:xfrm flipV="1">
          <a:off x="8217147" y="445863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92941</xdr:colOff>
      <xdr:row>24</xdr:row>
      <xdr:rowOff>191437</xdr:rowOff>
    </xdr:from>
    <xdr:to>
      <xdr:col>16</xdr:col>
      <xdr:colOff>596889</xdr:colOff>
      <xdr:row>24</xdr:row>
      <xdr:rowOff>192594</xdr:rowOff>
    </xdr:to>
    <xdr:cxnSp macro="">
      <xdr:nvCxnSpPr>
        <xdr:cNvPr id="44" name="Straight Connector 43">
          <a:extLst>
            <a:ext uri="{FF2B5EF4-FFF2-40B4-BE49-F238E27FC236}">
              <a16:creationId xmlns:a16="http://schemas.microsoft.com/office/drawing/2014/main" id="{225D875B-6BFB-4138-8870-1F39887DDD3C}"/>
            </a:ext>
          </a:extLst>
        </xdr:cNvPr>
        <xdr:cNvCxnSpPr/>
      </xdr:nvCxnSpPr>
      <xdr:spPr>
        <a:xfrm flipV="1">
          <a:off x="9446491" y="4458637"/>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81638</xdr:colOff>
      <xdr:row>24</xdr:row>
      <xdr:rowOff>191437</xdr:rowOff>
    </xdr:from>
    <xdr:to>
      <xdr:col>18</xdr:col>
      <xdr:colOff>585586</xdr:colOff>
      <xdr:row>24</xdr:row>
      <xdr:rowOff>192594</xdr:rowOff>
    </xdr:to>
    <xdr:cxnSp macro="">
      <xdr:nvCxnSpPr>
        <xdr:cNvPr id="45" name="Straight Connector 44">
          <a:extLst>
            <a:ext uri="{FF2B5EF4-FFF2-40B4-BE49-F238E27FC236}">
              <a16:creationId xmlns:a16="http://schemas.microsoft.com/office/drawing/2014/main" id="{22D7F880-B61C-4968-A856-6AD34ACC9564}"/>
            </a:ext>
          </a:extLst>
        </xdr:cNvPr>
        <xdr:cNvCxnSpPr/>
      </xdr:nvCxnSpPr>
      <xdr:spPr>
        <a:xfrm flipV="1">
          <a:off x="10654388" y="4458637"/>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81505</xdr:colOff>
      <xdr:row>24</xdr:row>
      <xdr:rowOff>191437</xdr:rowOff>
    </xdr:from>
    <xdr:to>
      <xdr:col>20</xdr:col>
      <xdr:colOff>585453</xdr:colOff>
      <xdr:row>24</xdr:row>
      <xdr:rowOff>192594</xdr:rowOff>
    </xdr:to>
    <xdr:cxnSp macro="">
      <xdr:nvCxnSpPr>
        <xdr:cNvPr id="46" name="Straight Connector 45">
          <a:extLst>
            <a:ext uri="{FF2B5EF4-FFF2-40B4-BE49-F238E27FC236}">
              <a16:creationId xmlns:a16="http://schemas.microsoft.com/office/drawing/2014/main" id="{73967C30-FB7C-46CA-B77C-E73C2545E803}"/>
            </a:ext>
          </a:extLst>
        </xdr:cNvPr>
        <xdr:cNvCxnSpPr/>
      </xdr:nvCxnSpPr>
      <xdr:spPr>
        <a:xfrm flipV="1">
          <a:off x="11873455" y="4458637"/>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81981</xdr:colOff>
      <xdr:row>25</xdr:row>
      <xdr:rowOff>5545</xdr:rowOff>
    </xdr:from>
    <xdr:to>
      <xdr:col>10</xdr:col>
      <xdr:colOff>585928</xdr:colOff>
      <xdr:row>25</xdr:row>
      <xdr:rowOff>6702</xdr:rowOff>
    </xdr:to>
    <xdr:cxnSp macro="">
      <xdr:nvCxnSpPr>
        <xdr:cNvPr id="47" name="Straight Connector 46">
          <a:extLst>
            <a:ext uri="{FF2B5EF4-FFF2-40B4-BE49-F238E27FC236}">
              <a16:creationId xmlns:a16="http://schemas.microsoft.com/office/drawing/2014/main" id="{99B99133-A804-4955-B603-C0AC87D189D3}"/>
            </a:ext>
          </a:extLst>
        </xdr:cNvPr>
        <xdr:cNvCxnSpPr/>
      </xdr:nvCxnSpPr>
      <xdr:spPr>
        <a:xfrm flipV="1">
          <a:off x="5777931" y="446324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84473</xdr:colOff>
      <xdr:row>25</xdr:row>
      <xdr:rowOff>5545</xdr:rowOff>
    </xdr:from>
    <xdr:to>
      <xdr:col>12</xdr:col>
      <xdr:colOff>588420</xdr:colOff>
      <xdr:row>25</xdr:row>
      <xdr:rowOff>6702</xdr:rowOff>
    </xdr:to>
    <xdr:cxnSp macro="">
      <xdr:nvCxnSpPr>
        <xdr:cNvPr id="48" name="Straight Connector 47">
          <a:extLst>
            <a:ext uri="{FF2B5EF4-FFF2-40B4-BE49-F238E27FC236}">
              <a16:creationId xmlns:a16="http://schemas.microsoft.com/office/drawing/2014/main" id="{EE94C94A-74C9-45F6-8D1A-BFE68F22BF38}"/>
            </a:ext>
          </a:extLst>
        </xdr:cNvPr>
        <xdr:cNvCxnSpPr/>
      </xdr:nvCxnSpPr>
      <xdr:spPr>
        <a:xfrm flipV="1">
          <a:off x="6999623" y="446324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82797</xdr:colOff>
      <xdr:row>25</xdr:row>
      <xdr:rowOff>5545</xdr:rowOff>
    </xdr:from>
    <xdr:to>
      <xdr:col>14</xdr:col>
      <xdr:colOff>586744</xdr:colOff>
      <xdr:row>25</xdr:row>
      <xdr:rowOff>6702</xdr:rowOff>
    </xdr:to>
    <xdr:cxnSp macro="">
      <xdr:nvCxnSpPr>
        <xdr:cNvPr id="49" name="Straight Connector 48">
          <a:extLst>
            <a:ext uri="{FF2B5EF4-FFF2-40B4-BE49-F238E27FC236}">
              <a16:creationId xmlns:a16="http://schemas.microsoft.com/office/drawing/2014/main" id="{B701F95C-D8D2-4B97-98DD-40FE5018A744}"/>
            </a:ext>
          </a:extLst>
        </xdr:cNvPr>
        <xdr:cNvCxnSpPr/>
      </xdr:nvCxnSpPr>
      <xdr:spPr>
        <a:xfrm flipV="1">
          <a:off x="8217147" y="446324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92941</xdr:colOff>
      <xdr:row>25</xdr:row>
      <xdr:rowOff>5545</xdr:rowOff>
    </xdr:from>
    <xdr:to>
      <xdr:col>16</xdr:col>
      <xdr:colOff>596889</xdr:colOff>
      <xdr:row>25</xdr:row>
      <xdr:rowOff>6702</xdr:rowOff>
    </xdr:to>
    <xdr:cxnSp macro="">
      <xdr:nvCxnSpPr>
        <xdr:cNvPr id="50" name="Straight Connector 49">
          <a:extLst>
            <a:ext uri="{FF2B5EF4-FFF2-40B4-BE49-F238E27FC236}">
              <a16:creationId xmlns:a16="http://schemas.microsoft.com/office/drawing/2014/main" id="{EEAC5BDF-3742-49E8-AEDE-0860AA252FD5}"/>
            </a:ext>
          </a:extLst>
        </xdr:cNvPr>
        <xdr:cNvCxnSpPr/>
      </xdr:nvCxnSpPr>
      <xdr:spPr>
        <a:xfrm flipV="1">
          <a:off x="9446491" y="4463245"/>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81638</xdr:colOff>
      <xdr:row>25</xdr:row>
      <xdr:rowOff>5545</xdr:rowOff>
    </xdr:from>
    <xdr:to>
      <xdr:col>18</xdr:col>
      <xdr:colOff>585586</xdr:colOff>
      <xdr:row>25</xdr:row>
      <xdr:rowOff>6702</xdr:rowOff>
    </xdr:to>
    <xdr:cxnSp macro="">
      <xdr:nvCxnSpPr>
        <xdr:cNvPr id="51" name="Straight Connector 50">
          <a:extLst>
            <a:ext uri="{FF2B5EF4-FFF2-40B4-BE49-F238E27FC236}">
              <a16:creationId xmlns:a16="http://schemas.microsoft.com/office/drawing/2014/main" id="{B6E65F02-389F-45FE-AF65-4222BA33D904}"/>
            </a:ext>
          </a:extLst>
        </xdr:cNvPr>
        <xdr:cNvCxnSpPr/>
      </xdr:nvCxnSpPr>
      <xdr:spPr>
        <a:xfrm flipV="1">
          <a:off x="10654388" y="4463245"/>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81505</xdr:colOff>
      <xdr:row>25</xdr:row>
      <xdr:rowOff>5545</xdr:rowOff>
    </xdr:from>
    <xdr:to>
      <xdr:col>20</xdr:col>
      <xdr:colOff>585453</xdr:colOff>
      <xdr:row>25</xdr:row>
      <xdr:rowOff>6702</xdr:rowOff>
    </xdr:to>
    <xdr:cxnSp macro="">
      <xdr:nvCxnSpPr>
        <xdr:cNvPr id="52" name="Straight Connector 51">
          <a:extLst>
            <a:ext uri="{FF2B5EF4-FFF2-40B4-BE49-F238E27FC236}">
              <a16:creationId xmlns:a16="http://schemas.microsoft.com/office/drawing/2014/main" id="{140895D5-D537-4872-B040-EB077F028C7F}"/>
            </a:ext>
          </a:extLst>
        </xdr:cNvPr>
        <xdr:cNvCxnSpPr/>
      </xdr:nvCxnSpPr>
      <xdr:spPr>
        <a:xfrm flipV="1">
          <a:off x="11873455" y="4463245"/>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66609</xdr:colOff>
      <xdr:row>10</xdr:row>
      <xdr:rowOff>179312</xdr:rowOff>
    </xdr:from>
    <xdr:to>
      <xdr:col>14</xdr:col>
      <xdr:colOff>581713</xdr:colOff>
      <xdr:row>10</xdr:row>
      <xdr:rowOff>179312</xdr:rowOff>
    </xdr:to>
    <xdr:cxnSp macro="">
      <xdr:nvCxnSpPr>
        <xdr:cNvPr id="53" name="Straight Connector 52">
          <a:extLst>
            <a:ext uri="{FF2B5EF4-FFF2-40B4-BE49-F238E27FC236}">
              <a16:creationId xmlns:a16="http://schemas.microsoft.com/office/drawing/2014/main" id="{34946771-0FC6-4440-B97F-1AC18F825364}"/>
            </a:ext>
          </a:extLst>
        </xdr:cNvPr>
        <xdr:cNvCxnSpPr/>
      </xdr:nvCxnSpPr>
      <xdr:spPr>
        <a:xfrm>
          <a:off x="5762559" y="2001762"/>
          <a:ext cx="3563104"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9641</xdr:colOff>
      <xdr:row>31</xdr:row>
      <xdr:rowOff>163361</xdr:rowOff>
    </xdr:from>
    <xdr:to>
      <xdr:col>21</xdr:col>
      <xdr:colOff>41413</xdr:colOff>
      <xdr:row>31</xdr:row>
      <xdr:rowOff>163361</xdr:rowOff>
    </xdr:to>
    <xdr:cxnSp macro="">
      <xdr:nvCxnSpPr>
        <xdr:cNvPr id="54" name="Straight Connector 53">
          <a:extLst>
            <a:ext uri="{FF2B5EF4-FFF2-40B4-BE49-F238E27FC236}">
              <a16:creationId xmlns:a16="http://schemas.microsoft.com/office/drawing/2014/main" id="{DCBC812C-1A2E-468A-89AC-8F6196623ED4}"/>
            </a:ext>
          </a:extLst>
        </xdr:cNvPr>
        <xdr:cNvCxnSpPr/>
      </xdr:nvCxnSpPr>
      <xdr:spPr>
        <a:xfrm>
          <a:off x="3876791" y="5732311"/>
          <a:ext cx="9175772" cy="0"/>
        </a:xfrm>
        <a:prstGeom prst="line">
          <a:avLst/>
        </a:prstGeom>
        <a:ln w="12700">
          <a:solidFill>
            <a:schemeClr val="bg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76881</xdr:colOff>
      <xdr:row>33</xdr:row>
      <xdr:rowOff>162327</xdr:rowOff>
    </xdr:from>
    <xdr:to>
      <xdr:col>10</xdr:col>
      <xdr:colOff>580828</xdr:colOff>
      <xdr:row>33</xdr:row>
      <xdr:rowOff>163484</xdr:rowOff>
    </xdr:to>
    <xdr:cxnSp macro="">
      <xdr:nvCxnSpPr>
        <xdr:cNvPr id="55" name="Straight Connector 54">
          <a:extLst>
            <a:ext uri="{FF2B5EF4-FFF2-40B4-BE49-F238E27FC236}">
              <a16:creationId xmlns:a16="http://schemas.microsoft.com/office/drawing/2014/main" id="{8FB99D33-95C3-4CED-8D91-90FBA27A78A7}"/>
            </a:ext>
          </a:extLst>
        </xdr:cNvPr>
        <xdr:cNvCxnSpPr/>
      </xdr:nvCxnSpPr>
      <xdr:spPr>
        <a:xfrm flipV="1">
          <a:off x="5772831" y="610592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78935</xdr:colOff>
      <xdr:row>33</xdr:row>
      <xdr:rowOff>162327</xdr:rowOff>
    </xdr:from>
    <xdr:to>
      <xdr:col>12</xdr:col>
      <xdr:colOff>583758</xdr:colOff>
      <xdr:row>33</xdr:row>
      <xdr:rowOff>163484</xdr:rowOff>
    </xdr:to>
    <xdr:cxnSp macro="">
      <xdr:nvCxnSpPr>
        <xdr:cNvPr id="56" name="Straight Connector 55">
          <a:extLst>
            <a:ext uri="{FF2B5EF4-FFF2-40B4-BE49-F238E27FC236}">
              <a16:creationId xmlns:a16="http://schemas.microsoft.com/office/drawing/2014/main" id="{F52BBE34-1153-47EA-BA1E-AD7965953E09}"/>
            </a:ext>
          </a:extLst>
        </xdr:cNvPr>
        <xdr:cNvCxnSpPr/>
      </xdr:nvCxnSpPr>
      <xdr:spPr>
        <a:xfrm flipV="1">
          <a:off x="6994085" y="6105927"/>
          <a:ext cx="1114423"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77260</xdr:colOff>
      <xdr:row>33</xdr:row>
      <xdr:rowOff>162327</xdr:rowOff>
    </xdr:from>
    <xdr:to>
      <xdr:col>14</xdr:col>
      <xdr:colOff>582082</xdr:colOff>
      <xdr:row>33</xdr:row>
      <xdr:rowOff>163484</xdr:rowOff>
    </xdr:to>
    <xdr:cxnSp macro="">
      <xdr:nvCxnSpPr>
        <xdr:cNvPr id="57" name="Straight Connector 56">
          <a:extLst>
            <a:ext uri="{FF2B5EF4-FFF2-40B4-BE49-F238E27FC236}">
              <a16:creationId xmlns:a16="http://schemas.microsoft.com/office/drawing/2014/main" id="{D813AA5C-AA3F-408E-8BA2-FCA799AFAB72}"/>
            </a:ext>
          </a:extLst>
        </xdr:cNvPr>
        <xdr:cNvCxnSpPr/>
      </xdr:nvCxnSpPr>
      <xdr:spPr>
        <a:xfrm flipV="1">
          <a:off x="8211610" y="6105927"/>
          <a:ext cx="1114422"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87863</xdr:colOff>
      <xdr:row>33</xdr:row>
      <xdr:rowOff>162327</xdr:rowOff>
    </xdr:from>
    <xdr:to>
      <xdr:col>16</xdr:col>
      <xdr:colOff>591766</xdr:colOff>
      <xdr:row>33</xdr:row>
      <xdr:rowOff>163484</xdr:rowOff>
    </xdr:to>
    <xdr:cxnSp macro="">
      <xdr:nvCxnSpPr>
        <xdr:cNvPr id="58" name="Straight Connector 57">
          <a:extLst>
            <a:ext uri="{FF2B5EF4-FFF2-40B4-BE49-F238E27FC236}">
              <a16:creationId xmlns:a16="http://schemas.microsoft.com/office/drawing/2014/main" id="{A0D1EFA3-C40B-4E93-B63F-D5876E283E8F}"/>
            </a:ext>
          </a:extLst>
        </xdr:cNvPr>
        <xdr:cNvCxnSpPr/>
      </xdr:nvCxnSpPr>
      <xdr:spPr>
        <a:xfrm flipV="1">
          <a:off x="9441413" y="6105927"/>
          <a:ext cx="1113503"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76561</xdr:colOff>
      <xdr:row>33</xdr:row>
      <xdr:rowOff>162327</xdr:rowOff>
    </xdr:from>
    <xdr:to>
      <xdr:col>18</xdr:col>
      <xdr:colOff>580463</xdr:colOff>
      <xdr:row>33</xdr:row>
      <xdr:rowOff>163484</xdr:rowOff>
    </xdr:to>
    <xdr:cxnSp macro="">
      <xdr:nvCxnSpPr>
        <xdr:cNvPr id="59" name="Straight Connector 58">
          <a:extLst>
            <a:ext uri="{FF2B5EF4-FFF2-40B4-BE49-F238E27FC236}">
              <a16:creationId xmlns:a16="http://schemas.microsoft.com/office/drawing/2014/main" id="{511AA57E-24A4-415C-B5DD-A71302892944}"/>
            </a:ext>
          </a:extLst>
        </xdr:cNvPr>
        <xdr:cNvCxnSpPr/>
      </xdr:nvCxnSpPr>
      <xdr:spPr>
        <a:xfrm flipV="1">
          <a:off x="10649311" y="6105927"/>
          <a:ext cx="1113502"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61427</xdr:colOff>
      <xdr:row>33</xdr:row>
      <xdr:rowOff>162327</xdr:rowOff>
    </xdr:from>
    <xdr:to>
      <xdr:col>20</xdr:col>
      <xdr:colOff>565330</xdr:colOff>
      <xdr:row>33</xdr:row>
      <xdr:rowOff>163484</xdr:rowOff>
    </xdr:to>
    <xdr:cxnSp macro="">
      <xdr:nvCxnSpPr>
        <xdr:cNvPr id="60" name="Straight Connector 59">
          <a:extLst>
            <a:ext uri="{FF2B5EF4-FFF2-40B4-BE49-F238E27FC236}">
              <a16:creationId xmlns:a16="http://schemas.microsoft.com/office/drawing/2014/main" id="{35B77568-9D50-4C3F-8F76-0CA4FE824CA8}"/>
            </a:ext>
          </a:extLst>
        </xdr:cNvPr>
        <xdr:cNvCxnSpPr/>
      </xdr:nvCxnSpPr>
      <xdr:spPr>
        <a:xfrm flipV="1">
          <a:off x="11853377" y="6105927"/>
          <a:ext cx="1113503"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76881</xdr:colOff>
      <xdr:row>40</xdr:row>
      <xdr:rowOff>159727</xdr:rowOff>
    </xdr:from>
    <xdr:to>
      <xdr:col>10</xdr:col>
      <xdr:colOff>580828</xdr:colOff>
      <xdr:row>40</xdr:row>
      <xdr:rowOff>160884</xdr:rowOff>
    </xdr:to>
    <xdr:cxnSp macro="">
      <xdr:nvCxnSpPr>
        <xdr:cNvPr id="61" name="Straight Connector 60">
          <a:extLst>
            <a:ext uri="{FF2B5EF4-FFF2-40B4-BE49-F238E27FC236}">
              <a16:creationId xmlns:a16="http://schemas.microsoft.com/office/drawing/2014/main" id="{EB81D61E-4B69-4AB6-AD6E-55B68D489D08}"/>
            </a:ext>
          </a:extLst>
        </xdr:cNvPr>
        <xdr:cNvCxnSpPr/>
      </xdr:nvCxnSpPr>
      <xdr:spPr>
        <a:xfrm flipV="1">
          <a:off x="5772831" y="725267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78935</xdr:colOff>
      <xdr:row>40</xdr:row>
      <xdr:rowOff>159727</xdr:rowOff>
    </xdr:from>
    <xdr:to>
      <xdr:col>12</xdr:col>
      <xdr:colOff>583758</xdr:colOff>
      <xdr:row>40</xdr:row>
      <xdr:rowOff>160884</xdr:rowOff>
    </xdr:to>
    <xdr:cxnSp macro="">
      <xdr:nvCxnSpPr>
        <xdr:cNvPr id="62" name="Straight Connector 61">
          <a:extLst>
            <a:ext uri="{FF2B5EF4-FFF2-40B4-BE49-F238E27FC236}">
              <a16:creationId xmlns:a16="http://schemas.microsoft.com/office/drawing/2014/main" id="{47C1EEF6-CB41-4B40-9B08-C0473CD7F357}"/>
            </a:ext>
          </a:extLst>
        </xdr:cNvPr>
        <xdr:cNvCxnSpPr/>
      </xdr:nvCxnSpPr>
      <xdr:spPr>
        <a:xfrm flipV="1">
          <a:off x="6994085" y="7252677"/>
          <a:ext cx="1114423"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77260</xdr:colOff>
      <xdr:row>40</xdr:row>
      <xdr:rowOff>159727</xdr:rowOff>
    </xdr:from>
    <xdr:to>
      <xdr:col>14</xdr:col>
      <xdr:colOff>582082</xdr:colOff>
      <xdr:row>40</xdr:row>
      <xdr:rowOff>160884</xdr:rowOff>
    </xdr:to>
    <xdr:cxnSp macro="">
      <xdr:nvCxnSpPr>
        <xdr:cNvPr id="63" name="Straight Connector 62">
          <a:extLst>
            <a:ext uri="{FF2B5EF4-FFF2-40B4-BE49-F238E27FC236}">
              <a16:creationId xmlns:a16="http://schemas.microsoft.com/office/drawing/2014/main" id="{60C9A540-ED20-4820-891F-8E57F6489A98}"/>
            </a:ext>
          </a:extLst>
        </xdr:cNvPr>
        <xdr:cNvCxnSpPr/>
      </xdr:nvCxnSpPr>
      <xdr:spPr>
        <a:xfrm flipV="1">
          <a:off x="8211610" y="7252677"/>
          <a:ext cx="1114422"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87863</xdr:colOff>
      <xdr:row>40</xdr:row>
      <xdr:rowOff>159727</xdr:rowOff>
    </xdr:from>
    <xdr:to>
      <xdr:col>16</xdr:col>
      <xdr:colOff>591766</xdr:colOff>
      <xdr:row>40</xdr:row>
      <xdr:rowOff>160884</xdr:rowOff>
    </xdr:to>
    <xdr:cxnSp macro="">
      <xdr:nvCxnSpPr>
        <xdr:cNvPr id="64" name="Straight Connector 63">
          <a:extLst>
            <a:ext uri="{FF2B5EF4-FFF2-40B4-BE49-F238E27FC236}">
              <a16:creationId xmlns:a16="http://schemas.microsoft.com/office/drawing/2014/main" id="{FB67177F-1BD2-4BA7-ADCC-ABF99070892C}"/>
            </a:ext>
          </a:extLst>
        </xdr:cNvPr>
        <xdr:cNvCxnSpPr/>
      </xdr:nvCxnSpPr>
      <xdr:spPr>
        <a:xfrm flipV="1">
          <a:off x="9441413" y="7252677"/>
          <a:ext cx="1113503"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76561</xdr:colOff>
      <xdr:row>40</xdr:row>
      <xdr:rowOff>159727</xdr:rowOff>
    </xdr:from>
    <xdr:to>
      <xdr:col>18</xdr:col>
      <xdr:colOff>580463</xdr:colOff>
      <xdr:row>40</xdr:row>
      <xdr:rowOff>160884</xdr:rowOff>
    </xdr:to>
    <xdr:cxnSp macro="">
      <xdr:nvCxnSpPr>
        <xdr:cNvPr id="65" name="Straight Connector 64">
          <a:extLst>
            <a:ext uri="{FF2B5EF4-FFF2-40B4-BE49-F238E27FC236}">
              <a16:creationId xmlns:a16="http://schemas.microsoft.com/office/drawing/2014/main" id="{F527E8A6-3E04-4D54-86C2-E8D3AEC1F9CD}"/>
            </a:ext>
          </a:extLst>
        </xdr:cNvPr>
        <xdr:cNvCxnSpPr/>
      </xdr:nvCxnSpPr>
      <xdr:spPr>
        <a:xfrm flipV="1">
          <a:off x="10649311" y="7252677"/>
          <a:ext cx="1113502"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61427</xdr:colOff>
      <xdr:row>40</xdr:row>
      <xdr:rowOff>159727</xdr:rowOff>
    </xdr:from>
    <xdr:to>
      <xdr:col>20</xdr:col>
      <xdr:colOff>565330</xdr:colOff>
      <xdr:row>40</xdr:row>
      <xdr:rowOff>160884</xdr:rowOff>
    </xdr:to>
    <xdr:cxnSp macro="">
      <xdr:nvCxnSpPr>
        <xdr:cNvPr id="66" name="Straight Connector 65">
          <a:extLst>
            <a:ext uri="{FF2B5EF4-FFF2-40B4-BE49-F238E27FC236}">
              <a16:creationId xmlns:a16="http://schemas.microsoft.com/office/drawing/2014/main" id="{60A909ED-ECBB-405E-AD2C-14544A5D7C6A}"/>
            </a:ext>
          </a:extLst>
        </xdr:cNvPr>
        <xdr:cNvCxnSpPr/>
      </xdr:nvCxnSpPr>
      <xdr:spPr>
        <a:xfrm flipV="1">
          <a:off x="11853377" y="7252677"/>
          <a:ext cx="1113503"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58081</xdr:colOff>
      <xdr:row>44</xdr:row>
      <xdr:rowOff>162046</xdr:rowOff>
    </xdr:from>
    <xdr:to>
      <xdr:col>10</xdr:col>
      <xdr:colOff>562028</xdr:colOff>
      <xdr:row>44</xdr:row>
      <xdr:rowOff>163364</xdr:rowOff>
    </xdr:to>
    <xdr:cxnSp macro="">
      <xdr:nvCxnSpPr>
        <xdr:cNvPr id="67" name="Straight Connector 66">
          <a:extLst>
            <a:ext uri="{FF2B5EF4-FFF2-40B4-BE49-F238E27FC236}">
              <a16:creationId xmlns:a16="http://schemas.microsoft.com/office/drawing/2014/main" id="{7852049B-4162-4F88-A3EC-DE9A1DDD2D01}"/>
            </a:ext>
          </a:extLst>
        </xdr:cNvPr>
        <xdr:cNvCxnSpPr/>
      </xdr:nvCxnSpPr>
      <xdr:spPr>
        <a:xfrm flipV="1">
          <a:off x="5754031" y="79915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60135</xdr:colOff>
      <xdr:row>44</xdr:row>
      <xdr:rowOff>162046</xdr:rowOff>
    </xdr:from>
    <xdr:to>
      <xdr:col>12</xdr:col>
      <xdr:colOff>564958</xdr:colOff>
      <xdr:row>44</xdr:row>
      <xdr:rowOff>163364</xdr:rowOff>
    </xdr:to>
    <xdr:cxnSp macro="">
      <xdr:nvCxnSpPr>
        <xdr:cNvPr id="68" name="Straight Connector 67">
          <a:extLst>
            <a:ext uri="{FF2B5EF4-FFF2-40B4-BE49-F238E27FC236}">
              <a16:creationId xmlns:a16="http://schemas.microsoft.com/office/drawing/2014/main" id="{A439866A-69A3-45A3-99DF-2615450F7D15}"/>
            </a:ext>
          </a:extLst>
        </xdr:cNvPr>
        <xdr:cNvCxnSpPr/>
      </xdr:nvCxnSpPr>
      <xdr:spPr>
        <a:xfrm flipV="1">
          <a:off x="6975285" y="7991596"/>
          <a:ext cx="1114423"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58460</xdr:colOff>
      <xdr:row>44</xdr:row>
      <xdr:rowOff>162046</xdr:rowOff>
    </xdr:from>
    <xdr:to>
      <xdr:col>14</xdr:col>
      <xdr:colOff>563282</xdr:colOff>
      <xdr:row>44</xdr:row>
      <xdr:rowOff>163364</xdr:rowOff>
    </xdr:to>
    <xdr:cxnSp macro="">
      <xdr:nvCxnSpPr>
        <xdr:cNvPr id="69" name="Straight Connector 68">
          <a:extLst>
            <a:ext uri="{FF2B5EF4-FFF2-40B4-BE49-F238E27FC236}">
              <a16:creationId xmlns:a16="http://schemas.microsoft.com/office/drawing/2014/main" id="{523CAFC7-FA4D-42FF-81C3-B4177BFDC308}"/>
            </a:ext>
          </a:extLst>
        </xdr:cNvPr>
        <xdr:cNvCxnSpPr/>
      </xdr:nvCxnSpPr>
      <xdr:spPr>
        <a:xfrm flipV="1">
          <a:off x="8192810" y="7991596"/>
          <a:ext cx="1114422"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69063</xdr:colOff>
      <xdr:row>44</xdr:row>
      <xdr:rowOff>162046</xdr:rowOff>
    </xdr:from>
    <xdr:to>
      <xdr:col>16</xdr:col>
      <xdr:colOff>572966</xdr:colOff>
      <xdr:row>44</xdr:row>
      <xdr:rowOff>163364</xdr:rowOff>
    </xdr:to>
    <xdr:cxnSp macro="">
      <xdr:nvCxnSpPr>
        <xdr:cNvPr id="70" name="Straight Connector 69">
          <a:extLst>
            <a:ext uri="{FF2B5EF4-FFF2-40B4-BE49-F238E27FC236}">
              <a16:creationId xmlns:a16="http://schemas.microsoft.com/office/drawing/2014/main" id="{092B93BB-1D0F-4FFE-BD6B-DDBC535C5E16}"/>
            </a:ext>
          </a:extLst>
        </xdr:cNvPr>
        <xdr:cNvCxnSpPr/>
      </xdr:nvCxnSpPr>
      <xdr:spPr>
        <a:xfrm flipV="1">
          <a:off x="9422613" y="7991596"/>
          <a:ext cx="1113503"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57761</xdr:colOff>
      <xdr:row>44</xdr:row>
      <xdr:rowOff>162046</xdr:rowOff>
    </xdr:from>
    <xdr:to>
      <xdr:col>18</xdr:col>
      <xdr:colOff>561663</xdr:colOff>
      <xdr:row>44</xdr:row>
      <xdr:rowOff>163364</xdr:rowOff>
    </xdr:to>
    <xdr:cxnSp macro="">
      <xdr:nvCxnSpPr>
        <xdr:cNvPr id="71" name="Straight Connector 70">
          <a:extLst>
            <a:ext uri="{FF2B5EF4-FFF2-40B4-BE49-F238E27FC236}">
              <a16:creationId xmlns:a16="http://schemas.microsoft.com/office/drawing/2014/main" id="{8D757515-91EE-4383-BB53-221E6F419882}"/>
            </a:ext>
          </a:extLst>
        </xdr:cNvPr>
        <xdr:cNvCxnSpPr/>
      </xdr:nvCxnSpPr>
      <xdr:spPr>
        <a:xfrm flipV="1">
          <a:off x="10630511" y="7991596"/>
          <a:ext cx="1113502"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42627</xdr:colOff>
      <xdr:row>44</xdr:row>
      <xdr:rowOff>162046</xdr:rowOff>
    </xdr:from>
    <xdr:to>
      <xdr:col>20</xdr:col>
      <xdr:colOff>546530</xdr:colOff>
      <xdr:row>44</xdr:row>
      <xdr:rowOff>163364</xdr:rowOff>
    </xdr:to>
    <xdr:cxnSp macro="">
      <xdr:nvCxnSpPr>
        <xdr:cNvPr id="72" name="Straight Connector 71">
          <a:extLst>
            <a:ext uri="{FF2B5EF4-FFF2-40B4-BE49-F238E27FC236}">
              <a16:creationId xmlns:a16="http://schemas.microsoft.com/office/drawing/2014/main" id="{4E19331E-DE41-46EF-9323-A5D482C95914}"/>
            </a:ext>
          </a:extLst>
        </xdr:cNvPr>
        <xdr:cNvCxnSpPr/>
      </xdr:nvCxnSpPr>
      <xdr:spPr>
        <a:xfrm flipV="1">
          <a:off x="11834577" y="7991596"/>
          <a:ext cx="1113503"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58081</xdr:colOff>
      <xdr:row>53</xdr:row>
      <xdr:rowOff>159446</xdr:rowOff>
    </xdr:from>
    <xdr:to>
      <xdr:col>10</xdr:col>
      <xdr:colOff>562028</xdr:colOff>
      <xdr:row>53</xdr:row>
      <xdr:rowOff>160764</xdr:rowOff>
    </xdr:to>
    <xdr:cxnSp macro="">
      <xdr:nvCxnSpPr>
        <xdr:cNvPr id="73" name="Straight Connector 72">
          <a:extLst>
            <a:ext uri="{FF2B5EF4-FFF2-40B4-BE49-F238E27FC236}">
              <a16:creationId xmlns:a16="http://schemas.microsoft.com/office/drawing/2014/main" id="{35CFB551-8726-45AE-87C5-787934749BC6}"/>
            </a:ext>
          </a:extLst>
        </xdr:cNvPr>
        <xdr:cNvCxnSpPr/>
      </xdr:nvCxnSpPr>
      <xdr:spPr>
        <a:xfrm flipV="1">
          <a:off x="5754031" y="94939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60135</xdr:colOff>
      <xdr:row>53</xdr:row>
      <xdr:rowOff>159446</xdr:rowOff>
    </xdr:from>
    <xdr:to>
      <xdr:col>12</xdr:col>
      <xdr:colOff>564958</xdr:colOff>
      <xdr:row>53</xdr:row>
      <xdr:rowOff>160764</xdr:rowOff>
    </xdr:to>
    <xdr:cxnSp macro="">
      <xdr:nvCxnSpPr>
        <xdr:cNvPr id="74" name="Straight Connector 73">
          <a:extLst>
            <a:ext uri="{FF2B5EF4-FFF2-40B4-BE49-F238E27FC236}">
              <a16:creationId xmlns:a16="http://schemas.microsoft.com/office/drawing/2014/main" id="{7BF89D70-CB6A-4AB4-96D0-B2983563536E}"/>
            </a:ext>
          </a:extLst>
        </xdr:cNvPr>
        <xdr:cNvCxnSpPr/>
      </xdr:nvCxnSpPr>
      <xdr:spPr>
        <a:xfrm flipV="1">
          <a:off x="6975285" y="9493946"/>
          <a:ext cx="1114423"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58460</xdr:colOff>
      <xdr:row>53</xdr:row>
      <xdr:rowOff>159446</xdr:rowOff>
    </xdr:from>
    <xdr:to>
      <xdr:col>14</xdr:col>
      <xdr:colOff>563282</xdr:colOff>
      <xdr:row>53</xdr:row>
      <xdr:rowOff>160764</xdr:rowOff>
    </xdr:to>
    <xdr:cxnSp macro="">
      <xdr:nvCxnSpPr>
        <xdr:cNvPr id="75" name="Straight Connector 74">
          <a:extLst>
            <a:ext uri="{FF2B5EF4-FFF2-40B4-BE49-F238E27FC236}">
              <a16:creationId xmlns:a16="http://schemas.microsoft.com/office/drawing/2014/main" id="{92D335F5-D2FB-4D0B-891C-6F6B6D3B2B62}"/>
            </a:ext>
          </a:extLst>
        </xdr:cNvPr>
        <xdr:cNvCxnSpPr/>
      </xdr:nvCxnSpPr>
      <xdr:spPr>
        <a:xfrm flipV="1">
          <a:off x="8192810" y="9493946"/>
          <a:ext cx="1114422"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69063</xdr:colOff>
      <xdr:row>53</xdr:row>
      <xdr:rowOff>159446</xdr:rowOff>
    </xdr:from>
    <xdr:to>
      <xdr:col>16</xdr:col>
      <xdr:colOff>572966</xdr:colOff>
      <xdr:row>53</xdr:row>
      <xdr:rowOff>160764</xdr:rowOff>
    </xdr:to>
    <xdr:cxnSp macro="">
      <xdr:nvCxnSpPr>
        <xdr:cNvPr id="76" name="Straight Connector 75">
          <a:extLst>
            <a:ext uri="{FF2B5EF4-FFF2-40B4-BE49-F238E27FC236}">
              <a16:creationId xmlns:a16="http://schemas.microsoft.com/office/drawing/2014/main" id="{524EB8FC-F8BF-47B9-A482-7F8910EE5E17}"/>
            </a:ext>
          </a:extLst>
        </xdr:cNvPr>
        <xdr:cNvCxnSpPr/>
      </xdr:nvCxnSpPr>
      <xdr:spPr>
        <a:xfrm flipV="1">
          <a:off x="9422613" y="9493946"/>
          <a:ext cx="1113503"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57761</xdr:colOff>
      <xdr:row>53</xdr:row>
      <xdr:rowOff>159446</xdr:rowOff>
    </xdr:from>
    <xdr:to>
      <xdr:col>18</xdr:col>
      <xdr:colOff>561663</xdr:colOff>
      <xdr:row>53</xdr:row>
      <xdr:rowOff>160764</xdr:rowOff>
    </xdr:to>
    <xdr:cxnSp macro="">
      <xdr:nvCxnSpPr>
        <xdr:cNvPr id="77" name="Straight Connector 76">
          <a:extLst>
            <a:ext uri="{FF2B5EF4-FFF2-40B4-BE49-F238E27FC236}">
              <a16:creationId xmlns:a16="http://schemas.microsoft.com/office/drawing/2014/main" id="{92419DFB-2D2F-495A-9F44-65C26883664B}"/>
            </a:ext>
          </a:extLst>
        </xdr:cNvPr>
        <xdr:cNvCxnSpPr/>
      </xdr:nvCxnSpPr>
      <xdr:spPr>
        <a:xfrm flipV="1">
          <a:off x="10630511" y="9493946"/>
          <a:ext cx="1113502"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42627</xdr:colOff>
      <xdr:row>53</xdr:row>
      <xdr:rowOff>159446</xdr:rowOff>
    </xdr:from>
    <xdr:to>
      <xdr:col>20</xdr:col>
      <xdr:colOff>546530</xdr:colOff>
      <xdr:row>53</xdr:row>
      <xdr:rowOff>160764</xdr:rowOff>
    </xdr:to>
    <xdr:cxnSp macro="">
      <xdr:nvCxnSpPr>
        <xdr:cNvPr id="78" name="Straight Connector 77">
          <a:extLst>
            <a:ext uri="{FF2B5EF4-FFF2-40B4-BE49-F238E27FC236}">
              <a16:creationId xmlns:a16="http://schemas.microsoft.com/office/drawing/2014/main" id="{15F4286F-55D1-4047-9F80-9674A6537641}"/>
            </a:ext>
          </a:extLst>
        </xdr:cNvPr>
        <xdr:cNvCxnSpPr/>
      </xdr:nvCxnSpPr>
      <xdr:spPr>
        <a:xfrm flipV="1">
          <a:off x="11834577" y="9493946"/>
          <a:ext cx="1113503"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58081</xdr:colOff>
      <xdr:row>54</xdr:row>
      <xdr:rowOff>161846</xdr:rowOff>
    </xdr:from>
    <xdr:to>
      <xdr:col>10</xdr:col>
      <xdr:colOff>562028</xdr:colOff>
      <xdr:row>54</xdr:row>
      <xdr:rowOff>163164</xdr:rowOff>
    </xdr:to>
    <xdr:cxnSp macro="">
      <xdr:nvCxnSpPr>
        <xdr:cNvPr id="79" name="Straight Connector 78">
          <a:extLst>
            <a:ext uri="{FF2B5EF4-FFF2-40B4-BE49-F238E27FC236}">
              <a16:creationId xmlns:a16="http://schemas.microsoft.com/office/drawing/2014/main" id="{68ADA335-392E-4964-BD70-9F288A798CB4}"/>
            </a:ext>
          </a:extLst>
        </xdr:cNvPr>
        <xdr:cNvCxnSpPr/>
      </xdr:nvCxnSpPr>
      <xdr:spPr>
        <a:xfrm flipV="1">
          <a:off x="5754031" y="96804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60135</xdr:colOff>
      <xdr:row>54</xdr:row>
      <xdr:rowOff>161846</xdr:rowOff>
    </xdr:from>
    <xdr:to>
      <xdr:col>12</xdr:col>
      <xdr:colOff>564958</xdr:colOff>
      <xdr:row>54</xdr:row>
      <xdr:rowOff>163164</xdr:rowOff>
    </xdr:to>
    <xdr:cxnSp macro="">
      <xdr:nvCxnSpPr>
        <xdr:cNvPr id="80" name="Straight Connector 79">
          <a:extLst>
            <a:ext uri="{FF2B5EF4-FFF2-40B4-BE49-F238E27FC236}">
              <a16:creationId xmlns:a16="http://schemas.microsoft.com/office/drawing/2014/main" id="{96301566-6094-4AF1-9903-5235C532C9A7}"/>
            </a:ext>
          </a:extLst>
        </xdr:cNvPr>
        <xdr:cNvCxnSpPr/>
      </xdr:nvCxnSpPr>
      <xdr:spPr>
        <a:xfrm flipV="1">
          <a:off x="6975285" y="9680496"/>
          <a:ext cx="1114423"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58460</xdr:colOff>
      <xdr:row>54</xdr:row>
      <xdr:rowOff>161846</xdr:rowOff>
    </xdr:from>
    <xdr:to>
      <xdr:col>14</xdr:col>
      <xdr:colOff>563282</xdr:colOff>
      <xdr:row>54</xdr:row>
      <xdr:rowOff>163164</xdr:rowOff>
    </xdr:to>
    <xdr:cxnSp macro="">
      <xdr:nvCxnSpPr>
        <xdr:cNvPr id="81" name="Straight Connector 80">
          <a:extLst>
            <a:ext uri="{FF2B5EF4-FFF2-40B4-BE49-F238E27FC236}">
              <a16:creationId xmlns:a16="http://schemas.microsoft.com/office/drawing/2014/main" id="{00166A1D-7942-4EF2-9C55-82F3B560D8A7}"/>
            </a:ext>
          </a:extLst>
        </xdr:cNvPr>
        <xdr:cNvCxnSpPr/>
      </xdr:nvCxnSpPr>
      <xdr:spPr>
        <a:xfrm flipV="1">
          <a:off x="8192810" y="9680496"/>
          <a:ext cx="1114422"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69063</xdr:colOff>
      <xdr:row>54</xdr:row>
      <xdr:rowOff>161846</xdr:rowOff>
    </xdr:from>
    <xdr:to>
      <xdr:col>16</xdr:col>
      <xdr:colOff>572966</xdr:colOff>
      <xdr:row>54</xdr:row>
      <xdr:rowOff>163164</xdr:rowOff>
    </xdr:to>
    <xdr:cxnSp macro="">
      <xdr:nvCxnSpPr>
        <xdr:cNvPr id="82" name="Straight Connector 81">
          <a:extLst>
            <a:ext uri="{FF2B5EF4-FFF2-40B4-BE49-F238E27FC236}">
              <a16:creationId xmlns:a16="http://schemas.microsoft.com/office/drawing/2014/main" id="{14BA1510-DB04-4B37-B5F7-A8B5DC8A34E5}"/>
            </a:ext>
          </a:extLst>
        </xdr:cNvPr>
        <xdr:cNvCxnSpPr/>
      </xdr:nvCxnSpPr>
      <xdr:spPr>
        <a:xfrm flipV="1">
          <a:off x="9422613" y="9680496"/>
          <a:ext cx="1113503"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57761</xdr:colOff>
      <xdr:row>54</xdr:row>
      <xdr:rowOff>161846</xdr:rowOff>
    </xdr:from>
    <xdr:to>
      <xdr:col>18</xdr:col>
      <xdr:colOff>561663</xdr:colOff>
      <xdr:row>54</xdr:row>
      <xdr:rowOff>163164</xdr:rowOff>
    </xdr:to>
    <xdr:cxnSp macro="">
      <xdr:nvCxnSpPr>
        <xdr:cNvPr id="83" name="Straight Connector 82">
          <a:extLst>
            <a:ext uri="{FF2B5EF4-FFF2-40B4-BE49-F238E27FC236}">
              <a16:creationId xmlns:a16="http://schemas.microsoft.com/office/drawing/2014/main" id="{154F6E79-F5ED-489A-B2DE-F952A7056D1E}"/>
            </a:ext>
          </a:extLst>
        </xdr:cNvPr>
        <xdr:cNvCxnSpPr/>
      </xdr:nvCxnSpPr>
      <xdr:spPr>
        <a:xfrm flipV="1">
          <a:off x="10630511" y="9680496"/>
          <a:ext cx="1113502"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42627</xdr:colOff>
      <xdr:row>54</xdr:row>
      <xdr:rowOff>161846</xdr:rowOff>
    </xdr:from>
    <xdr:to>
      <xdr:col>20</xdr:col>
      <xdr:colOff>546530</xdr:colOff>
      <xdr:row>54</xdr:row>
      <xdr:rowOff>163164</xdr:rowOff>
    </xdr:to>
    <xdr:cxnSp macro="">
      <xdr:nvCxnSpPr>
        <xdr:cNvPr id="84" name="Straight Connector 83">
          <a:extLst>
            <a:ext uri="{FF2B5EF4-FFF2-40B4-BE49-F238E27FC236}">
              <a16:creationId xmlns:a16="http://schemas.microsoft.com/office/drawing/2014/main" id="{72C7AA28-5934-4CDD-91F9-6A3245112478}"/>
            </a:ext>
          </a:extLst>
        </xdr:cNvPr>
        <xdr:cNvCxnSpPr/>
      </xdr:nvCxnSpPr>
      <xdr:spPr>
        <a:xfrm flipV="1">
          <a:off x="11834577" y="9680496"/>
          <a:ext cx="1113503"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58081</xdr:colOff>
      <xdr:row>55</xdr:row>
      <xdr:rowOff>4246</xdr:rowOff>
    </xdr:from>
    <xdr:to>
      <xdr:col>10</xdr:col>
      <xdr:colOff>562028</xdr:colOff>
      <xdr:row>55</xdr:row>
      <xdr:rowOff>5564</xdr:rowOff>
    </xdr:to>
    <xdr:cxnSp macro="">
      <xdr:nvCxnSpPr>
        <xdr:cNvPr id="85" name="Straight Connector 84">
          <a:extLst>
            <a:ext uri="{FF2B5EF4-FFF2-40B4-BE49-F238E27FC236}">
              <a16:creationId xmlns:a16="http://schemas.microsoft.com/office/drawing/2014/main" id="{4F69C2B3-748D-4AB8-9E13-0F4930A2ADC8}"/>
            </a:ext>
          </a:extLst>
        </xdr:cNvPr>
        <xdr:cNvCxnSpPr/>
      </xdr:nvCxnSpPr>
      <xdr:spPr>
        <a:xfrm flipV="1">
          <a:off x="5754031" y="97070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60135</xdr:colOff>
      <xdr:row>55</xdr:row>
      <xdr:rowOff>4246</xdr:rowOff>
    </xdr:from>
    <xdr:to>
      <xdr:col>12</xdr:col>
      <xdr:colOff>564958</xdr:colOff>
      <xdr:row>55</xdr:row>
      <xdr:rowOff>5564</xdr:rowOff>
    </xdr:to>
    <xdr:cxnSp macro="">
      <xdr:nvCxnSpPr>
        <xdr:cNvPr id="86" name="Straight Connector 85">
          <a:extLst>
            <a:ext uri="{FF2B5EF4-FFF2-40B4-BE49-F238E27FC236}">
              <a16:creationId xmlns:a16="http://schemas.microsoft.com/office/drawing/2014/main" id="{0692BF0A-C886-4F12-99A5-69DD0BD8C2BB}"/>
            </a:ext>
          </a:extLst>
        </xdr:cNvPr>
        <xdr:cNvCxnSpPr/>
      </xdr:nvCxnSpPr>
      <xdr:spPr>
        <a:xfrm flipV="1">
          <a:off x="6975285" y="9707046"/>
          <a:ext cx="1114423"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58460</xdr:colOff>
      <xdr:row>55</xdr:row>
      <xdr:rowOff>4246</xdr:rowOff>
    </xdr:from>
    <xdr:to>
      <xdr:col>14</xdr:col>
      <xdr:colOff>563282</xdr:colOff>
      <xdr:row>55</xdr:row>
      <xdr:rowOff>5564</xdr:rowOff>
    </xdr:to>
    <xdr:cxnSp macro="">
      <xdr:nvCxnSpPr>
        <xdr:cNvPr id="87" name="Straight Connector 86">
          <a:extLst>
            <a:ext uri="{FF2B5EF4-FFF2-40B4-BE49-F238E27FC236}">
              <a16:creationId xmlns:a16="http://schemas.microsoft.com/office/drawing/2014/main" id="{1DC53835-22E4-44E5-A747-5027F38A9974}"/>
            </a:ext>
          </a:extLst>
        </xdr:cNvPr>
        <xdr:cNvCxnSpPr/>
      </xdr:nvCxnSpPr>
      <xdr:spPr>
        <a:xfrm flipV="1">
          <a:off x="8192810" y="9707046"/>
          <a:ext cx="1114422"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69063</xdr:colOff>
      <xdr:row>55</xdr:row>
      <xdr:rowOff>4246</xdr:rowOff>
    </xdr:from>
    <xdr:to>
      <xdr:col>16</xdr:col>
      <xdr:colOff>572966</xdr:colOff>
      <xdr:row>55</xdr:row>
      <xdr:rowOff>5564</xdr:rowOff>
    </xdr:to>
    <xdr:cxnSp macro="">
      <xdr:nvCxnSpPr>
        <xdr:cNvPr id="88" name="Straight Connector 87">
          <a:extLst>
            <a:ext uri="{FF2B5EF4-FFF2-40B4-BE49-F238E27FC236}">
              <a16:creationId xmlns:a16="http://schemas.microsoft.com/office/drawing/2014/main" id="{2856B8A0-192B-4551-A238-D2669C0ED945}"/>
            </a:ext>
          </a:extLst>
        </xdr:cNvPr>
        <xdr:cNvCxnSpPr/>
      </xdr:nvCxnSpPr>
      <xdr:spPr>
        <a:xfrm flipV="1">
          <a:off x="9422613" y="9707046"/>
          <a:ext cx="1113503"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57761</xdr:colOff>
      <xdr:row>55</xdr:row>
      <xdr:rowOff>4246</xdr:rowOff>
    </xdr:from>
    <xdr:to>
      <xdr:col>18</xdr:col>
      <xdr:colOff>561663</xdr:colOff>
      <xdr:row>55</xdr:row>
      <xdr:rowOff>5564</xdr:rowOff>
    </xdr:to>
    <xdr:cxnSp macro="">
      <xdr:nvCxnSpPr>
        <xdr:cNvPr id="89" name="Straight Connector 88">
          <a:extLst>
            <a:ext uri="{FF2B5EF4-FFF2-40B4-BE49-F238E27FC236}">
              <a16:creationId xmlns:a16="http://schemas.microsoft.com/office/drawing/2014/main" id="{E65183DB-980B-4F21-BA44-58550A9CB9AC}"/>
            </a:ext>
          </a:extLst>
        </xdr:cNvPr>
        <xdr:cNvCxnSpPr/>
      </xdr:nvCxnSpPr>
      <xdr:spPr>
        <a:xfrm flipV="1">
          <a:off x="10630511" y="9707046"/>
          <a:ext cx="1113502"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42627</xdr:colOff>
      <xdr:row>55</xdr:row>
      <xdr:rowOff>4246</xdr:rowOff>
    </xdr:from>
    <xdr:to>
      <xdr:col>20</xdr:col>
      <xdr:colOff>546530</xdr:colOff>
      <xdr:row>55</xdr:row>
      <xdr:rowOff>5564</xdr:rowOff>
    </xdr:to>
    <xdr:cxnSp macro="">
      <xdr:nvCxnSpPr>
        <xdr:cNvPr id="90" name="Straight Connector 89">
          <a:extLst>
            <a:ext uri="{FF2B5EF4-FFF2-40B4-BE49-F238E27FC236}">
              <a16:creationId xmlns:a16="http://schemas.microsoft.com/office/drawing/2014/main" id="{B695C362-B24E-4367-BD17-CF9C1107B90E}"/>
            </a:ext>
          </a:extLst>
        </xdr:cNvPr>
        <xdr:cNvCxnSpPr/>
      </xdr:nvCxnSpPr>
      <xdr:spPr>
        <a:xfrm flipV="1">
          <a:off x="11834577" y="9707046"/>
          <a:ext cx="1113503"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9641</xdr:colOff>
      <xdr:row>61</xdr:row>
      <xdr:rowOff>152722</xdr:rowOff>
    </xdr:from>
    <xdr:to>
      <xdr:col>21</xdr:col>
      <xdr:colOff>41413</xdr:colOff>
      <xdr:row>61</xdr:row>
      <xdr:rowOff>152722</xdr:rowOff>
    </xdr:to>
    <xdr:cxnSp macro="">
      <xdr:nvCxnSpPr>
        <xdr:cNvPr id="91" name="Straight Connector 90">
          <a:extLst>
            <a:ext uri="{FF2B5EF4-FFF2-40B4-BE49-F238E27FC236}">
              <a16:creationId xmlns:a16="http://schemas.microsoft.com/office/drawing/2014/main" id="{A6F36A19-196F-4435-82C0-D2783862553E}"/>
            </a:ext>
          </a:extLst>
        </xdr:cNvPr>
        <xdr:cNvCxnSpPr/>
      </xdr:nvCxnSpPr>
      <xdr:spPr>
        <a:xfrm>
          <a:off x="3876791" y="10833422"/>
          <a:ext cx="9175772" cy="0"/>
        </a:xfrm>
        <a:prstGeom prst="line">
          <a:avLst/>
        </a:prstGeom>
        <a:ln w="12700">
          <a:solidFill>
            <a:schemeClr val="bg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0</xdr:colOff>
      <xdr:row>64</xdr:row>
      <xdr:rowOff>155963</xdr:rowOff>
    </xdr:from>
    <xdr:to>
      <xdr:col>5</xdr:col>
      <xdr:colOff>0</xdr:colOff>
      <xdr:row>64</xdr:row>
      <xdr:rowOff>163262</xdr:rowOff>
    </xdr:to>
    <xdr:cxnSp macro="">
      <xdr:nvCxnSpPr>
        <xdr:cNvPr id="92" name="Straight Connector 91">
          <a:extLst>
            <a:ext uri="{FF2B5EF4-FFF2-40B4-BE49-F238E27FC236}">
              <a16:creationId xmlns:a16="http://schemas.microsoft.com/office/drawing/2014/main" id="{48283925-5EDF-44FC-B659-EBFE82676E4D}"/>
            </a:ext>
          </a:extLst>
        </xdr:cNvPr>
        <xdr:cNvCxnSpPr/>
      </xdr:nvCxnSpPr>
      <xdr:spPr>
        <a:xfrm>
          <a:off x="609600" y="11395463"/>
          <a:ext cx="2647950" cy="7299"/>
        </a:xfrm>
        <a:prstGeom prst="line">
          <a:avLst/>
        </a:prstGeom>
        <a:ln w="12700">
          <a:solidFill>
            <a:schemeClr val="bg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604796</xdr:colOff>
      <xdr:row>68</xdr:row>
      <xdr:rowOff>154145</xdr:rowOff>
    </xdr:from>
    <xdr:to>
      <xdr:col>27</xdr:col>
      <xdr:colOff>0</xdr:colOff>
      <xdr:row>68</xdr:row>
      <xdr:rowOff>157534</xdr:rowOff>
    </xdr:to>
    <xdr:cxnSp macro="">
      <xdr:nvCxnSpPr>
        <xdr:cNvPr id="93" name="Straight Connector 92">
          <a:extLst>
            <a:ext uri="{FF2B5EF4-FFF2-40B4-BE49-F238E27FC236}">
              <a16:creationId xmlns:a16="http://schemas.microsoft.com/office/drawing/2014/main" id="{BFD8D020-B5D4-4D50-BC45-9432EEB42B35}"/>
            </a:ext>
          </a:extLst>
        </xdr:cNvPr>
        <xdr:cNvCxnSpPr/>
      </xdr:nvCxnSpPr>
      <xdr:spPr>
        <a:xfrm flipV="1">
          <a:off x="3862346" y="12136595"/>
          <a:ext cx="13454104" cy="3389"/>
        </a:xfrm>
        <a:prstGeom prst="line">
          <a:avLst/>
        </a:prstGeom>
        <a:ln w="12700">
          <a:solidFill>
            <a:schemeClr val="bg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0</xdr:colOff>
      <xdr:row>38</xdr:row>
      <xdr:rowOff>155032</xdr:rowOff>
    </xdr:from>
    <xdr:to>
      <xdr:col>27</xdr:col>
      <xdr:colOff>0</xdr:colOff>
      <xdr:row>38</xdr:row>
      <xdr:rowOff>155124</xdr:rowOff>
    </xdr:to>
    <xdr:cxnSp macro="">
      <xdr:nvCxnSpPr>
        <xdr:cNvPr id="94" name="Straight Connector 93">
          <a:extLst>
            <a:ext uri="{FF2B5EF4-FFF2-40B4-BE49-F238E27FC236}">
              <a16:creationId xmlns:a16="http://schemas.microsoft.com/office/drawing/2014/main" id="{F54448B7-F33B-448A-A3A7-45F0C912C5E7}"/>
            </a:ext>
          </a:extLst>
        </xdr:cNvPr>
        <xdr:cNvCxnSpPr/>
      </xdr:nvCxnSpPr>
      <xdr:spPr>
        <a:xfrm flipV="1">
          <a:off x="13620750" y="6879682"/>
          <a:ext cx="3695700" cy="92"/>
        </a:xfrm>
        <a:prstGeom prst="line">
          <a:avLst/>
        </a:prstGeom>
        <a:ln w="12700">
          <a:solidFill>
            <a:schemeClr val="bg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62365</xdr:colOff>
      <xdr:row>9</xdr:row>
      <xdr:rowOff>159148</xdr:rowOff>
    </xdr:from>
    <xdr:to>
      <xdr:col>25</xdr:col>
      <xdr:colOff>702445</xdr:colOff>
      <xdr:row>9</xdr:row>
      <xdr:rowOff>159148</xdr:rowOff>
    </xdr:to>
    <xdr:cxnSp macro="">
      <xdr:nvCxnSpPr>
        <xdr:cNvPr id="95" name="Straight Connector 94">
          <a:extLst>
            <a:ext uri="{FF2B5EF4-FFF2-40B4-BE49-F238E27FC236}">
              <a16:creationId xmlns:a16="http://schemas.microsoft.com/office/drawing/2014/main" id="{EE3AF765-392F-478E-8CFC-556416E952E3}"/>
            </a:ext>
          </a:extLst>
        </xdr:cNvPr>
        <xdr:cNvCxnSpPr/>
      </xdr:nvCxnSpPr>
      <xdr:spPr>
        <a:xfrm>
          <a:off x="15969115" y="1797448"/>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58251</xdr:colOff>
      <xdr:row>9</xdr:row>
      <xdr:rowOff>159148</xdr:rowOff>
    </xdr:from>
    <xdr:to>
      <xdr:col>26</xdr:col>
      <xdr:colOff>698331</xdr:colOff>
      <xdr:row>9</xdr:row>
      <xdr:rowOff>159148</xdr:rowOff>
    </xdr:to>
    <xdr:cxnSp macro="">
      <xdr:nvCxnSpPr>
        <xdr:cNvPr id="96" name="Straight Connector 95">
          <a:extLst>
            <a:ext uri="{FF2B5EF4-FFF2-40B4-BE49-F238E27FC236}">
              <a16:creationId xmlns:a16="http://schemas.microsoft.com/office/drawing/2014/main" id="{2D5982CE-51AD-4478-A4FB-46D65D0D5035}"/>
            </a:ext>
          </a:extLst>
        </xdr:cNvPr>
        <xdr:cNvCxnSpPr/>
      </xdr:nvCxnSpPr>
      <xdr:spPr>
        <a:xfrm>
          <a:off x="16727001" y="1797448"/>
          <a:ext cx="5892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67196</xdr:colOff>
      <xdr:row>13</xdr:row>
      <xdr:rowOff>159506</xdr:rowOff>
    </xdr:from>
    <xdr:to>
      <xdr:col>25</xdr:col>
      <xdr:colOff>707276</xdr:colOff>
      <xdr:row>13</xdr:row>
      <xdr:rowOff>159506</xdr:rowOff>
    </xdr:to>
    <xdr:cxnSp macro="">
      <xdr:nvCxnSpPr>
        <xdr:cNvPr id="97" name="Straight Connector 96">
          <a:extLst>
            <a:ext uri="{FF2B5EF4-FFF2-40B4-BE49-F238E27FC236}">
              <a16:creationId xmlns:a16="http://schemas.microsoft.com/office/drawing/2014/main" id="{5A25638F-204F-40E9-A7B6-AF6E88F3CE0E}"/>
            </a:ext>
          </a:extLst>
        </xdr:cNvPr>
        <xdr:cNvCxnSpPr/>
      </xdr:nvCxnSpPr>
      <xdr:spPr>
        <a:xfrm>
          <a:off x="15973946" y="2540756"/>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63082</xdr:colOff>
      <xdr:row>13</xdr:row>
      <xdr:rowOff>159506</xdr:rowOff>
    </xdr:from>
    <xdr:to>
      <xdr:col>26</xdr:col>
      <xdr:colOff>703162</xdr:colOff>
      <xdr:row>13</xdr:row>
      <xdr:rowOff>159506</xdr:rowOff>
    </xdr:to>
    <xdr:cxnSp macro="">
      <xdr:nvCxnSpPr>
        <xdr:cNvPr id="98" name="Straight Connector 97">
          <a:extLst>
            <a:ext uri="{FF2B5EF4-FFF2-40B4-BE49-F238E27FC236}">
              <a16:creationId xmlns:a16="http://schemas.microsoft.com/office/drawing/2014/main" id="{DAC5E36B-3713-44F0-B802-2B5C2B7ECA47}"/>
            </a:ext>
          </a:extLst>
        </xdr:cNvPr>
        <xdr:cNvCxnSpPr/>
      </xdr:nvCxnSpPr>
      <xdr:spPr>
        <a:xfrm>
          <a:off x="16731832" y="2540756"/>
          <a:ext cx="58293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68004</xdr:colOff>
      <xdr:row>18</xdr:row>
      <xdr:rowOff>171282</xdr:rowOff>
    </xdr:from>
    <xdr:to>
      <xdr:col>25</xdr:col>
      <xdr:colOff>708084</xdr:colOff>
      <xdr:row>18</xdr:row>
      <xdr:rowOff>171282</xdr:rowOff>
    </xdr:to>
    <xdr:cxnSp macro="">
      <xdr:nvCxnSpPr>
        <xdr:cNvPr id="99" name="Straight Connector 98">
          <a:extLst>
            <a:ext uri="{FF2B5EF4-FFF2-40B4-BE49-F238E27FC236}">
              <a16:creationId xmlns:a16="http://schemas.microsoft.com/office/drawing/2014/main" id="{300B0FE1-B6A1-46CC-B145-725AEABE3568}"/>
            </a:ext>
          </a:extLst>
        </xdr:cNvPr>
        <xdr:cNvCxnSpPr/>
      </xdr:nvCxnSpPr>
      <xdr:spPr>
        <a:xfrm>
          <a:off x="15974754" y="3473282"/>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63890</xdr:colOff>
      <xdr:row>18</xdr:row>
      <xdr:rowOff>171282</xdr:rowOff>
    </xdr:from>
    <xdr:to>
      <xdr:col>26</xdr:col>
      <xdr:colOff>703970</xdr:colOff>
      <xdr:row>18</xdr:row>
      <xdr:rowOff>171282</xdr:rowOff>
    </xdr:to>
    <xdr:cxnSp macro="">
      <xdr:nvCxnSpPr>
        <xdr:cNvPr id="100" name="Straight Connector 99">
          <a:extLst>
            <a:ext uri="{FF2B5EF4-FFF2-40B4-BE49-F238E27FC236}">
              <a16:creationId xmlns:a16="http://schemas.microsoft.com/office/drawing/2014/main" id="{64462D94-A4DE-46E6-A0DB-6F65DC7518D8}"/>
            </a:ext>
          </a:extLst>
        </xdr:cNvPr>
        <xdr:cNvCxnSpPr/>
      </xdr:nvCxnSpPr>
      <xdr:spPr>
        <a:xfrm>
          <a:off x="16732640" y="3473282"/>
          <a:ext cx="58293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69448</xdr:colOff>
      <xdr:row>20</xdr:row>
      <xdr:rowOff>166161</xdr:rowOff>
    </xdr:from>
    <xdr:to>
      <xdr:col>25</xdr:col>
      <xdr:colOff>709528</xdr:colOff>
      <xdr:row>20</xdr:row>
      <xdr:rowOff>166161</xdr:rowOff>
    </xdr:to>
    <xdr:cxnSp macro="">
      <xdr:nvCxnSpPr>
        <xdr:cNvPr id="101" name="Straight Connector 100">
          <a:extLst>
            <a:ext uri="{FF2B5EF4-FFF2-40B4-BE49-F238E27FC236}">
              <a16:creationId xmlns:a16="http://schemas.microsoft.com/office/drawing/2014/main" id="{7A85CFE1-34E0-464E-B239-A5A4FDAF9E28}"/>
            </a:ext>
          </a:extLst>
        </xdr:cNvPr>
        <xdr:cNvCxnSpPr/>
      </xdr:nvCxnSpPr>
      <xdr:spPr>
        <a:xfrm>
          <a:off x="15976198" y="3703111"/>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65334</xdr:colOff>
      <xdr:row>20</xdr:row>
      <xdr:rowOff>166161</xdr:rowOff>
    </xdr:from>
    <xdr:to>
      <xdr:col>26</xdr:col>
      <xdr:colOff>705414</xdr:colOff>
      <xdr:row>20</xdr:row>
      <xdr:rowOff>166161</xdr:rowOff>
    </xdr:to>
    <xdr:cxnSp macro="">
      <xdr:nvCxnSpPr>
        <xdr:cNvPr id="102" name="Straight Connector 101">
          <a:extLst>
            <a:ext uri="{FF2B5EF4-FFF2-40B4-BE49-F238E27FC236}">
              <a16:creationId xmlns:a16="http://schemas.microsoft.com/office/drawing/2014/main" id="{67BBB5D9-3A00-418B-BA1A-286E9F32F33E}"/>
            </a:ext>
          </a:extLst>
        </xdr:cNvPr>
        <xdr:cNvCxnSpPr/>
      </xdr:nvCxnSpPr>
      <xdr:spPr>
        <a:xfrm>
          <a:off x="16734084" y="3703111"/>
          <a:ext cx="58293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74167</xdr:colOff>
      <xdr:row>24</xdr:row>
      <xdr:rowOff>159033</xdr:rowOff>
    </xdr:from>
    <xdr:to>
      <xdr:col>25</xdr:col>
      <xdr:colOff>714247</xdr:colOff>
      <xdr:row>24</xdr:row>
      <xdr:rowOff>159033</xdr:rowOff>
    </xdr:to>
    <xdr:cxnSp macro="">
      <xdr:nvCxnSpPr>
        <xdr:cNvPr id="103" name="Straight Connector 102">
          <a:extLst>
            <a:ext uri="{FF2B5EF4-FFF2-40B4-BE49-F238E27FC236}">
              <a16:creationId xmlns:a16="http://schemas.microsoft.com/office/drawing/2014/main" id="{3DB9EA15-0E80-4DEC-B44C-424DEA6C9067}"/>
            </a:ext>
          </a:extLst>
        </xdr:cNvPr>
        <xdr:cNvCxnSpPr/>
      </xdr:nvCxnSpPr>
      <xdr:spPr>
        <a:xfrm>
          <a:off x="15980917" y="4432583"/>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70053</xdr:colOff>
      <xdr:row>24</xdr:row>
      <xdr:rowOff>159033</xdr:rowOff>
    </xdr:from>
    <xdr:to>
      <xdr:col>26</xdr:col>
      <xdr:colOff>710133</xdr:colOff>
      <xdr:row>24</xdr:row>
      <xdr:rowOff>159033</xdr:rowOff>
    </xdr:to>
    <xdr:cxnSp macro="">
      <xdr:nvCxnSpPr>
        <xdr:cNvPr id="104" name="Straight Connector 103">
          <a:extLst>
            <a:ext uri="{FF2B5EF4-FFF2-40B4-BE49-F238E27FC236}">
              <a16:creationId xmlns:a16="http://schemas.microsoft.com/office/drawing/2014/main" id="{59401254-1840-4B79-8EE9-4137391A635F}"/>
            </a:ext>
          </a:extLst>
        </xdr:cNvPr>
        <xdr:cNvCxnSpPr/>
      </xdr:nvCxnSpPr>
      <xdr:spPr>
        <a:xfrm>
          <a:off x="16738803" y="4432583"/>
          <a:ext cx="5765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74167</xdr:colOff>
      <xdr:row>28</xdr:row>
      <xdr:rowOff>166653</xdr:rowOff>
    </xdr:from>
    <xdr:to>
      <xdr:col>25</xdr:col>
      <xdr:colOff>714247</xdr:colOff>
      <xdr:row>28</xdr:row>
      <xdr:rowOff>166653</xdr:rowOff>
    </xdr:to>
    <xdr:cxnSp macro="">
      <xdr:nvCxnSpPr>
        <xdr:cNvPr id="105" name="Straight Connector 104">
          <a:extLst>
            <a:ext uri="{FF2B5EF4-FFF2-40B4-BE49-F238E27FC236}">
              <a16:creationId xmlns:a16="http://schemas.microsoft.com/office/drawing/2014/main" id="{9B60FEB5-C072-49B0-BCA3-C5B1726723B3}"/>
            </a:ext>
          </a:extLst>
        </xdr:cNvPr>
        <xdr:cNvCxnSpPr/>
      </xdr:nvCxnSpPr>
      <xdr:spPr>
        <a:xfrm>
          <a:off x="15980917" y="5176803"/>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70053</xdr:colOff>
      <xdr:row>28</xdr:row>
      <xdr:rowOff>166653</xdr:rowOff>
    </xdr:from>
    <xdr:to>
      <xdr:col>26</xdr:col>
      <xdr:colOff>710133</xdr:colOff>
      <xdr:row>28</xdr:row>
      <xdr:rowOff>166653</xdr:rowOff>
    </xdr:to>
    <xdr:cxnSp macro="">
      <xdr:nvCxnSpPr>
        <xdr:cNvPr id="106" name="Straight Connector 105">
          <a:extLst>
            <a:ext uri="{FF2B5EF4-FFF2-40B4-BE49-F238E27FC236}">
              <a16:creationId xmlns:a16="http://schemas.microsoft.com/office/drawing/2014/main" id="{DE635B2A-EBE0-486F-BD61-CAAF9CB38A94}"/>
            </a:ext>
          </a:extLst>
        </xdr:cNvPr>
        <xdr:cNvCxnSpPr/>
      </xdr:nvCxnSpPr>
      <xdr:spPr>
        <a:xfrm>
          <a:off x="16738803" y="5176803"/>
          <a:ext cx="5765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74167</xdr:colOff>
      <xdr:row>33</xdr:row>
      <xdr:rowOff>161573</xdr:rowOff>
    </xdr:from>
    <xdr:to>
      <xdr:col>25</xdr:col>
      <xdr:colOff>714247</xdr:colOff>
      <xdr:row>33</xdr:row>
      <xdr:rowOff>161573</xdr:rowOff>
    </xdr:to>
    <xdr:cxnSp macro="">
      <xdr:nvCxnSpPr>
        <xdr:cNvPr id="107" name="Straight Connector 106">
          <a:extLst>
            <a:ext uri="{FF2B5EF4-FFF2-40B4-BE49-F238E27FC236}">
              <a16:creationId xmlns:a16="http://schemas.microsoft.com/office/drawing/2014/main" id="{F1F48582-F7CC-48DF-B46A-4F578E981E53}"/>
            </a:ext>
          </a:extLst>
        </xdr:cNvPr>
        <xdr:cNvCxnSpPr/>
      </xdr:nvCxnSpPr>
      <xdr:spPr>
        <a:xfrm>
          <a:off x="15980917" y="6105173"/>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70053</xdr:colOff>
      <xdr:row>33</xdr:row>
      <xdr:rowOff>161573</xdr:rowOff>
    </xdr:from>
    <xdr:to>
      <xdr:col>26</xdr:col>
      <xdr:colOff>710133</xdr:colOff>
      <xdr:row>33</xdr:row>
      <xdr:rowOff>161573</xdr:rowOff>
    </xdr:to>
    <xdr:cxnSp macro="">
      <xdr:nvCxnSpPr>
        <xdr:cNvPr id="108" name="Straight Connector 107">
          <a:extLst>
            <a:ext uri="{FF2B5EF4-FFF2-40B4-BE49-F238E27FC236}">
              <a16:creationId xmlns:a16="http://schemas.microsoft.com/office/drawing/2014/main" id="{D31C1EC2-7C2D-4723-A9D4-D0B5BEFE58FF}"/>
            </a:ext>
          </a:extLst>
        </xdr:cNvPr>
        <xdr:cNvCxnSpPr/>
      </xdr:nvCxnSpPr>
      <xdr:spPr>
        <a:xfrm>
          <a:off x="16738803" y="6105173"/>
          <a:ext cx="5765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71627</xdr:colOff>
      <xdr:row>34</xdr:row>
      <xdr:rowOff>164113</xdr:rowOff>
    </xdr:from>
    <xdr:to>
      <xdr:col>25</xdr:col>
      <xdr:colOff>711707</xdr:colOff>
      <xdr:row>34</xdr:row>
      <xdr:rowOff>164113</xdr:rowOff>
    </xdr:to>
    <xdr:cxnSp macro="">
      <xdr:nvCxnSpPr>
        <xdr:cNvPr id="109" name="Straight Connector 108">
          <a:extLst>
            <a:ext uri="{FF2B5EF4-FFF2-40B4-BE49-F238E27FC236}">
              <a16:creationId xmlns:a16="http://schemas.microsoft.com/office/drawing/2014/main" id="{27CB1786-79B5-4239-B40D-81F84037C5D3}"/>
            </a:ext>
          </a:extLst>
        </xdr:cNvPr>
        <xdr:cNvCxnSpPr/>
      </xdr:nvCxnSpPr>
      <xdr:spPr>
        <a:xfrm>
          <a:off x="15978377" y="6291863"/>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67513</xdr:colOff>
      <xdr:row>34</xdr:row>
      <xdr:rowOff>164113</xdr:rowOff>
    </xdr:from>
    <xdr:to>
      <xdr:col>26</xdr:col>
      <xdr:colOff>707593</xdr:colOff>
      <xdr:row>34</xdr:row>
      <xdr:rowOff>164113</xdr:rowOff>
    </xdr:to>
    <xdr:cxnSp macro="">
      <xdr:nvCxnSpPr>
        <xdr:cNvPr id="110" name="Straight Connector 109">
          <a:extLst>
            <a:ext uri="{FF2B5EF4-FFF2-40B4-BE49-F238E27FC236}">
              <a16:creationId xmlns:a16="http://schemas.microsoft.com/office/drawing/2014/main" id="{FC5C3661-008B-487D-BE7B-388CC2DA3BB4}"/>
            </a:ext>
          </a:extLst>
        </xdr:cNvPr>
        <xdr:cNvCxnSpPr/>
      </xdr:nvCxnSpPr>
      <xdr:spPr>
        <a:xfrm>
          <a:off x="16736263" y="6291863"/>
          <a:ext cx="58293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67221</xdr:colOff>
      <xdr:row>41</xdr:row>
      <xdr:rowOff>164521</xdr:rowOff>
    </xdr:from>
    <xdr:to>
      <xdr:col>26</xdr:col>
      <xdr:colOff>707301</xdr:colOff>
      <xdr:row>41</xdr:row>
      <xdr:rowOff>164521</xdr:rowOff>
    </xdr:to>
    <xdr:cxnSp macro="">
      <xdr:nvCxnSpPr>
        <xdr:cNvPr id="111" name="Straight Connector 110">
          <a:extLst>
            <a:ext uri="{FF2B5EF4-FFF2-40B4-BE49-F238E27FC236}">
              <a16:creationId xmlns:a16="http://schemas.microsoft.com/office/drawing/2014/main" id="{81C72127-32F9-45D2-8B46-D1A83707FAB5}"/>
            </a:ext>
          </a:extLst>
        </xdr:cNvPr>
        <xdr:cNvCxnSpPr/>
      </xdr:nvCxnSpPr>
      <xdr:spPr>
        <a:xfrm>
          <a:off x="16735971" y="7441621"/>
          <a:ext cx="58293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67221</xdr:colOff>
      <xdr:row>43</xdr:row>
      <xdr:rowOff>165008</xdr:rowOff>
    </xdr:from>
    <xdr:to>
      <xdr:col>26</xdr:col>
      <xdr:colOff>707301</xdr:colOff>
      <xdr:row>43</xdr:row>
      <xdr:rowOff>165008</xdr:rowOff>
    </xdr:to>
    <xdr:cxnSp macro="">
      <xdr:nvCxnSpPr>
        <xdr:cNvPr id="112" name="Straight Connector 111">
          <a:extLst>
            <a:ext uri="{FF2B5EF4-FFF2-40B4-BE49-F238E27FC236}">
              <a16:creationId xmlns:a16="http://schemas.microsoft.com/office/drawing/2014/main" id="{85B1E723-55E1-455D-8E55-9D46E17022B1}"/>
            </a:ext>
          </a:extLst>
        </xdr:cNvPr>
        <xdr:cNvCxnSpPr/>
      </xdr:nvCxnSpPr>
      <xdr:spPr>
        <a:xfrm>
          <a:off x="16735971" y="7810408"/>
          <a:ext cx="58293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64183</xdr:colOff>
      <xdr:row>48</xdr:row>
      <xdr:rowOff>167497</xdr:rowOff>
    </xdr:from>
    <xdr:to>
      <xdr:col>22</xdr:col>
      <xdr:colOff>704263</xdr:colOff>
      <xdr:row>48</xdr:row>
      <xdr:rowOff>167497</xdr:rowOff>
    </xdr:to>
    <xdr:cxnSp macro="">
      <xdr:nvCxnSpPr>
        <xdr:cNvPr id="113" name="Straight Connector 112">
          <a:extLst>
            <a:ext uri="{FF2B5EF4-FFF2-40B4-BE49-F238E27FC236}">
              <a16:creationId xmlns:a16="http://schemas.microsoft.com/office/drawing/2014/main" id="{B1B59545-26E8-4A98-8358-186A437D430B}"/>
            </a:ext>
          </a:extLst>
        </xdr:cNvPr>
        <xdr:cNvCxnSpPr/>
      </xdr:nvCxnSpPr>
      <xdr:spPr>
        <a:xfrm>
          <a:off x="13684933" y="8733647"/>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606525</xdr:colOff>
      <xdr:row>46</xdr:row>
      <xdr:rowOff>139367</xdr:rowOff>
    </xdr:from>
    <xdr:to>
      <xdr:col>27</xdr:col>
      <xdr:colOff>0</xdr:colOff>
      <xdr:row>46</xdr:row>
      <xdr:rowOff>139367</xdr:rowOff>
    </xdr:to>
    <xdr:cxnSp macro="">
      <xdr:nvCxnSpPr>
        <xdr:cNvPr id="114" name="Straight Connector 113">
          <a:extLst>
            <a:ext uri="{FF2B5EF4-FFF2-40B4-BE49-F238E27FC236}">
              <a16:creationId xmlns:a16="http://schemas.microsoft.com/office/drawing/2014/main" id="{84CE8A0E-DC95-492F-AF62-6B3E3A23FC82}"/>
            </a:ext>
          </a:extLst>
        </xdr:cNvPr>
        <xdr:cNvCxnSpPr/>
      </xdr:nvCxnSpPr>
      <xdr:spPr>
        <a:xfrm>
          <a:off x="13617675" y="8337217"/>
          <a:ext cx="3698775"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61632</xdr:colOff>
      <xdr:row>48</xdr:row>
      <xdr:rowOff>167497</xdr:rowOff>
    </xdr:from>
    <xdr:to>
      <xdr:col>23</xdr:col>
      <xdr:colOff>701712</xdr:colOff>
      <xdr:row>48</xdr:row>
      <xdr:rowOff>167497</xdr:rowOff>
    </xdr:to>
    <xdr:cxnSp macro="">
      <xdr:nvCxnSpPr>
        <xdr:cNvPr id="115" name="Straight Connector 114">
          <a:extLst>
            <a:ext uri="{FF2B5EF4-FFF2-40B4-BE49-F238E27FC236}">
              <a16:creationId xmlns:a16="http://schemas.microsoft.com/office/drawing/2014/main" id="{0E8522C3-6B99-402F-B70B-7015236FAD6E}"/>
            </a:ext>
          </a:extLst>
        </xdr:cNvPr>
        <xdr:cNvCxnSpPr/>
      </xdr:nvCxnSpPr>
      <xdr:spPr>
        <a:xfrm>
          <a:off x="14444382" y="8733647"/>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24</xdr:col>
      <xdr:colOff>59079</xdr:colOff>
      <xdr:row>48</xdr:row>
      <xdr:rowOff>167497</xdr:rowOff>
    </xdr:from>
    <xdr:to>
      <xdr:col>24</xdr:col>
      <xdr:colOff>699159</xdr:colOff>
      <xdr:row>48</xdr:row>
      <xdr:rowOff>167497</xdr:rowOff>
    </xdr:to>
    <xdr:cxnSp macro="">
      <xdr:nvCxnSpPr>
        <xdr:cNvPr id="116" name="Straight Connector 115">
          <a:extLst>
            <a:ext uri="{FF2B5EF4-FFF2-40B4-BE49-F238E27FC236}">
              <a16:creationId xmlns:a16="http://schemas.microsoft.com/office/drawing/2014/main" id="{85D8D537-BFAE-4C5A-97B8-57BE048DAF71}"/>
            </a:ext>
          </a:extLst>
        </xdr:cNvPr>
        <xdr:cNvCxnSpPr/>
      </xdr:nvCxnSpPr>
      <xdr:spPr>
        <a:xfrm>
          <a:off x="15203829" y="8733647"/>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68679</xdr:colOff>
      <xdr:row>48</xdr:row>
      <xdr:rowOff>167497</xdr:rowOff>
    </xdr:from>
    <xdr:to>
      <xdr:col>25</xdr:col>
      <xdr:colOff>708759</xdr:colOff>
      <xdr:row>48</xdr:row>
      <xdr:rowOff>167497</xdr:rowOff>
    </xdr:to>
    <xdr:cxnSp macro="">
      <xdr:nvCxnSpPr>
        <xdr:cNvPr id="117" name="Straight Connector 116">
          <a:extLst>
            <a:ext uri="{FF2B5EF4-FFF2-40B4-BE49-F238E27FC236}">
              <a16:creationId xmlns:a16="http://schemas.microsoft.com/office/drawing/2014/main" id="{8CC6CE8C-3304-4E6D-BB52-6487968B73CD}"/>
            </a:ext>
          </a:extLst>
        </xdr:cNvPr>
        <xdr:cNvCxnSpPr/>
      </xdr:nvCxnSpPr>
      <xdr:spPr>
        <a:xfrm>
          <a:off x="15975429" y="8733647"/>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63090</xdr:colOff>
      <xdr:row>48</xdr:row>
      <xdr:rowOff>167497</xdr:rowOff>
    </xdr:from>
    <xdr:to>
      <xdr:col>26</xdr:col>
      <xdr:colOff>703170</xdr:colOff>
      <xdr:row>48</xdr:row>
      <xdr:rowOff>167497</xdr:rowOff>
    </xdr:to>
    <xdr:cxnSp macro="">
      <xdr:nvCxnSpPr>
        <xdr:cNvPr id="118" name="Straight Connector 117">
          <a:extLst>
            <a:ext uri="{FF2B5EF4-FFF2-40B4-BE49-F238E27FC236}">
              <a16:creationId xmlns:a16="http://schemas.microsoft.com/office/drawing/2014/main" id="{4C951E9E-2CB9-4F1A-88B1-BCFED40E658E}"/>
            </a:ext>
          </a:extLst>
        </xdr:cNvPr>
        <xdr:cNvCxnSpPr/>
      </xdr:nvCxnSpPr>
      <xdr:spPr>
        <a:xfrm>
          <a:off x="16731840" y="8733647"/>
          <a:ext cx="58293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61274</xdr:colOff>
      <xdr:row>54</xdr:row>
      <xdr:rowOff>154333</xdr:rowOff>
    </xdr:from>
    <xdr:to>
      <xdr:col>23</xdr:col>
      <xdr:colOff>701354</xdr:colOff>
      <xdr:row>54</xdr:row>
      <xdr:rowOff>154333</xdr:rowOff>
    </xdr:to>
    <xdr:cxnSp macro="">
      <xdr:nvCxnSpPr>
        <xdr:cNvPr id="119" name="Straight Connector 118">
          <a:extLst>
            <a:ext uri="{FF2B5EF4-FFF2-40B4-BE49-F238E27FC236}">
              <a16:creationId xmlns:a16="http://schemas.microsoft.com/office/drawing/2014/main" id="{DFF2EDEB-B277-4251-9C4D-A8892F56A710}"/>
            </a:ext>
          </a:extLst>
        </xdr:cNvPr>
        <xdr:cNvCxnSpPr/>
      </xdr:nvCxnSpPr>
      <xdr:spPr>
        <a:xfrm>
          <a:off x="14444024" y="9672983"/>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24</xdr:col>
      <xdr:colOff>58721</xdr:colOff>
      <xdr:row>54</xdr:row>
      <xdr:rowOff>154333</xdr:rowOff>
    </xdr:from>
    <xdr:to>
      <xdr:col>24</xdr:col>
      <xdr:colOff>698801</xdr:colOff>
      <xdr:row>54</xdr:row>
      <xdr:rowOff>154333</xdr:rowOff>
    </xdr:to>
    <xdr:cxnSp macro="">
      <xdr:nvCxnSpPr>
        <xdr:cNvPr id="120" name="Straight Connector 119">
          <a:extLst>
            <a:ext uri="{FF2B5EF4-FFF2-40B4-BE49-F238E27FC236}">
              <a16:creationId xmlns:a16="http://schemas.microsoft.com/office/drawing/2014/main" id="{E53534CF-3288-48F4-A58D-0DF5B8370422}"/>
            </a:ext>
          </a:extLst>
        </xdr:cNvPr>
        <xdr:cNvCxnSpPr/>
      </xdr:nvCxnSpPr>
      <xdr:spPr>
        <a:xfrm>
          <a:off x="15203471" y="9672983"/>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14238</xdr:colOff>
      <xdr:row>57</xdr:row>
      <xdr:rowOff>155953</xdr:rowOff>
    </xdr:from>
    <xdr:to>
      <xdr:col>27</xdr:col>
      <xdr:colOff>0</xdr:colOff>
      <xdr:row>57</xdr:row>
      <xdr:rowOff>156614</xdr:rowOff>
    </xdr:to>
    <xdr:cxnSp macro="">
      <xdr:nvCxnSpPr>
        <xdr:cNvPr id="121" name="Straight Connector 120">
          <a:extLst>
            <a:ext uri="{FF2B5EF4-FFF2-40B4-BE49-F238E27FC236}">
              <a16:creationId xmlns:a16="http://schemas.microsoft.com/office/drawing/2014/main" id="{080D5450-6CFE-4EF4-BA82-42C0548870EE}"/>
            </a:ext>
          </a:extLst>
        </xdr:cNvPr>
        <xdr:cNvCxnSpPr/>
      </xdr:nvCxnSpPr>
      <xdr:spPr>
        <a:xfrm flipV="1">
          <a:off x="13634988" y="10093703"/>
          <a:ext cx="3681462" cy="661"/>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73838</xdr:colOff>
      <xdr:row>59</xdr:row>
      <xdr:rowOff>155229</xdr:rowOff>
    </xdr:from>
    <xdr:to>
      <xdr:col>23</xdr:col>
      <xdr:colOff>713918</xdr:colOff>
      <xdr:row>59</xdr:row>
      <xdr:rowOff>155229</xdr:rowOff>
    </xdr:to>
    <xdr:cxnSp macro="">
      <xdr:nvCxnSpPr>
        <xdr:cNvPr id="122" name="Straight Connector 121">
          <a:extLst>
            <a:ext uri="{FF2B5EF4-FFF2-40B4-BE49-F238E27FC236}">
              <a16:creationId xmlns:a16="http://schemas.microsoft.com/office/drawing/2014/main" id="{FF4A827F-8B12-4E22-BBA3-F0F30F28E23A}"/>
            </a:ext>
          </a:extLst>
        </xdr:cNvPr>
        <xdr:cNvCxnSpPr/>
      </xdr:nvCxnSpPr>
      <xdr:spPr>
        <a:xfrm>
          <a:off x="14456588" y="10467629"/>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24</xdr:col>
      <xdr:colOff>71285</xdr:colOff>
      <xdr:row>59</xdr:row>
      <xdr:rowOff>155229</xdr:rowOff>
    </xdr:from>
    <xdr:to>
      <xdr:col>24</xdr:col>
      <xdr:colOff>711365</xdr:colOff>
      <xdr:row>59</xdr:row>
      <xdr:rowOff>155229</xdr:rowOff>
    </xdr:to>
    <xdr:cxnSp macro="">
      <xdr:nvCxnSpPr>
        <xdr:cNvPr id="123" name="Straight Connector 122">
          <a:extLst>
            <a:ext uri="{FF2B5EF4-FFF2-40B4-BE49-F238E27FC236}">
              <a16:creationId xmlns:a16="http://schemas.microsoft.com/office/drawing/2014/main" id="{F5DF7881-DAD4-473D-96D5-635CD4423449}"/>
            </a:ext>
          </a:extLst>
        </xdr:cNvPr>
        <xdr:cNvCxnSpPr/>
      </xdr:nvCxnSpPr>
      <xdr:spPr>
        <a:xfrm>
          <a:off x="15216035" y="10467629"/>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80885</xdr:colOff>
      <xdr:row>59</xdr:row>
      <xdr:rowOff>155229</xdr:rowOff>
    </xdr:from>
    <xdr:to>
      <xdr:col>25</xdr:col>
      <xdr:colOff>720965</xdr:colOff>
      <xdr:row>59</xdr:row>
      <xdr:rowOff>155229</xdr:rowOff>
    </xdr:to>
    <xdr:cxnSp macro="">
      <xdr:nvCxnSpPr>
        <xdr:cNvPr id="124" name="Straight Connector 123">
          <a:extLst>
            <a:ext uri="{FF2B5EF4-FFF2-40B4-BE49-F238E27FC236}">
              <a16:creationId xmlns:a16="http://schemas.microsoft.com/office/drawing/2014/main" id="{CC21E781-FA9E-478F-A5A1-A8B5BD1942D2}"/>
            </a:ext>
          </a:extLst>
        </xdr:cNvPr>
        <xdr:cNvCxnSpPr/>
      </xdr:nvCxnSpPr>
      <xdr:spPr>
        <a:xfrm>
          <a:off x="15987635" y="10467629"/>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75296</xdr:colOff>
      <xdr:row>59</xdr:row>
      <xdr:rowOff>155229</xdr:rowOff>
    </xdr:from>
    <xdr:to>
      <xdr:col>26</xdr:col>
      <xdr:colOff>715376</xdr:colOff>
      <xdr:row>59</xdr:row>
      <xdr:rowOff>155229</xdr:rowOff>
    </xdr:to>
    <xdr:cxnSp macro="">
      <xdr:nvCxnSpPr>
        <xdr:cNvPr id="125" name="Straight Connector 124">
          <a:extLst>
            <a:ext uri="{FF2B5EF4-FFF2-40B4-BE49-F238E27FC236}">
              <a16:creationId xmlns:a16="http://schemas.microsoft.com/office/drawing/2014/main" id="{A27B1AED-3A40-4A3C-AF0D-2D0AD67983C4}"/>
            </a:ext>
          </a:extLst>
        </xdr:cNvPr>
        <xdr:cNvCxnSpPr/>
      </xdr:nvCxnSpPr>
      <xdr:spPr>
        <a:xfrm>
          <a:off x="16744046" y="10467629"/>
          <a:ext cx="57023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76885</xdr:colOff>
      <xdr:row>64</xdr:row>
      <xdr:rowOff>159393</xdr:rowOff>
    </xdr:from>
    <xdr:to>
      <xdr:col>23</xdr:col>
      <xdr:colOff>716965</xdr:colOff>
      <xdr:row>64</xdr:row>
      <xdr:rowOff>159393</xdr:rowOff>
    </xdr:to>
    <xdr:cxnSp macro="">
      <xdr:nvCxnSpPr>
        <xdr:cNvPr id="126" name="Straight Connector 125">
          <a:extLst>
            <a:ext uri="{FF2B5EF4-FFF2-40B4-BE49-F238E27FC236}">
              <a16:creationId xmlns:a16="http://schemas.microsoft.com/office/drawing/2014/main" id="{20088B75-3A59-4F0F-83FC-130A0832107F}"/>
            </a:ext>
          </a:extLst>
        </xdr:cNvPr>
        <xdr:cNvCxnSpPr/>
      </xdr:nvCxnSpPr>
      <xdr:spPr>
        <a:xfrm>
          <a:off x="14459635" y="11398893"/>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24</xdr:col>
      <xdr:colOff>74332</xdr:colOff>
      <xdr:row>64</xdr:row>
      <xdr:rowOff>159393</xdr:rowOff>
    </xdr:from>
    <xdr:to>
      <xdr:col>24</xdr:col>
      <xdr:colOff>714412</xdr:colOff>
      <xdr:row>64</xdr:row>
      <xdr:rowOff>159393</xdr:rowOff>
    </xdr:to>
    <xdr:cxnSp macro="">
      <xdr:nvCxnSpPr>
        <xdr:cNvPr id="127" name="Straight Connector 126">
          <a:extLst>
            <a:ext uri="{FF2B5EF4-FFF2-40B4-BE49-F238E27FC236}">
              <a16:creationId xmlns:a16="http://schemas.microsoft.com/office/drawing/2014/main" id="{66C4AD3B-0156-452F-8A79-B8D2CE35AAC8}"/>
            </a:ext>
          </a:extLst>
        </xdr:cNvPr>
        <xdr:cNvCxnSpPr/>
      </xdr:nvCxnSpPr>
      <xdr:spPr>
        <a:xfrm>
          <a:off x="15219082" y="11398893"/>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83932</xdr:colOff>
      <xdr:row>64</xdr:row>
      <xdr:rowOff>159393</xdr:rowOff>
    </xdr:from>
    <xdr:to>
      <xdr:col>25</xdr:col>
      <xdr:colOff>724012</xdr:colOff>
      <xdr:row>64</xdr:row>
      <xdr:rowOff>159393</xdr:rowOff>
    </xdr:to>
    <xdr:cxnSp macro="">
      <xdr:nvCxnSpPr>
        <xdr:cNvPr id="128" name="Straight Connector 127">
          <a:extLst>
            <a:ext uri="{FF2B5EF4-FFF2-40B4-BE49-F238E27FC236}">
              <a16:creationId xmlns:a16="http://schemas.microsoft.com/office/drawing/2014/main" id="{0A77555F-6E3F-425F-974B-0C3BD8B06053}"/>
            </a:ext>
          </a:extLst>
        </xdr:cNvPr>
        <xdr:cNvCxnSpPr/>
      </xdr:nvCxnSpPr>
      <xdr:spPr>
        <a:xfrm>
          <a:off x="15990682" y="11398893"/>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78343</xdr:colOff>
      <xdr:row>64</xdr:row>
      <xdr:rowOff>159393</xdr:rowOff>
    </xdr:from>
    <xdr:to>
      <xdr:col>26</xdr:col>
      <xdr:colOff>718423</xdr:colOff>
      <xdr:row>64</xdr:row>
      <xdr:rowOff>159393</xdr:rowOff>
    </xdr:to>
    <xdr:cxnSp macro="">
      <xdr:nvCxnSpPr>
        <xdr:cNvPr id="129" name="Straight Connector 128">
          <a:extLst>
            <a:ext uri="{FF2B5EF4-FFF2-40B4-BE49-F238E27FC236}">
              <a16:creationId xmlns:a16="http://schemas.microsoft.com/office/drawing/2014/main" id="{09C30409-32B2-4734-9B85-9B52B27A4FE3}"/>
            </a:ext>
          </a:extLst>
        </xdr:cNvPr>
        <xdr:cNvCxnSpPr/>
      </xdr:nvCxnSpPr>
      <xdr:spPr>
        <a:xfrm>
          <a:off x="16747093" y="11398893"/>
          <a:ext cx="57023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599965</xdr:colOff>
      <xdr:row>1</xdr:row>
      <xdr:rowOff>174101</xdr:rowOff>
    </xdr:from>
    <xdr:to>
      <xdr:col>26</xdr:col>
      <xdr:colOff>599965</xdr:colOff>
      <xdr:row>1</xdr:row>
      <xdr:rowOff>174193</xdr:rowOff>
    </xdr:to>
    <xdr:cxnSp macro="">
      <xdr:nvCxnSpPr>
        <xdr:cNvPr id="130" name="Straight Connector 129">
          <a:extLst>
            <a:ext uri="{FF2B5EF4-FFF2-40B4-BE49-F238E27FC236}">
              <a16:creationId xmlns:a16="http://schemas.microsoft.com/office/drawing/2014/main" id="{E85B08C3-BA82-42B1-8DAA-2018CC3B7399}"/>
            </a:ext>
          </a:extLst>
        </xdr:cNvPr>
        <xdr:cNvCxnSpPr/>
      </xdr:nvCxnSpPr>
      <xdr:spPr>
        <a:xfrm flipV="1">
          <a:off x="13611115" y="358251"/>
          <a:ext cx="3657600" cy="92"/>
        </a:xfrm>
        <a:prstGeom prst="line">
          <a:avLst/>
        </a:prstGeom>
        <a:ln w="12700">
          <a:solidFill>
            <a:schemeClr val="bg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81638</xdr:colOff>
      <xdr:row>11</xdr:row>
      <xdr:rowOff>169534</xdr:rowOff>
    </xdr:from>
    <xdr:to>
      <xdr:col>20</xdr:col>
      <xdr:colOff>585586</xdr:colOff>
      <xdr:row>11</xdr:row>
      <xdr:rowOff>170691</xdr:rowOff>
    </xdr:to>
    <xdr:cxnSp macro="">
      <xdr:nvCxnSpPr>
        <xdr:cNvPr id="131" name="Straight Connector 130">
          <a:extLst>
            <a:ext uri="{FF2B5EF4-FFF2-40B4-BE49-F238E27FC236}">
              <a16:creationId xmlns:a16="http://schemas.microsoft.com/office/drawing/2014/main" id="{DB639350-63D4-40FB-BA46-78C692942A1C}"/>
            </a:ext>
          </a:extLst>
        </xdr:cNvPr>
        <xdr:cNvCxnSpPr/>
      </xdr:nvCxnSpPr>
      <xdr:spPr>
        <a:xfrm flipV="1">
          <a:off x="11873588" y="217613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81981</xdr:colOff>
      <xdr:row>16</xdr:row>
      <xdr:rowOff>154837</xdr:rowOff>
    </xdr:from>
    <xdr:to>
      <xdr:col>10</xdr:col>
      <xdr:colOff>585928</xdr:colOff>
      <xdr:row>16</xdr:row>
      <xdr:rowOff>155994</xdr:rowOff>
    </xdr:to>
    <xdr:cxnSp macro="">
      <xdr:nvCxnSpPr>
        <xdr:cNvPr id="132" name="Straight Connector 131">
          <a:extLst>
            <a:ext uri="{FF2B5EF4-FFF2-40B4-BE49-F238E27FC236}">
              <a16:creationId xmlns:a16="http://schemas.microsoft.com/office/drawing/2014/main" id="{95B2ED49-2A16-479F-AD49-818A9AC7ADA2}"/>
            </a:ext>
          </a:extLst>
        </xdr:cNvPr>
        <xdr:cNvCxnSpPr/>
      </xdr:nvCxnSpPr>
      <xdr:spPr>
        <a:xfrm flipV="1">
          <a:off x="5777931" y="308853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84473</xdr:colOff>
      <xdr:row>16</xdr:row>
      <xdr:rowOff>154837</xdr:rowOff>
    </xdr:from>
    <xdr:to>
      <xdr:col>12</xdr:col>
      <xdr:colOff>588420</xdr:colOff>
      <xdr:row>16</xdr:row>
      <xdr:rowOff>155994</xdr:rowOff>
    </xdr:to>
    <xdr:cxnSp macro="">
      <xdr:nvCxnSpPr>
        <xdr:cNvPr id="133" name="Straight Connector 132">
          <a:extLst>
            <a:ext uri="{FF2B5EF4-FFF2-40B4-BE49-F238E27FC236}">
              <a16:creationId xmlns:a16="http://schemas.microsoft.com/office/drawing/2014/main" id="{486A7112-095C-4D69-8164-53D7A5906E91}"/>
            </a:ext>
          </a:extLst>
        </xdr:cNvPr>
        <xdr:cNvCxnSpPr/>
      </xdr:nvCxnSpPr>
      <xdr:spPr>
        <a:xfrm flipV="1">
          <a:off x="6999623" y="308853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82797</xdr:colOff>
      <xdr:row>16</xdr:row>
      <xdr:rowOff>154837</xdr:rowOff>
    </xdr:from>
    <xdr:to>
      <xdr:col>14</xdr:col>
      <xdr:colOff>586744</xdr:colOff>
      <xdr:row>16</xdr:row>
      <xdr:rowOff>155994</xdr:rowOff>
    </xdr:to>
    <xdr:cxnSp macro="">
      <xdr:nvCxnSpPr>
        <xdr:cNvPr id="134" name="Straight Connector 133">
          <a:extLst>
            <a:ext uri="{FF2B5EF4-FFF2-40B4-BE49-F238E27FC236}">
              <a16:creationId xmlns:a16="http://schemas.microsoft.com/office/drawing/2014/main" id="{2E7DD822-61AF-465E-A39B-7D5C40AB252F}"/>
            </a:ext>
          </a:extLst>
        </xdr:cNvPr>
        <xdr:cNvCxnSpPr/>
      </xdr:nvCxnSpPr>
      <xdr:spPr>
        <a:xfrm flipV="1">
          <a:off x="8217147" y="308853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92541</xdr:colOff>
      <xdr:row>16</xdr:row>
      <xdr:rowOff>154837</xdr:rowOff>
    </xdr:from>
    <xdr:to>
      <xdr:col>16</xdr:col>
      <xdr:colOff>596489</xdr:colOff>
      <xdr:row>16</xdr:row>
      <xdr:rowOff>155994</xdr:rowOff>
    </xdr:to>
    <xdr:cxnSp macro="">
      <xdr:nvCxnSpPr>
        <xdr:cNvPr id="135" name="Straight Connector 134">
          <a:extLst>
            <a:ext uri="{FF2B5EF4-FFF2-40B4-BE49-F238E27FC236}">
              <a16:creationId xmlns:a16="http://schemas.microsoft.com/office/drawing/2014/main" id="{9129B358-F791-4C79-AAC3-89BF0BA8C636}"/>
            </a:ext>
          </a:extLst>
        </xdr:cNvPr>
        <xdr:cNvCxnSpPr/>
      </xdr:nvCxnSpPr>
      <xdr:spPr>
        <a:xfrm flipV="1">
          <a:off x="9446091" y="3088537"/>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81638</xdr:colOff>
      <xdr:row>16</xdr:row>
      <xdr:rowOff>154837</xdr:rowOff>
    </xdr:from>
    <xdr:to>
      <xdr:col>18</xdr:col>
      <xdr:colOff>585586</xdr:colOff>
      <xdr:row>16</xdr:row>
      <xdr:rowOff>155994</xdr:rowOff>
    </xdr:to>
    <xdr:cxnSp macro="">
      <xdr:nvCxnSpPr>
        <xdr:cNvPr id="136" name="Straight Connector 135">
          <a:extLst>
            <a:ext uri="{FF2B5EF4-FFF2-40B4-BE49-F238E27FC236}">
              <a16:creationId xmlns:a16="http://schemas.microsoft.com/office/drawing/2014/main" id="{EE05FCF0-492E-47C3-AF59-03399A798540}"/>
            </a:ext>
          </a:extLst>
        </xdr:cNvPr>
        <xdr:cNvCxnSpPr/>
      </xdr:nvCxnSpPr>
      <xdr:spPr>
        <a:xfrm flipV="1">
          <a:off x="10654388" y="3088537"/>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81638</xdr:colOff>
      <xdr:row>11</xdr:row>
      <xdr:rowOff>169534</xdr:rowOff>
    </xdr:from>
    <xdr:to>
      <xdr:col>20</xdr:col>
      <xdr:colOff>585586</xdr:colOff>
      <xdr:row>11</xdr:row>
      <xdr:rowOff>170691</xdr:rowOff>
    </xdr:to>
    <xdr:cxnSp macro="">
      <xdr:nvCxnSpPr>
        <xdr:cNvPr id="137" name="Straight Connector 136">
          <a:extLst>
            <a:ext uri="{FF2B5EF4-FFF2-40B4-BE49-F238E27FC236}">
              <a16:creationId xmlns:a16="http://schemas.microsoft.com/office/drawing/2014/main" id="{624513B2-0766-40E6-9A88-0743FC190A83}"/>
            </a:ext>
          </a:extLst>
        </xdr:cNvPr>
        <xdr:cNvCxnSpPr/>
      </xdr:nvCxnSpPr>
      <xdr:spPr>
        <a:xfrm flipV="1">
          <a:off x="11873588" y="217613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81638</xdr:colOff>
      <xdr:row>13</xdr:row>
      <xdr:rowOff>154837</xdr:rowOff>
    </xdr:from>
    <xdr:to>
      <xdr:col>20</xdr:col>
      <xdr:colOff>585586</xdr:colOff>
      <xdr:row>13</xdr:row>
      <xdr:rowOff>155994</xdr:rowOff>
    </xdr:to>
    <xdr:cxnSp macro="">
      <xdr:nvCxnSpPr>
        <xdr:cNvPr id="138" name="Straight Connector 137">
          <a:extLst>
            <a:ext uri="{FF2B5EF4-FFF2-40B4-BE49-F238E27FC236}">
              <a16:creationId xmlns:a16="http://schemas.microsoft.com/office/drawing/2014/main" id="{44249E63-1647-437F-A5FB-951DE97FDE28}"/>
            </a:ext>
          </a:extLst>
        </xdr:cNvPr>
        <xdr:cNvCxnSpPr/>
      </xdr:nvCxnSpPr>
      <xdr:spPr>
        <a:xfrm flipV="1">
          <a:off x="11873588" y="2536087"/>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81638</xdr:colOff>
      <xdr:row>16</xdr:row>
      <xdr:rowOff>158334</xdr:rowOff>
    </xdr:from>
    <xdr:to>
      <xdr:col>20</xdr:col>
      <xdr:colOff>585586</xdr:colOff>
      <xdr:row>16</xdr:row>
      <xdr:rowOff>159491</xdr:rowOff>
    </xdr:to>
    <xdr:cxnSp macro="">
      <xdr:nvCxnSpPr>
        <xdr:cNvPr id="139" name="Straight Connector 138">
          <a:extLst>
            <a:ext uri="{FF2B5EF4-FFF2-40B4-BE49-F238E27FC236}">
              <a16:creationId xmlns:a16="http://schemas.microsoft.com/office/drawing/2014/main" id="{28B28398-CE56-4EFD-986E-231DD0D2925A}"/>
            </a:ext>
          </a:extLst>
        </xdr:cNvPr>
        <xdr:cNvCxnSpPr/>
      </xdr:nvCxnSpPr>
      <xdr:spPr>
        <a:xfrm flipV="1">
          <a:off x="11873588" y="309203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81638</xdr:colOff>
      <xdr:row>18</xdr:row>
      <xdr:rowOff>166215</xdr:rowOff>
    </xdr:from>
    <xdr:to>
      <xdr:col>20</xdr:col>
      <xdr:colOff>585586</xdr:colOff>
      <xdr:row>18</xdr:row>
      <xdr:rowOff>167372</xdr:rowOff>
    </xdr:to>
    <xdr:cxnSp macro="">
      <xdr:nvCxnSpPr>
        <xdr:cNvPr id="140" name="Straight Connector 139">
          <a:extLst>
            <a:ext uri="{FF2B5EF4-FFF2-40B4-BE49-F238E27FC236}">
              <a16:creationId xmlns:a16="http://schemas.microsoft.com/office/drawing/2014/main" id="{43E2D347-ED70-4148-A88F-D1DB27E0E074}"/>
            </a:ext>
          </a:extLst>
        </xdr:cNvPr>
        <xdr:cNvCxnSpPr/>
      </xdr:nvCxnSpPr>
      <xdr:spPr>
        <a:xfrm flipV="1">
          <a:off x="11873588" y="3468215"/>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96661</xdr:colOff>
      <xdr:row>23</xdr:row>
      <xdr:rowOff>152197</xdr:rowOff>
    </xdr:from>
    <xdr:to>
      <xdr:col>20</xdr:col>
      <xdr:colOff>600563</xdr:colOff>
      <xdr:row>23</xdr:row>
      <xdr:rowOff>153354</xdr:rowOff>
    </xdr:to>
    <xdr:cxnSp macro="">
      <xdr:nvCxnSpPr>
        <xdr:cNvPr id="141" name="Straight Connector 140">
          <a:extLst>
            <a:ext uri="{FF2B5EF4-FFF2-40B4-BE49-F238E27FC236}">
              <a16:creationId xmlns:a16="http://schemas.microsoft.com/office/drawing/2014/main" id="{59EFBFBB-D570-41E4-8875-89F578900E55}"/>
            </a:ext>
          </a:extLst>
        </xdr:cNvPr>
        <xdr:cNvCxnSpPr/>
      </xdr:nvCxnSpPr>
      <xdr:spPr>
        <a:xfrm flipV="1">
          <a:off x="11888611" y="4241597"/>
          <a:ext cx="1113502"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81638</xdr:colOff>
      <xdr:row>24</xdr:row>
      <xdr:rowOff>191437</xdr:rowOff>
    </xdr:from>
    <xdr:to>
      <xdr:col>20</xdr:col>
      <xdr:colOff>585586</xdr:colOff>
      <xdr:row>24</xdr:row>
      <xdr:rowOff>192594</xdr:rowOff>
    </xdr:to>
    <xdr:cxnSp macro="">
      <xdr:nvCxnSpPr>
        <xdr:cNvPr id="142" name="Straight Connector 141">
          <a:extLst>
            <a:ext uri="{FF2B5EF4-FFF2-40B4-BE49-F238E27FC236}">
              <a16:creationId xmlns:a16="http://schemas.microsoft.com/office/drawing/2014/main" id="{E45543A7-2B93-4914-AE1A-0D2723FF896D}"/>
            </a:ext>
          </a:extLst>
        </xdr:cNvPr>
        <xdr:cNvCxnSpPr/>
      </xdr:nvCxnSpPr>
      <xdr:spPr>
        <a:xfrm flipV="1">
          <a:off x="11873588" y="4458637"/>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81638</xdr:colOff>
      <xdr:row>25</xdr:row>
      <xdr:rowOff>5545</xdr:rowOff>
    </xdr:from>
    <xdr:to>
      <xdr:col>20</xdr:col>
      <xdr:colOff>585586</xdr:colOff>
      <xdr:row>25</xdr:row>
      <xdr:rowOff>6702</xdr:rowOff>
    </xdr:to>
    <xdr:cxnSp macro="">
      <xdr:nvCxnSpPr>
        <xdr:cNvPr id="143" name="Straight Connector 142">
          <a:extLst>
            <a:ext uri="{FF2B5EF4-FFF2-40B4-BE49-F238E27FC236}">
              <a16:creationId xmlns:a16="http://schemas.microsoft.com/office/drawing/2014/main" id="{76C646BF-B141-4B19-B3CA-FEAB3C9CE7F1}"/>
            </a:ext>
          </a:extLst>
        </xdr:cNvPr>
        <xdr:cNvCxnSpPr/>
      </xdr:nvCxnSpPr>
      <xdr:spPr>
        <a:xfrm flipV="1">
          <a:off x="11873588" y="4463245"/>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76561</xdr:colOff>
      <xdr:row>33</xdr:row>
      <xdr:rowOff>162327</xdr:rowOff>
    </xdr:from>
    <xdr:to>
      <xdr:col>20</xdr:col>
      <xdr:colOff>580463</xdr:colOff>
      <xdr:row>33</xdr:row>
      <xdr:rowOff>163484</xdr:rowOff>
    </xdr:to>
    <xdr:cxnSp macro="">
      <xdr:nvCxnSpPr>
        <xdr:cNvPr id="144" name="Straight Connector 143">
          <a:extLst>
            <a:ext uri="{FF2B5EF4-FFF2-40B4-BE49-F238E27FC236}">
              <a16:creationId xmlns:a16="http://schemas.microsoft.com/office/drawing/2014/main" id="{D39BFB68-376A-4F7C-9634-DA0190C63F67}"/>
            </a:ext>
          </a:extLst>
        </xdr:cNvPr>
        <xdr:cNvCxnSpPr/>
      </xdr:nvCxnSpPr>
      <xdr:spPr>
        <a:xfrm flipV="1">
          <a:off x="11868511" y="6105927"/>
          <a:ext cx="1113502"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76561</xdr:colOff>
      <xdr:row>40</xdr:row>
      <xdr:rowOff>159727</xdr:rowOff>
    </xdr:from>
    <xdr:to>
      <xdr:col>20</xdr:col>
      <xdr:colOff>580463</xdr:colOff>
      <xdr:row>40</xdr:row>
      <xdr:rowOff>160884</xdr:rowOff>
    </xdr:to>
    <xdr:cxnSp macro="">
      <xdr:nvCxnSpPr>
        <xdr:cNvPr id="145" name="Straight Connector 144">
          <a:extLst>
            <a:ext uri="{FF2B5EF4-FFF2-40B4-BE49-F238E27FC236}">
              <a16:creationId xmlns:a16="http://schemas.microsoft.com/office/drawing/2014/main" id="{68AD1DB5-DC88-42C6-9110-E6B2D2D3A177}"/>
            </a:ext>
          </a:extLst>
        </xdr:cNvPr>
        <xdr:cNvCxnSpPr/>
      </xdr:nvCxnSpPr>
      <xdr:spPr>
        <a:xfrm flipV="1">
          <a:off x="11868511" y="7252677"/>
          <a:ext cx="1113502"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57761</xdr:colOff>
      <xdr:row>44</xdr:row>
      <xdr:rowOff>162046</xdr:rowOff>
    </xdr:from>
    <xdr:to>
      <xdr:col>20</xdr:col>
      <xdr:colOff>561663</xdr:colOff>
      <xdr:row>44</xdr:row>
      <xdr:rowOff>163364</xdr:rowOff>
    </xdr:to>
    <xdr:cxnSp macro="">
      <xdr:nvCxnSpPr>
        <xdr:cNvPr id="146" name="Straight Connector 145">
          <a:extLst>
            <a:ext uri="{FF2B5EF4-FFF2-40B4-BE49-F238E27FC236}">
              <a16:creationId xmlns:a16="http://schemas.microsoft.com/office/drawing/2014/main" id="{DE9C768B-9F67-4946-AD45-7D46257BC9A3}"/>
            </a:ext>
          </a:extLst>
        </xdr:cNvPr>
        <xdr:cNvCxnSpPr/>
      </xdr:nvCxnSpPr>
      <xdr:spPr>
        <a:xfrm flipV="1">
          <a:off x="11849711" y="7991596"/>
          <a:ext cx="1113502"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57761</xdr:colOff>
      <xdr:row>53</xdr:row>
      <xdr:rowOff>159446</xdr:rowOff>
    </xdr:from>
    <xdr:to>
      <xdr:col>20</xdr:col>
      <xdr:colOff>561663</xdr:colOff>
      <xdr:row>53</xdr:row>
      <xdr:rowOff>160764</xdr:rowOff>
    </xdr:to>
    <xdr:cxnSp macro="">
      <xdr:nvCxnSpPr>
        <xdr:cNvPr id="147" name="Straight Connector 146">
          <a:extLst>
            <a:ext uri="{FF2B5EF4-FFF2-40B4-BE49-F238E27FC236}">
              <a16:creationId xmlns:a16="http://schemas.microsoft.com/office/drawing/2014/main" id="{0B3A83A4-B6A9-4CAC-8C3E-3DA41EDCBF1C}"/>
            </a:ext>
          </a:extLst>
        </xdr:cNvPr>
        <xdr:cNvCxnSpPr/>
      </xdr:nvCxnSpPr>
      <xdr:spPr>
        <a:xfrm flipV="1">
          <a:off x="11849711" y="9493946"/>
          <a:ext cx="1113502"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57761</xdr:colOff>
      <xdr:row>54</xdr:row>
      <xdr:rowOff>161846</xdr:rowOff>
    </xdr:from>
    <xdr:to>
      <xdr:col>20</xdr:col>
      <xdr:colOff>561663</xdr:colOff>
      <xdr:row>54</xdr:row>
      <xdr:rowOff>163164</xdr:rowOff>
    </xdr:to>
    <xdr:cxnSp macro="">
      <xdr:nvCxnSpPr>
        <xdr:cNvPr id="148" name="Straight Connector 147">
          <a:extLst>
            <a:ext uri="{FF2B5EF4-FFF2-40B4-BE49-F238E27FC236}">
              <a16:creationId xmlns:a16="http://schemas.microsoft.com/office/drawing/2014/main" id="{D512BCD1-5CE2-4488-9FF7-FABEA284E5ED}"/>
            </a:ext>
          </a:extLst>
        </xdr:cNvPr>
        <xdr:cNvCxnSpPr/>
      </xdr:nvCxnSpPr>
      <xdr:spPr>
        <a:xfrm flipV="1">
          <a:off x="11849711" y="9680496"/>
          <a:ext cx="1113502"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57761</xdr:colOff>
      <xdr:row>55</xdr:row>
      <xdr:rowOff>4246</xdr:rowOff>
    </xdr:from>
    <xdr:to>
      <xdr:col>20</xdr:col>
      <xdr:colOff>561663</xdr:colOff>
      <xdr:row>55</xdr:row>
      <xdr:rowOff>5564</xdr:rowOff>
    </xdr:to>
    <xdr:cxnSp macro="">
      <xdr:nvCxnSpPr>
        <xdr:cNvPr id="149" name="Straight Connector 148">
          <a:extLst>
            <a:ext uri="{FF2B5EF4-FFF2-40B4-BE49-F238E27FC236}">
              <a16:creationId xmlns:a16="http://schemas.microsoft.com/office/drawing/2014/main" id="{B63F06CD-3B4B-43B7-A8D4-F307EAA2C4A1}"/>
            </a:ext>
          </a:extLst>
        </xdr:cNvPr>
        <xdr:cNvCxnSpPr/>
      </xdr:nvCxnSpPr>
      <xdr:spPr>
        <a:xfrm flipV="1">
          <a:off x="11849711" y="9707046"/>
          <a:ext cx="1113502"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81638</xdr:colOff>
      <xdr:row>16</xdr:row>
      <xdr:rowOff>154837</xdr:rowOff>
    </xdr:from>
    <xdr:to>
      <xdr:col>20</xdr:col>
      <xdr:colOff>585586</xdr:colOff>
      <xdr:row>16</xdr:row>
      <xdr:rowOff>155994</xdr:rowOff>
    </xdr:to>
    <xdr:cxnSp macro="">
      <xdr:nvCxnSpPr>
        <xdr:cNvPr id="150" name="Straight Connector 149">
          <a:extLst>
            <a:ext uri="{FF2B5EF4-FFF2-40B4-BE49-F238E27FC236}">
              <a16:creationId xmlns:a16="http://schemas.microsoft.com/office/drawing/2014/main" id="{8885063D-B441-4CF4-8D51-7334A9600D07}"/>
            </a:ext>
          </a:extLst>
        </xdr:cNvPr>
        <xdr:cNvCxnSpPr/>
      </xdr:nvCxnSpPr>
      <xdr:spPr>
        <a:xfrm flipV="1">
          <a:off x="11873588" y="3088537"/>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81981</xdr:colOff>
      <xdr:row>24</xdr:row>
      <xdr:rowOff>191437</xdr:rowOff>
    </xdr:from>
    <xdr:to>
      <xdr:col>12</xdr:col>
      <xdr:colOff>585928</xdr:colOff>
      <xdr:row>24</xdr:row>
      <xdr:rowOff>192594</xdr:rowOff>
    </xdr:to>
    <xdr:cxnSp macro="">
      <xdr:nvCxnSpPr>
        <xdr:cNvPr id="151" name="Straight Connector 150">
          <a:extLst>
            <a:ext uri="{FF2B5EF4-FFF2-40B4-BE49-F238E27FC236}">
              <a16:creationId xmlns:a16="http://schemas.microsoft.com/office/drawing/2014/main" id="{5FC4B893-B628-49F5-865A-A6F70B3BE50E}"/>
            </a:ext>
          </a:extLst>
        </xdr:cNvPr>
        <xdr:cNvCxnSpPr/>
      </xdr:nvCxnSpPr>
      <xdr:spPr>
        <a:xfrm flipV="1">
          <a:off x="6997131" y="445863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81981</xdr:colOff>
      <xdr:row>25</xdr:row>
      <xdr:rowOff>5545</xdr:rowOff>
    </xdr:from>
    <xdr:to>
      <xdr:col>12</xdr:col>
      <xdr:colOff>585928</xdr:colOff>
      <xdr:row>25</xdr:row>
      <xdr:rowOff>6702</xdr:rowOff>
    </xdr:to>
    <xdr:cxnSp macro="">
      <xdr:nvCxnSpPr>
        <xdr:cNvPr id="152" name="Straight Connector 151">
          <a:extLst>
            <a:ext uri="{FF2B5EF4-FFF2-40B4-BE49-F238E27FC236}">
              <a16:creationId xmlns:a16="http://schemas.microsoft.com/office/drawing/2014/main" id="{32159E42-C512-4150-B81C-67E2A21EBDC4}"/>
            </a:ext>
          </a:extLst>
        </xdr:cNvPr>
        <xdr:cNvCxnSpPr/>
      </xdr:nvCxnSpPr>
      <xdr:spPr>
        <a:xfrm flipV="1">
          <a:off x="6997131" y="446324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81981</xdr:colOff>
      <xdr:row>24</xdr:row>
      <xdr:rowOff>191437</xdr:rowOff>
    </xdr:from>
    <xdr:to>
      <xdr:col>14</xdr:col>
      <xdr:colOff>585928</xdr:colOff>
      <xdr:row>24</xdr:row>
      <xdr:rowOff>192594</xdr:rowOff>
    </xdr:to>
    <xdr:cxnSp macro="">
      <xdr:nvCxnSpPr>
        <xdr:cNvPr id="153" name="Straight Connector 152">
          <a:extLst>
            <a:ext uri="{FF2B5EF4-FFF2-40B4-BE49-F238E27FC236}">
              <a16:creationId xmlns:a16="http://schemas.microsoft.com/office/drawing/2014/main" id="{A3FD7F81-9C50-45F1-A2A2-8290D39B8CCE}"/>
            </a:ext>
          </a:extLst>
        </xdr:cNvPr>
        <xdr:cNvCxnSpPr/>
      </xdr:nvCxnSpPr>
      <xdr:spPr>
        <a:xfrm flipV="1">
          <a:off x="8216331" y="445863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81981</xdr:colOff>
      <xdr:row>25</xdr:row>
      <xdr:rowOff>5545</xdr:rowOff>
    </xdr:from>
    <xdr:to>
      <xdr:col>14</xdr:col>
      <xdr:colOff>585928</xdr:colOff>
      <xdr:row>25</xdr:row>
      <xdr:rowOff>6702</xdr:rowOff>
    </xdr:to>
    <xdr:cxnSp macro="">
      <xdr:nvCxnSpPr>
        <xdr:cNvPr id="154" name="Straight Connector 153">
          <a:extLst>
            <a:ext uri="{FF2B5EF4-FFF2-40B4-BE49-F238E27FC236}">
              <a16:creationId xmlns:a16="http://schemas.microsoft.com/office/drawing/2014/main" id="{9D3ECEA2-C865-4D82-B7A0-0AA1E8845DA3}"/>
            </a:ext>
          </a:extLst>
        </xdr:cNvPr>
        <xdr:cNvCxnSpPr/>
      </xdr:nvCxnSpPr>
      <xdr:spPr>
        <a:xfrm flipV="1">
          <a:off x="8216331" y="446324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81981</xdr:colOff>
      <xdr:row>24</xdr:row>
      <xdr:rowOff>191437</xdr:rowOff>
    </xdr:from>
    <xdr:to>
      <xdr:col>16</xdr:col>
      <xdr:colOff>585928</xdr:colOff>
      <xdr:row>24</xdr:row>
      <xdr:rowOff>192594</xdr:rowOff>
    </xdr:to>
    <xdr:cxnSp macro="">
      <xdr:nvCxnSpPr>
        <xdr:cNvPr id="155" name="Straight Connector 154">
          <a:extLst>
            <a:ext uri="{FF2B5EF4-FFF2-40B4-BE49-F238E27FC236}">
              <a16:creationId xmlns:a16="http://schemas.microsoft.com/office/drawing/2014/main" id="{63A22DF3-93E0-4468-B082-7D8D408BA0E8}"/>
            </a:ext>
          </a:extLst>
        </xdr:cNvPr>
        <xdr:cNvCxnSpPr/>
      </xdr:nvCxnSpPr>
      <xdr:spPr>
        <a:xfrm flipV="1">
          <a:off x="9435531" y="445863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81981</xdr:colOff>
      <xdr:row>25</xdr:row>
      <xdr:rowOff>5545</xdr:rowOff>
    </xdr:from>
    <xdr:to>
      <xdr:col>16</xdr:col>
      <xdr:colOff>585928</xdr:colOff>
      <xdr:row>25</xdr:row>
      <xdr:rowOff>6702</xdr:rowOff>
    </xdr:to>
    <xdr:cxnSp macro="">
      <xdr:nvCxnSpPr>
        <xdr:cNvPr id="156" name="Straight Connector 155">
          <a:extLst>
            <a:ext uri="{FF2B5EF4-FFF2-40B4-BE49-F238E27FC236}">
              <a16:creationId xmlns:a16="http://schemas.microsoft.com/office/drawing/2014/main" id="{B5F54680-6EA3-40E0-93D6-0AD6B96E0335}"/>
            </a:ext>
          </a:extLst>
        </xdr:cNvPr>
        <xdr:cNvCxnSpPr/>
      </xdr:nvCxnSpPr>
      <xdr:spPr>
        <a:xfrm flipV="1">
          <a:off x="9435531" y="446324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81981</xdr:colOff>
      <xdr:row>24</xdr:row>
      <xdr:rowOff>191437</xdr:rowOff>
    </xdr:from>
    <xdr:to>
      <xdr:col>18</xdr:col>
      <xdr:colOff>585928</xdr:colOff>
      <xdr:row>24</xdr:row>
      <xdr:rowOff>192594</xdr:rowOff>
    </xdr:to>
    <xdr:cxnSp macro="">
      <xdr:nvCxnSpPr>
        <xdr:cNvPr id="157" name="Straight Connector 156">
          <a:extLst>
            <a:ext uri="{FF2B5EF4-FFF2-40B4-BE49-F238E27FC236}">
              <a16:creationId xmlns:a16="http://schemas.microsoft.com/office/drawing/2014/main" id="{ECC44F6D-9A46-4F55-AF54-7700A388AF3A}"/>
            </a:ext>
          </a:extLst>
        </xdr:cNvPr>
        <xdr:cNvCxnSpPr/>
      </xdr:nvCxnSpPr>
      <xdr:spPr>
        <a:xfrm flipV="1">
          <a:off x="10654731" y="445863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81981</xdr:colOff>
      <xdr:row>25</xdr:row>
      <xdr:rowOff>5545</xdr:rowOff>
    </xdr:from>
    <xdr:to>
      <xdr:col>18</xdr:col>
      <xdr:colOff>585928</xdr:colOff>
      <xdr:row>25</xdr:row>
      <xdr:rowOff>6702</xdr:rowOff>
    </xdr:to>
    <xdr:cxnSp macro="">
      <xdr:nvCxnSpPr>
        <xdr:cNvPr id="158" name="Straight Connector 157">
          <a:extLst>
            <a:ext uri="{FF2B5EF4-FFF2-40B4-BE49-F238E27FC236}">
              <a16:creationId xmlns:a16="http://schemas.microsoft.com/office/drawing/2014/main" id="{1973793E-1614-4625-BAF0-9C0C3EC664C5}"/>
            </a:ext>
          </a:extLst>
        </xdr:cNvPr>
        <xdr:cNvCxnSpPr/>
      </xdr:nvCxnSpPr>
      <xdr:spPr>
        <a:xfrm flipV="1">
          <a:off x="10654731" y="446324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81981</xdr:colOff>
      <xdr:row>24</xdr:row>
      <xdr:rowOff>191437</xdr:rowOff>
    </xdr:from>
    <xdr:to>
      <xdr:col>20</xdr:col>
      <xdr:colOff>585928</xdr:colOff>
      <xdr:row>24</xdr:row>
      <xdr:rowOff>192594</xdr:rowOff>
    </xdr:to>
    <xdr:cxnSp macro="">
      <xdr:nvCxnSpPr>
        <xdr:cNvPr id="159" name="Straight Connector 158">
          <a:extLst>
            <a:ext uri="{FF2B5EF4-FFF2-40B4-BE49-F238E27FC236}">
              <a16:creationId xmlns:a16="http://schemas.microsoft.com/office/drawing/2014/main" id="{5D89D672-A78F-4380-A549-0E562BDBE507}"/>
            </a:ext>
          </a:extLst>
        </xdr:cNvPr>
        <xdr:cNvCxnSpPr/>
      </xdr:nvCxnSpPr>
      <xdr:spPr>
        <a:xfrm flipV="1">
          <a:off x="11873931" y="445863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81981</xdr:colOff>
      <xdr:row>25</xdr:row>
      <xdr:rowOff>5545</xdr:rowOff>
    </xdr:from>
    <xdr:to>
      <xdr:col>20</xdr:col>
      <xdr:colOff>585928</xdr:colOff>
      <xdr:row>25</xdr:row>
      <xdr:rowOff>6702</xdr:rowOff>
    </xdr:to>
    <xdr:cxnSp macro="">
      <xdr:nvCxnSpPr>
        <xdr:cNvPr id="160" name="Straight Connector 159">
          <a:extLst>
            <a:ext uri="{FF2B5EF4-FFF2-40B4-BE49-F238E27FC236}">
              <a16:creationId xmlns:a16="http://schemas.microsoft.com/office/drawing/2014/main" id="{26A782FD-33C3-4D93-8601-13F3C9F72727}"/>
            </a:ext>
          </a:extLst>
        </xdr:cNvPr>
        <xdr:cNvCxnSpPr/>
      </xdr:nvCxnSpPr>
      <xdr:spPr>
        <a:xfrm flipV="1">
          <a:off x="11873931" y="446324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81981</xdr:colOff>
      <xdr:row>27</xdr:row>
      <xdr:rowOff>191437</xdr:rowOff>
    </xdr:from>
    <xdr:to>
      <xdr:col>10</xdr:col>
      <xdr:colOff>585928</xdr:colOff>
      <xdr:row>27</xdr:row>
      <xdr:rowOff>192594</xdr:rowOff>
    </xdr:to>
    <xdr:cxnSp macro="">
      <xdr:nvCxnSpPr>
        <xdr:cNvPr id="161" name="Straight Connector 160">
          <a:extLst>
            <a:ext uri="{FF2B5EF4-FFF2-40B4-BE49-F238E27FC236}">
              <a16:creationId xmlns:a16="http://schemas.microsoft.com/office/drawing/2014/main" id="{35606B2F-4F27-4D99-9C0E-68B8E52FD97C}"/>
            </a:ext>
          </a:extLst>
        </xdr:cNvPr>
        <xdr:cNvCxnSpPr/>
      </xdr:nvCxnSpPr>
      <xdr:spPr>
        <a:xfrm flipV="1">
          <a:off x="5777931" y="501108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81981</xdr:colOff>
      <xdr:row>28</xdr:row>
      <xdr:rowOff>5545</xdr:rowOff>
    </xdr:from>
    <xdr:to>
      <xdr:col>10</xdr:col>
      <xdr:colOff>585928</xdr:colOff>
      <xdr:row>28</xdr:row>
      <xdr:rowOff>6702</xdr:rowOff>
    </xdr:to>
    <xdr:cxnSp macro="">
      <xdr:nvCxnSpPr>
        <xdr:cNvPr id="162" name="Straight Connector 161">
          <a:extLst>
            <a:ext uri="{FF2B5EF4-FFF2-40B4-BE49-F238E27FC236}">
              <a16:creationId xmlns:a16="http://schemas.microsoft.com/office/drawing/2014/main" id="{B150B95F-59A3-4954-A117-62351C120C99}"/>
            </a:ext>
          </a:extLst>
        </xdr:cNvPr>
        <xdr:cNvCxnSpPr/>
      </xdr:nvCxnSpPr>
      <xdr:spPr>
        <a:xfrm flipV="1">
          <a:off x="5777931" y="501569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81981</xdr:colOff>
      <xdr:row>27</xdr:row>
      <xdr:rowOff>191437</xdr:rowOff>
    </xdr:from>
    <xdr:to>
      <xdr:col>12</xdr:col>
      <xdr:colOff>585928</xdr:colOff>
      <xdr:row>27</xdr:row>
      <xdr:rowOff>192594</xdr:rowOff>
    </xdr:to>
    <xdr:cxnSp macro="">
      <xdr:nvCxnSpPr>
        <xdr:cNvPr id="163" name="Straight Connector 162">
          <a:extLst>
            <a:ext uri="{FF2B5EF4-FFF2-40B4-BE49-F238E27FC236}">
              <a16:creationId xmlns:a16="http://schemas.microsoft.com/office/drawing/2014/main" id="{279BC8B5-1146-4944-86D8-D46BF38F6AEB}"/>
            </a:ext>
          </a:extLst>
        </xdr:cNvPr>
        <xdr:cNvCxnSpPr/>
      </xdr:nvCxnSpPr>
      <xdr:spPr>
        <a:xfrm flipV="1">
          <a:off x="6997131" y="501108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81981</xdr:colOff>
      <xdr:row>28</xdr:row>
      <xdr:rowOff>5545</xdr:rowOff>
    </xdr:from>
    <xdr:to>
      <xdr:col>12</xdr:col>
      <xdr:colOff>585928</xdr:colOff>
      <xdr:row>28</xdr:row>
      <xdr:rowOff>6702</xdr:rowOff>
    </xdr:to>
    <xdr:cxnSp macro="">
      <xdr:nvCxnSpPr>
        <xdr:cNvPr id="164" name="Straight Connector 163">
          <a:extLst>
            <a:ext uri="{FF2B5EF4-FFF2-40B4-BE49-F238E27FC236}">
              <a16:creationId xmlns:a16="http://schemas.microsoft.com/office/drawing/2014/main" id="{0872B49C-2D7D-48ED-B049-60D1325F0355}"/>
            </a:ext>
          </a:extLst>
        </xdr:cNvPr>
        <xdr:cNvCxnSpPr/>
      </xdr:nvCxnSpPr>
      <xdr:spPr>
        <a:xfrm flipV="1">
          <a:off x="6997131" y="501569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81981</xdr:colOff>
      <xdr:row>27</xdr:row>
      <xdr:rowOff>191437</xdr:rowOff>
    </xdr:from>
    <xdr:to>
      <xdr:col>14</xdr:col>
      <xdr:colOff>585928</xdr:colOff>
      <xdr:row>27</xdr:row>
      <xdr:rowOff>192594</xdr:rowOff>
    </xdr:to>
    <xdr:cxnSp macro="">
      <xdr:nvCxnSpPr>
        <xdr:cNvPr id="165" name="Straight Connector 164">
          <a:extLst>
            <a:ext uri="{FF2B5EF4-FFF2-40B4-BE49-F238E27FC236}">
              <a16:creationId xmlns:a16="http://schemas.microsoft.com/office/drawing/2014/main" id="{161F4A9F-8D75-4803-BC17-4F95BD8D307A}"/>
            </a:ext>
          </a:extLst>
        </xdr:cNvPr>
        <xdr:cNvCxnSpPr/>
      </xdr:nvCxnSpPr>
      <xdr:spPr>
        <a:xfrm flipV="1">
          <a:off x="8216331" y="501108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81981</xdr:colOff>
      <xdr:row>28</xdr:row>
      <xdr:rowOff>5545</xdr:rowOff>
    </xdr:from>
    <xdr:to>
      <xdr:col>14</xdr:col>
      <xdr:colOff>585928</xdr:colOff>
      <xdr:row>28</xdr:row>
      <xdr:rowOff>6702</xdr:rowOff>
    </xdr:to>
    <xdr:cxnSp macro="">
      <xdr:nvCxnSpPr>
        <xdr:cNvPr id="166" name="Straight Connector 165">
          <a:extLst>
            <a:ext uri="{FF2B5EF4-FFF2-40B4-BE49-F238E27FC236}">
              <a16:creationId xmlns:a16="http://schemas.microsoft.com/office/drawing/2014/main" id="{D271F117-1C8B-4666-B209-FDD2E09F90C6}"/>
            </a:ext>
          </a:extLst>
        </xdr:cNvPr>
        <xdr:cNvCxnSpPr/>
      </xdr:nvCxnSpPr>
      <xdr:spPr>
        <a:xfrm flipV="1">
          <a:off x="8216331" y="501569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81981</xdr:colOff>
      <xdr:row>27</xdr:row>
      <xdr:rowOff>191437</xdr:rowOff>
    </xdr:from>
    <xdr:to>
      <xdr:col>16</xdr:col>
      <xdr:colOff>585928</xdr:colOff>
      <xdr:row>27</xdr:row>
      <xdr:rowOff>192594</xdr:rowOff>
    </xdr:to>
    <xdr:cxnSp macro="">
      <xdr:nvCxnSpPr>
        <xdr:cNvPr id="167" name="Straight Connector 166">
          <a:extLst>
            <a:ext uri="{FF2B5EF4-FFF2-40B4-BE49-F238E27FC236}">
              <a16:creationId xmlns:a16="http://schemas.microsoft.com/office/drawing/2014/main" id="{FDCFAB37-22A1-4081-9F86-5C6CC3A7FB6D}"/>
            </a:ext>
          </a:extLst>
        </xdr:cNvPr>
        <xdr:cNvCxnSpPr/>
      </xdr:nvCxnSpPr>
      <xdr:spPr>
        <a:xfrm flipV="1">
          <a:off x="9435531" y="501108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81981</xdr:colOff>
      <xdr:row>28</xdr:row>
      <xdr:rowOff>5545</xdr:rowOff>
    </xdr:from>
    <xdr:to>
      <xdr:col>16</xdr:col>
      <xdr:colOff>585928</xdr:colOff>
      <xdr:row>28</xdr:row>
      <xdr:rowOff>6702</xdr:rowOff>
    </xdr:to>
    <xdr:cxnSp macro="">
      <xdr:nvCxnSpPr>
        <xdr:cNvPr id="168" name="Straight Connector 167">
          <a:extLst>
            <a:ext uri="{FF2B5EF4-FFF2-40B4-BE49-F238E27FC236}">
              <a16:creationId xmlns:a16="http://schemas.microsoft.com/office/drawing/2014/main" id="{A9759325-3AD2-4A9F-88B7-225062F3EEA0}"/>
            </a:ext>
          </a:extLst>
        </xdr:cNvPr>
        <xdr:cNvCxnSpPr/>
      </xdr:nvCxnSpPr>
      <xdr:spPr>
        <a:xfrm flipV="1">
          <a:off x="9435531" y="501569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81981</xdr:colOff>
      <xdr:row>27</xdr:row>
      <xdr:rowOff>191437</xdr:rowOff>
    </xdr:from>
    <xdr:to>
      <xdr:col>18</xdr:col>
      <xdr:colOff>585928</xdr:colOff>
      <xdr:row>27</xdr:row>
      <xdr:rowOff>192594</xdr:rowOff>
    </xdr:to>
    <xdr:cxnSp macro="">
      <xdr:nvCxnSpPr>
        <xdr:cNvPr id="169" name="Straight Connector 168">
          <a:extLst>
            <a:ext uri="{FF2B5EF4-FFF2-40B4-BE49-F238E27FC236}">
              <a16:creationId xmlns:a16="http://schemas.microsoft.com/office/drawing/2014/main" id="{18B3E6EA-2B19-4975-8ED9-73A2871966C6}"/>
            </a:ext>
          </a:extLst>
        </xdr:cNvPr>
        <xdr:cNvCxnSpPr/>
      </xdr:nvCxnSpPr>
      <xdr:spPr>
        <a:xfrm flipV="1">
          <a:off x="10654731" y="501108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81981</xdr:colOff>
      <xdr:row>28</xdr:row>
      <xdr:rowOff>5545</xdr:rowOff>
    </xdr:from>
    <xdr:to>
      <xdr:col>18</xdr:col>
      <xdr:colOff>585928</xdr:colOff>
      <xdr:row>28</xdr:row>
      <xdr:rowOff>6702</xdr:rowOff>
    </xdr:to>
    <xdr:cxnSp macro="">
      <xdr:nvCxnSpPr>
        <xdr:cNvPr id="170" name="Straight Connector 169">
          <a:extLst>
            <a:ext uri="{FF2B5EF4-FFF2-40B4-BE49-F238E27FC236}">
              <a16:creationId xmlns:a16="http://schemas.microsoft.com/office/drawing/2014/main" id="{1D4D740B-331B-4976-B310-54B8D2176D5D}"/>
            </a:ext>
          </a:extLst>
        </xdr:cNvPr>
        <xdr:cNvCxnSpPr/>
      </xdr:nvCxnSpPr>
      <xdr:spPr>
        <a:xfrm flipV="1">
          <a:off x="10654731" y="501569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81981</xdr:colOff>
      <xdr:row>27</xdr:row>
      <xdr:rowOff>191437</xdr:rowOff>
    </xdr:from>
    <xdr:to>
      <xdr:col>20</xdr:col>
      <xdr:colOff>585928</xdr:colOff>
      <xdr:row>27</xdr:row>
      <xdr:rowOff>192594</xdr:rowOff>
    </xdr:to>
    <xdr:cxnSp macro="">
      <xdr:nvCxnSpPr>
        <xdr:cNvPr id="171" name="Straight Connector 170">
          <a:extLst>
            <a:ext uri="{FF2B5EF4-FFF2-40B4-BE49-F238E27FC236}">
              <a16:creationId xmlns:a16="http://schemas.microsoft.com/office/drawing/2014/main" id="{34AE43E1-EA17-4817-B374-2FAEE9078274}"/>
            </a:ext>
          </a:extLst>
        </xdr:cNvPr>
        <xdr:cNvCxnSpPr/>
      </xdr:nvCxnSpPr>
      <xdr:spPr>
        <a:xfrm flipV="1">
          <a:off x="11873931" y="501108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81981</xdr:colOff>
      <xdr:row>28</xdr:row>
      <xdr:rowOff>5545</xdr:rowOff>
    </xdr:from>
    <xdr:to>
      <xdr:col>20</xdr:col>
      <xdr:colOff>585928</xdr:colOff>
      <xdr:row>28</xdr:row>
      <xdr:rowOff>6702</xdr:rowOff>
    </xdr:to>
    <xdr:cxnSp macro="">
      <xdr:nvCxnSpPr>
        <xdr:cNvPr id="172" name="Straight Connector 171">
          <a:extLst>
            <a:ext uri="{FF2B5EF4-FFF2-40B4-BE49-F238E27FC236}">
              <a16:creationId xmlns:a16="http://schemas.microsoft.com/office/drawing/2014/main" id="{2EA39FC8-D12D-44CD-93E9-DC3D9515CC84}"/>
            </a:ext>
          </a:extLst>
        </xdr:cNvPr>
        <xdr:cNvCxnSpPr/>
      </xdr:nvCxnSpPr>
      <xdr:spPr>
        <a:xfrm flipV="1">
          <a:off x="11873931" y="501569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58081</xdr:colOff>
      <xdr:row>44</xdr:row>
      <xdr:rowOff>162046</xdr:rowOff>
    </xdr:from>
    <xdr:to>
      <xdr:col>12</xdr:col>
      <xdr:colOff>562028</xdr:colOff>
      <xdr:row>44</xdr:row>
      <xdr:rowOff>163364</xdr:rowOff>
    </xdr:to>
    <xdr:cxnSp macro="">
      <xdr:nvCxnSpPr>
        <xdr:cNvPr id="173" name="Straight Connector 172">
          <a:extLst>
            <a:ext uri="{FF2B5EF4-FFF2-40B4-BE49-F238E27FC236}">
              <a16:creationId xmlns:a16="http://schemas.microsoft.com/office/drawing/2014/main" id="{4B8BEC13-4965-44DB-A3BB-22B48D301692}"/>
            </a:ext>
          </a:extLst>
        </xdr:cNvPr>
        <xdr:cNvCxnSpPr/>
      </xdr:nvCxnSpPr>
      <xdr:spPr>
        <a:xfrm flipV="1">
          <a:off x="6973231" y="79915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58081</xdr:colOff>
      <xdr:row>44</xdr:row>
      <xdr:rowOff>162046</xdr:rowOff>
    </xdr:from>
    <xdr:to>
      <xdr:col>14</xdr:col>
      <xdr:colOff>562028</xdr:colOff>
      <xdr:row>44</xdr:row>
      <xdr:rowOff>163364</xdr:rowOff>
    </xdr:to>
    <xdr:cxnSp macro="">
      <xdr:nvCxnSpPr>
        <xdr:cNvPr id="174" name="Straight Connector 173">
          <a:extLst>
            <a:ext uri="{FF2B5EF4-FFF2-40B4-BE49-F238E27FC236}">
              <a16:creationId xmlns:a16="http://schemas.microsoft.com/office/drawing/2014/main" id="{E3CEE3D0-D182-43AA-AE66-8279121A49A9}"/>
            </a:ext>
          </a:extLst>
        </xdr:cNvPr>
        <xdr:cNvCxnSpPr/>
      </xdr:nvCxnSpPr>
      <xdr:spPr>
        <a:xfrm flipV="1">
          <a:off x="8192431" y="79915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58081</xdr:colOff>
      <xdr:row>44</xdr:row>
      <xdr:rowOff>162046</xdr:rowOff>
    </xdr:from>
    <xdr:to>
      <xdr:col>16</xdr:col>
      <xdr:colOff>562028</xdr:colOff>
      <xdr:row>44</xdr:row>
      <xdr:rowOff>163364</xdr:rowOff>
    </xdr:to>
    <xdr:cxnSp macro="">
      <xdr:nvCxnSpPr>
        <xdr:cNvPr id="175" name="Straight Connector 174">
          <a:extLst>
            <a:ext uri="{FF2B5EF4-FFF2-40B4-BE49-F238E27FC236}">
              <a16:creationId xmlns:a16="http://schemas.microsoft.com/office/drawing/2014/main" id="{4BAED6E2-C855-4566-91DB-46EE7ED41A60}"/>
            </a:ext>
          </a:extLst>
        </xdr:cNvPr>
        <xdr:cNvCxnSpPr/>
      </xdr:nvCxnSpPr>
      <xdr:spPr>
        <a:xfrm flipV="1">
          <a:off x="9411631" y="79915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58081</xdr:colOff>
      <xdr:row>44</xdr:row>
      <xdr:rowOff>162046</xdr:rowOff>
    </xdr:from>
    <xdr:to>
      <xdr:col>18</xdr:col>
      <xdr:colOff>562028</xdr:colOff>
      <xdr:row>44</xdr:row>
      <xdr:rowOff>163364</xdr:rowOff>
    </xdr:to>
    <xdr:cxnSp macro="">
      <xdr:nvCxnSpPr>
        <xdr:cNvPr id="176" name="Straight Connector 175">
          <a:extLst>
            <a:ext uri="{FF2B5EF4-FFF2-40B4-BE49-F238E27FC236}">
              <a16:creationId xmlns:a16="http://schemas.microsoft.com/office/drawing/2014/main" id="{843387C1-DA2B-48BF-955A-C80321D7CB3E}"/>
            </a:ext>
          </a:extLst>
        </xdr:cNvPr>
        <xdr:cNvCxnSpPr/>
      </xdr:nvCxnSpPr>
      <xdr:spPr>
        <a:xfrm flipV="1">
          <a:off x="10630831" y="79915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58081</xdr:colOff>
      <xdr:row>44</xdr:row>
      <xdr:rowOff>162046</xdr:rowOff>
    </xdr:from>
    <xdr:to>
      <xdr:col>20</xdr:col>
      <xdr:colOff>562028</xdr:colOff>
      <xdr:row>44</xdr:row>
      <xdr:rowOff>163364</xdr:rowOff>
    </xdr:to>
    <xdr:cxnSp macro="">
      <xdr:nvCxnSpPr>
        <xdr:cNvPr id="177" name="Straight Connector 176">
          <a:extLst>
            <a:ext uri="{FF2B5EF4-FFF2-40B4-BE49-F238E27FC236}">
              <a16:creationId xmlns:a16="http://schemas.microsoft.com/office/drawing/2014/main" id="{DC2ACBEF-D02B-452D-A38A-3C6A7CBF00E7}"/>
            </a:ext>
          </a:extLst>
        </xdr:cNvPr>
        <xdr:cNvCxnSpPr/>
      </xdr:nvCxnSpPr>
      <xdr:spPr>
        <a:xfrm flipV="1">
          <a:off x="11850031" y="79915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58081</xdr:colOff>
      <xdr:row>53</xdr:row>
      <xdr:rowOff>159446</xdr:rowOff>
    </xdr:from>
    <xdr:to>
      <xdr:col>12</xdr:col>
      <xdr:colOff>562028</xdr:colOff>
      <xdr:row>53</xdr:row>
      <xdr:rowOff>160764</xdr:rowOff>
    </xdr:to>
    <xdr:cxnSp macro="">
      <xdr:nvCxnSpPr>
        <xdr:cNvPr id="178" name="Straight Connector 177">
          <a:extLst>
            <a:ext uri="{FF2B5EF4-FFF2-40B4-BE49-F238E27FC236}">
              <a16:creationId xmlns:a16="http://schemas.microsoft.com/office/drawing/2014/main" id="{8A3E3254-9C64-4CEF-8F96-9785BB7E9868}"/>
            </a:ext>
          </a:extLst>
        </xdr:cNvPr>
        <xdr:cNvCxnSpPr/>
      </xdr:nvCxnSpPr>
      <xdr:spPr>
        <a:xfrm flipV="1">
          <a:off x="6973231" y="94939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58081</xdr:colOff>
      <xdr:row>53</xdr:row>
      <xdr:rowOff>159446</xdr:rowOff>
    </xdr:from>
    <xdr:to>
      <xdr:col>14</xdr:col>
      <xdr:colOff>562028</xdr:colOff>
      <xdr:row>53</xdr:row>
      <xdr:rowOff>160764</xdr:rowOff>
    </xdr:to>
    <xdr:cxnSp macro="">
      <xdr:nvCxnSpPr>
        <xdr:cNvPr id="179" name="Straight Connector 178">
          <a:extLst>
            <a:ext uri="{FF2B5EF4-FFF2-40B4-BE49-F238E27FC236}">
              <a16:creationId xmlns:a16="http://schemas.microsoft.com/office/drawing/2014/main" id="{7DCE66EB-E89E-4B03-ADBF-CE8C908CC819}"/>
            </a:ext>
          </a:extLst>
        </xdr:cNvPr>
        <xdr:cNvCxnSpPr/>
      </xdr:nvCxnSpPr>
      <xdr:spPr>
        <a:xfrm flipV="1">
          <a:off x="8192431" y="94939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58081</xdr:colOff>
      <xdr:row>53</xdr:row>
      <xdr:rowOff>159446</xdr:rowOff>
    </xdr:from>
    <xdr:to>
      <xdr:col>16</xdr:col>
      <xdr:colOff>562028</xdr:colOff>
      <xdr:row>53</xdr:row>
      <xdr:rowOff>160764</xdr:rowOff>
    </xdr:to>
    <xdr:cxnSp macro="">
      <xdr:nvCxnSpPr>
        <xdr:cNvPr id="180" name="Straight Connector 179">
          <a:extLst>
            <a:ext uri="{FF2B5EF4-FFF2-40B4-BE49-F238E27FC236}">
              <a16:creationId xmlns:a16="http://schemas.microsoft.com/office/drawing/2014/main" id="{D2F5772A-45F8-471F-B9F2-243F33F9688E}"/>
            </a:ext>
          </a:extLst>
        </xdr:cNvPr>
        <xdr:cNvCxnSpPr/>
      </xdr:nvCxnSpPr>
      <xdr:spPr>
        <a:xfrm flipV="1">
          <a:off x="9411631" y="94939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58081</xdr:colOff>
      <xdr:row>53</xdr:row>
      <xdr:rowOff>159446</xdr:rowOff>
    </xdr:from>
    <xdr:to>
      <xdr:col>18</xdr:col>
      <xdr:colOff>562028</xdr:colOff>
      <xdr:row>53</xdr:row>
      <xdr:rowOff>160764</xdr:rowOff>
    </xdr:to>
    <xdr:cxnSp macro="">
      <xdr:nvCxnSpPr>
        <xdr:cNvPr id="181" name="Straight Connector 180">
          <a:extLst>
            <a:ext uri="{FF2B5EF4-FFF2-40B4-BE49-F238E27FC236}">
              <a16:creationId xmlns:a16="http://schemas.microsoft.com/office/drawing/2014/main" id="{34D302F0-BC3E-45CE-89FE-BDEA124B4B95}"/>
            </a:ext>
          </a:extLst>
        </xdr:cNvPr>
        <xdr:cNvCxnSpPr/>
      </xdr:nvCxnSpPr>
      <xdr:spPr>
        <a:xfrm flipV="1">
          <a:off x="10630831" y="94939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58081</xdr:colOff>
      <xdr:row>53</xdr:row>
      <xdr:rowOff>159446</xdr:rowOff>
    </xdr:from>
    <xdr:to>
      <xdr:col>20</xdr:col>
      <xdr:colOff>562028</xdr:colOff>
      <xdr:row>53</xdr:row>
      <xdr:rowOff>160764</xdr:rowOff>
    </xdr:to>
    <xdr:cxnSp macro="">
      <xdr:nvCxnSpPr>
        <xdr:cNvPr id="182" name="Straight Connector 181">
          <a:extLst>
            <a:ext uri="{FF2B5EF4-FFF2-40B4-BE49-F238E27FC236}">
              <a16:creationId xmlns:a16="http://schemas.microsoft.com/office/drawing/2014/main" id="{EB6363CA-2A51-405D-AA71-A2E40EE90BEE}"/>
            </a:ext>
          </a:extLst>
        </xdr:cNvPr>
        <xdr:cNvCxnSpPr/>
      </xdr:nvCxnSpPr>
      <xdr:spPr>
        <a:xfrm flipV="1">
          <a:off x="11850031" y="94939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58081</xdr:colOff>
      <xdr:row>54</xdr:row>
      <xdr:rowOff>159446</xdr:rowOff>
    </xdr:from>
    <xdr:to>
      <xdr:col>10</xdr:col>
      <xdr:colOff>562028</xdr:colOff>
      <xdr:row>54</xdr:row>
      <xdr:rowOff>160764</xdr:rowOff>
    </xdr:to>
    <xdr:cxnSp macro="">
      <xdr:nvCxnSpPr>
        <xdr:cNvPr id="183" name="Straight Connector 182">
          <a:extLst>
            <a:ext uri="{FF2B5EF4-FFF2-40B4-BE49-F238E27FC236}">
              <a16:creationId xmlns:a16="http://schemas.microsoft.com/office/drawing/2014/main" id="{C8247452-4F07-470A-97C9-DEE0898432C0}"/>
            </a:ext>
          </a:extLst>
        </xdr:cNvPr>
        <xdr:cNvCxnSpPr/>
      </xdr:nvCxnSpPr>
      <xdr:spPr>
        <a:xfrm flipV="1">
          <a:off x="5754031" y="96780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58081</xdr:colOff>
      <xdr:row>54</xdr:row>
      <xdr:rowOff>161846</xdr:rowOff>
    </xdr:from>
    <xdr:to>
      <xdr:col>12</xdr:col>
      <xdr:colOff>562028</xdr:colOff>
      <xdr:row>54</xdr:row>
      <xdr:rowOff>163164</xdr:rowOff>
    </xdr:to>
    <xdr:cxnSp macro="">
      <xdr:nvCxnSpPr>
        <xdr:cNvPr id="184" name="Straight Connector 183">
          <a:extLst>
            <a:ext uri="{FF2B5EF4-FFF2-40B4-BE49-F238E27FC236}">
              <a16:creationId xmlns:a16="http://schemas.microsoft.com/office/drawing/2014/main" id="{EC3B2BA5-EB76-4E36-B2E4-FDC4388DA87A}"/>
            </a:ext>
          </a:extLst>
        </xdr:cNvPr>
        <xdr:cNvCxnSpPr/>
      </xdr:nvCxnSpPr>
      <xdr:spPr>
        <a:xfrm flipV="1">
          <a:off x="6973231" y="96804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58081</xdr:colOff>
      <xdr:row>54</xdr:row>
      <xdr:rowOff>159446</xdr:rowOff>
    </xdr:from>
    <xdr:to>
      <xdr:col>12</xdr:col>
      <xdr:colOff>562028</xdr:colOff>
      <xdr:row>54</xdr:row>
      <xdr:rowOff>160764</xdr:rowOff>
    </xdr:to>
    <xdr:cxnSp macro="">
      <xdr:nvCxnSpPr>
        <xdr:cNvPr id="185" name="Straight Connector 184">
          <a:extLst>
            <a:ext uri="{FF2B5EF4-FFF2-40B4-BE49-F238E27FC236}">
              <a16:creationId xmlns:a16="http://schemas.microsoft.com/office/drawing/2014/main" id="{E8800192-4C6E-4ACD-A188-E1EB090A6079}"/>
            </a:ext>
          </a:extLst>
        </xdr:cNvPr>
        <xdr:cNvCxnSpPr/>
      </xdr:nvCxnSpPr>
      <xdr:spPr>
        <a:xfrm flipV="1">
          <a:off x="6973231" y="96780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58081</xdr:colOff>
      <xdr:row>54</xdr:row>
      <xdr:rowOff>161846</xdr:rowOff>
    </xdr:from>
    <xdr:to>
      <xdr:col>14</xdr:col>
      <xdr:colOff>562028</xdr:colOff>
      <xdr:row>54</xdr:row>
      <xdr:rowOff>163164</xdr:rowOff>
    </xdr:to>
    <xdr:cxnSp macro="">
      <xdr:nvCxnSpPr>
        <xdr:cNvPr id="186" name="Straight Connector 185">
          <a:extLst>
            <a:ext uri="{FF2B5EF4-FFF2-40B4-BE49-F238E27FC236}">
              <a16:creationId xmlns:a16="http://schemas.microsoft.com/office/drawing/2014/main" id="{5323DFC3-A610-4F53-B5EE-D7CB035A1AE9}"/>
            </a:ext>
          </a:extLst>
        </xdr:cNvPr>
        <xdr:cNvCxnSpPr/>
      </xdr:nvCxnSpPr>
      <xdr:spPr>
        <a:xfrm flipV="1">
          <a:off x="8192431" y="96804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58081</xdr:colOff>
      <xdr:row>54</xdr:row>
      <xdr:rowOff>159446</xdr:rowOff>
    </xdr:from>
    <xdr:to>
      <xdr:col>14</xdr:col>
      <xdr:colOff>562028</xdr:colOff>
      <xdr:row>54</xdr:row>
      <xdr:rowOff>160764</xdr:rowOff>
    </xdr:to>
    <xdr:cxnSp macro="">
      <xdr:nvCxnSpPr>
        <xdr:cNvPr id="187" name="Straight Connector 186">
          <a:extLst>
            <a:ext uri="{FF2B5EF4-FFF2-40B4-BE49-F238E27FC236}">
              <a16:creationId xmlns:a16="http://schemas.microsoft.com/office/drawing/2014/main" id="{FB3BC51B-6D5E-46BF-ADD2-F10E0B8D70F9}"/>
            </a:ext>
          </a:extLst>
        </xdr:cNvPr>
        <xdr:cNvCxnSpPr/>
      </xdr:nvCxnSpPr>
      <xdr:spPr>
        <a:xfrm flipV="1">
          <a:off x="8192431" y="96780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58081</xdr:colOff>
      <xdr:row>54</xdr:row>
      <xdr:rowOff>161846</xdr:rowOff>
    </xdr:from>
    <xdr:to>
      <xdr:col>16</xdr:col>
      <xdr:colOff>562028</xdr:colOff>
      <xdr:row>54</xdr:row>
      <xdr:rowOff>163164</xdr:rowOff>
    </xdr:to>
    <xdr:cxnSp macro="">
      <xdr:nvCxnSpPr>
        <xdr:cNvPr id="188" name="Straight Connector 187">
          <a:extLst>
            <a:ext uri="{FF2B5EF4-FFF2-40B4-BE49-F238E27FC236}">
              <a16:creationId xmlns:a16="http://schemas.microsoft.com/office/drawing/2014/main" id="{5C5663D5-6BDD-4CD8-B6C6-18E00B8D0536}"/>
            </a:ext>
          </a:extLst>
        </xdr:cNvPr>
        <xdr:cNvCxnSpPr/>
      </xdr:nvCxnSpPr>
      <xdr:spPr>
        <a:xfrm flipV="1">
          <a:off x="9411631" y="96804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58081</xdr:colOff>
      <xdr:row>54</xdr:row>
      <xdr:rowOff>159446</xdr:rowOff>
    </xdr:from>
    <xdr:to>
      <xdr:col>16</xdr:col>
      <xdr:colOff>562028</xdr:colOff>
      <xdr:row>54</xdr:row>
      <xdr:rowOff>160764</xdr:rowOff>
    </xdr:to>
    <xdr:cxnSp macro="">
      <xdr:nvCxnSpPr>
        <xdr:cNvPr id="189" name="Straight Connector 188">
          <a:extLst>
            <a:ext uri="{FF2B5EF4-FFF2-40B4-BE49-F238E27FC236}">
              <a16:creationId xmlns:a16="http://schemas.microsoft.com/office/drawing/2014/main" id="{F49BC993-E7F5-4DAA-97CD-03A0CAAD1321}"/>
            </a:ext>
          </a:extLst>
        </xdr:cNvPr>
        <xdr:cNvCxnSpPr/>
      </xdr:nvCxnSpPr>
      <xdr:spPr>
        <a:xfrm flipV="1">
          <a:off x="9411631" y="96780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58081</xdr:colOff>
      <xdr:row>54</xdr:row>
      <xdr:rowOff>161846</xdr:rowOff>
    </xdr:from>
    <xdr:to>
      <xdr:col>18</xdr:col>
      <xdr:colOff>562028</xdr:colOff>
      <xdr:row>54</xdr:row>
      <xdr:rowOff>163164</xdr:rowOff>
    </xdr:to>
    <xdr:cxnSp macro="">
      <xdr:nvCxnSpPr>
        <xdr:cNvPr id="190" name="Straight Connector 189">
          <a:extLst>
            <a:ext uri="{FF2B5EF4-FFF2-40B4-BE49-F238E27FC236}">
              <a16:creationId xmlns:a16="http://schemas.microsoft.com/office/drawing/2014/main" id="{42591866-82C5-4F53-B54C-37ADF4F49404}"/>
            </a:ext>
          </a:extLst>
        </xdr:cNvPr>
        <xdr:cNvCxnSpPr/>
      </xdr:nvCxnSpPr>
      <xdr:spPr>
        <a:xfrm flipV="1">
          <a:off x="10630831" y="96804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58081</xdr:colOff>
      <xdr:row>54</xdr:row>
      <xdr:rowOff>159446</xdr:rowOff>
    </xdr:from>
    <xdr:to>
      <xdr:col>18</xdr:col>
      <xdr:colOff>562028</xdr:colOff>
      <xdr:row>54</xdr:row>
      <xdr:rowOff>160764</xdr:rowOff>
    </xdr:to>
    <xdr:cxnSp macro="">
      <xdr:nvCxnSpPr>
        <xdr:cNvPr id="191" name="Straight Connector 190">
          <a:extLst>
            <a:ext uri="{FF2B5EF4-FFF2-40B4-BE49-F238E27FC236}">
              <a16:creationId xmlns:a16="http://schemas.microsoft.com/office/drawing/2014/main" id="{B1B88FE5-8856-420F-A01E-FB67031E2EA1}"/>
            </a:ext>
          </a:extLst>
        </xdr:cNvPr>
        <xdr:cNvCxnSpPr/>
      </xdr:nvCxnSpPr>
      <xdr:spPr>
        <a:xfrm flipV="1">
          <a:off x="10630831" y="96780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58081</xdr:colOff>
      <xdr:row>54</xdr:row>
      <xdr:rowOff>161846</xdr:rowOff>
    </xdr:from>
    <xdr:to>
      <xdr:col>20</xdr:col>
      <xdr:colOff>562028</xdr:colOff>
      <xdr:row>54</xdr:row>
      <xdr:rowOff>163164</xdr:rowOff>
    </xdr:to>
    <xdr:cxnSp macro="">
      <xdr:nvCxnSpPr>
        <xdr:cNvPr id="192" name="Straight Connector 191">
          <a:extLst>
            <a:ext uri="{FF2B5EF4-FFF2-40B4-BE49-F238E27FC236}">
              <a16:creationId xmlns:a16="http://schemas.microsoft.com/office/drawing/2014/main" id="{38076AE2-A344-4CEF-B509-4925F44D1AD3}"/>
            </a:ext>
          </a:extLst>
        </xdr:cNvPr>
        <xdr:cNvCxnSpPr/>
      </xdr:nvCxnSpPr>
      <xdr:spPr>
        <a:xfrm flipV="1">
          <a:off x="11850031" y="96804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58081</xdr:colOff>
      <xdr:row>54</xdr:row>
      <xdr:rowOff>159446</xdr:rowOff>
    </xdr:from>
    <xdr:to>
      <xdr:col>20</xdr:col>
      <xdr:colOff>562028</xdr:colOff>
      <xdr:row>54</xdr:row>
      <xdr:rowOff>160764</xdr:rowOff>
    </xdr:to>
    <xdr:cxnSp macro="">
      <xdr:nvCxnSpPr>
        <xdr:cNvPr id="193" name="Straight Connector 192">
          <a:extLst>
            <a:ext uri="{FF2B5EF4-FFF2-40B4-BE49-F238E27FC236}">
              <a16:creationId xmlns:a16="http://schemas.microsoft.com/office/drawing/2014/main" id="{EB2F6CCE-C1F8-45BB-8603-7E4667FCFDFC}"/>
            </a:ext>
          </a:extLst>
        </xdr:cNvPr>
        <xdr:cNvCxnSpPr/>
      </xdr:nvCxnSpPr>
      <xdr:spPr>
        <a:xfrm flipV="1">
          <a:off x="11850031" y="96780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58081</xdr:colOff>
      <xdr:row>55</xdr:row>
      <xdr:rowOff>4246</xdr:rowOff>
    </xdr:from>
    <xdr:to>
      <xdr:col>12</xdr:col>
      <xdr:colOff>562028</xdr:colOff>
      <xdr:row>55</xdr:row>
      <xdr:rowOff>5564</xdr:rowOff>
    </xdr:to>
    <xdr:cxnSp macro="">
      <xdr:nvCxnSpPr>
        <xdr:cNvPr id="194" name="Straight Connector 193">
          <a:extLst>
            <a:ext uri="{FF2B5EF4-FFF2-40B4-BE49-F238E27FC236}">
              <a16:creationId xmlns:a16="http://schemas.microsoft.com/office/drawing/2014/main" id="{BBB761B1-2EDD-40AF-8892-AA602E3E505F}"/>
            </a:ext>
          </a:extLst>
        </xdr:cNvPr>
        <xdr:cNvCxnSpPr/>
      </xdr:nvCxnSpPr>
      <xdr:spPr>
        <a:xfrm flipV="1">
          <a:off x="6973231" y="97070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58081</xdr:colOff>
      <xdr:row>55</xdr:row>
      <xdr:rowOff>4246</xdr:rowOff>
    </xdr:from>
    <xdr:to>
      <xdr:col>14</xdr:col>
      <xdr:colOff>562028</xdr:colOff>
      <xdr:row>55</xdr:row>
      <xdr:rowOff>5564</xdr:rowOff>
    </xdr:to>
    <xdr:cxnSp macro="">
      <xdr:nvCxnSpPr>
        <xdr:cNvPr id="195" name="Straight Connector 194">
          <a:extLst>
            <a:ext uri="{FF2B5EF4-FFF2-40B4-BE49-F238E27FC236}">
              <a16:creationId xmlns:a16="http://schemas.microsoft.com/office/drawing/2014/main" id="{64BE3984-0310-4DD7-9C24-4173600343B6}"/>
            </a:ext>
          </a:extLst>
        </xdr:cNvPr>
        <xdr:cNvCxnSpPr/>
      </xdr:nvCxnSpPr>
      <xdr:spPr>
        <a:xfrm flipV="1">
          <a:off x="8192431" y="97070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58081</xdr:colOff>
      <xdr:row>55</xdr:row>
      <xdr:rowOff>4246</xdr:rowOff>
    </xdr:from>
    <xdr:to>
      <xdr:col>16</xdr:col>
      <xdr:colOff>562028</xdr:colOff>
      <xdr:row>55</xdr:row>
      <xdr:rowOff>5564</xdr:rowOff>
    </xdr:to>
    <xdr:cxnSp macro="">
      <xdr:nvCxnSpPr>
        <xdr:cNvPr id="196" name="Straight Connector 195">
          <a:extLst>
            <a:ext uri="{FF2B5EF4-FFF2-40B4-BE49-F238E27FC236}">
              <a16:creationId xmlns:a16="http://schemas.microsoft.com/office/drawing/2014/main" id="{AFF297FF-D979-45FA-89F1-956BDD6B817D}"/>
            </a:ext>
          </a:extLst>
        </xdr:cNvPr>
        <xdr:cNvCxnSpPr/>
      </xdr:nvCxnSpPr>
      <xdr:spPr>
        <a:xfrm flipV="1">
          <a:off x="9411631" y="97070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58081</xdr:colOff>
      <xdr:row>55</xdr:row>
      <xdr:rowOff>4246</xdr:rowOff>
    </xdr:from>
    <xdr:to>
      <xdr:col>18</xdr:col>
      <xdr:colOff>562028</xdr:colOff>
      <xdr:row>55</xdr:row>
      <xdr:rowOff>5564</xdr:rowOff>
    </xdr:to>
    <xdr:cxnSp macro="">
      <xdr:nvCxnSpPr>
        <xdr:cNvPr id="197" name="Straight Connector 196">
          <a:extLst>
            <a:ext uri="{FF2B5EF4-FFF2-40B4-BE49-F238E27FC236}">
              <a16:creationId xmlns:a16="http://schemas.microsoft.com/office/drawing/2014/main" id="{47DC3D48-523F-4EC7-96C3-8A98E31893DD}"/>
            </a:ext>
          </a:extLst>
        </xdr:cNvPr>
        <xdr:cNvCxnSpPr/>
      </xdr:nvCxnSpPr>
      <xdr:spPr>
        <a:xfrm flipV="1">
          <a:off x="10630831" y="97070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58081</xdr:colOff>
      <xdr:row>55</xdr:row>
      <xdr:rowOff>4246</xdr:rowOff>
    </xdr:from>
    <xdr:to>
      <xdr:col>20</xdr:col>
      <xdr:colOff>562028</xdr:colOff>
      <xdr:row>55</xdr:row>
      <xdr:rowOff>5564</xdr:rowOff>
    </xdr:to>
    <xdr:cxnSp macro="">
      <xdr:nvCxnSpPr>
        <xdr:cNvPr id="198" name="Straight Connector 197">
          <a:extLst>
            <a:ext uri="{FF2B5EF4-FFF2-40B4-BE49-F238E27FC236}">
              <a16:creationId xmlns:a16="http://schemas.microsoft.com/office/drawing/2014/main" id="{03491B9A-B5B0-4AF4-A195-140235D1B07A}"/>
            </a:ext>
          </a:extLst>
        </xdr:cNvPr>
        <xdr:cNvCxnSpPr/>
      </xdr:nvCxnSpPr>
      <xdr:spPr>
        <a:xfrm flipV="1">
          <a:off x="11850031" y="97070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69448</xdr:colOff>
      <xdr:row>20</xdr:row>
      <xdr:rowOff>166161</xdr:rowOff>
    </xdr:from>
    <xdr:to>
      <xdr:col>26</xdr:col>
      <xdr:colOff>709528</xdr:colOff>
      <xdr:row>20</xdr:row>
      <xdr:rowOff>166161</xdr:rowOff>
    </xdr:to>
    <xdr:cxnSp macro="">
      <xdr:nvCxnSpPr>
        <xdr:cNvPr id="199" name="Straight Connector 198">
          <a:extLst>
            <a:ext uri="{FF2B5EF4-FFF2-40B4-BE49-F238E27FC236}">
              <a16:creationId xmlns:a16="http://schemas.microsoft.com/office/drawing/2014/main" id="{A530B3F5-3843-4CD0-8211-93C9ECB968A5}"/>
            </a:ext>
          </a:extLst>
        </xdr:cNvPr>
        <xdr:cNvCxnSpPr/>
      </xdr:nvCxnSpPr>
      <xdr:spPr>
        <a:xfrm>
          <a:off x="16738198" y="3703111"/>
          <a:ext cx="5765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69448</xdr:colOff>
      <xdr:row>20</xdr:row>
      <xdr:rowOff>166161</xdr:rowOff>
    </xdr:from>
    <xdr:to>
      <xdr:col>26</xdr:col>
      <xdr:colOff>709528</xdr:colOff>
      <xdr:row>20</xdr:row>
      <xdr:rowOff>166161</xdr:rowOff>
    </xdr:to>
    <xdr:cxnSp macro="">
      <xdr:nvCxnSpPr>
        <xdr:cNvPr id="200" name="Straight Connector 199">
          <a:extLst>
            <a:ext uri="{FF2B5EF4-FFF2-40B4-BE49-F238E27FC236}">
              <a16:creationId xmlns:a16="http://schemas.microsoft.com/office/drawing/2014/main" id="{72F4C4E0-E3B4-496E-A832-BC19DB3AA840}"/>
            </a:ext>
          </a:extLst>
        </xdr:cNvPr>
        <xdr:cNvCxnSpPr/>
      </xdr:nvCxnSpPr>
      <xdr:spPr>
        <a:xfrm>
          <a:off x="16738198" y="3703111"/>
          <a:ext cx="5765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71627</xdr:colOff>
      <xdr:row>34</xdr:row>
      <xdr:rowOff>164113</xdr:rowOff>
    </xdr:from>
    <xdr:to>
      <xdr:col>26</xdr:col>
      <xdr:colOff>711707</xdr:colOff>
      <xdr:row>34</xdr:row>
      <xdr:rowOff>164113</xdr:rowOff>
    </xdr:to>
    <xdr:cxnSp macro="">
      <xdr:nvCxnSpPr>
        <xdr:cNvPr id="201" name="Straight Connector 200">
          <a:extLst>
            <a:ext uri="{FF2B5EF4-FFF2-40B4-BE49-F238E27FC236}">
              <a16:creationId xmlns:a16="http://schemas.microsoft.com/office/drawing/2014/main" id="{E462A037-2268-419C-9B62-4F4B133C765A}"/>
            </a:ext>
          </a:extLst>
        </xdr:cNvPr>
        <xdr:cNvCxnSpPr/>
      </xdr:nvCxnSpPr>
      <xdr:spPr>
        <a:xfrm>
          <a:off x="16740377" y="6291863"/>
          <a:ext cx="5765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81638</xdr:colOff>
      <xdr:row>11</xdr:row>
      <xdr:rowOff>169534</xdr:rowOff>
    </xdr:from>
    <xdr:to>
      <xdr:col>20</xdr:col>
      <xdr:colOff>585586</xdr:colOff>
      <xdr:row>11</xdr:row>
      <xdr:rowOff>170691</xdr:rowOff>
    </xdr:to>
    <xdr:cxnSp macro="">
      <xdr:nvCxnSpPr>
        <xdr:cNvPr id="202" name="Straight Connector 201">
          <a:extLst>
            <a:ext uri="{FF2B5EF4-FFF2-40B4-BE49-F238E27FC236}">
              <a16:creationId xmlns:a16="http://schemas.microsoft.com/office/drawing/2014/main" id="{C71AACF8-BF36-470A-8CEA-3EB40704B906}"/>
            </a:ext>
          </a:extLst>
        </xdr:cNvPr>
        <xdr:cNvCxnSpPr/>
      </xdr:nvCxnSpPr>
      <xdr:spPr>
        <a:xfrm flipV="1">
          <a:off x="11873588" y="217613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74332</xdr:colOff>
      <xdr:row>64</xdr:row>
      <xdr:rowOff>159393</xdr:rowOff>
    </xdr:from>
    <xdr:to>
      <xdr:col>25</xdr:col>
      <xdr:colOff>714412</xdr:colOff>
      <xdr:row>64</xdr:row>
      <xdr:rowOff>159393</xdr:rowOff>
    </xdr:to>
    <xdr:cxnSp macro="">
      <xdr:nvCxnSpPr>
        <xdr:cNvPr id="203" name="Straight Connector 202">
          <a:extLst>
            <a:ext uri="{FF2B5EF4-FFF2-40B4-BE49-F238E27FC236}">
              <a16:creationId xmlns:a16="http://schemas.microsoft.com/office/drawing/2014/main" id="{2E992ED1-52A1-4AEA-B3E2-F3CBB52861DE}"/>
            </a:ext>
          </a:extLst>
        </xdr:cNvPr>
        <xdr:cNvCxnSpPr/>
      </xdr:nvCxnSpPr>
      <xdr:spPr>
        <a:xfrm>
          <a:off x="15981082" y="11398893"/>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55843</xdr:colOff>
      <xdr:row>26</xdr:row>
      <xdr:rowOff>139492</xdr:rowOff>
    </xdr:from>
    <xdr:to>
      <xdr:col>4</xdr:col>
      <xdr:colOff>541946</xdr:colOff>
      <xdr:row>26</xdr:row>
      <xdr:rowOff>139492</xdr:rowOff>
    </xdr:to>
    <xdr:cxnSp macro="">
      <xdr:nvCxnSpPr>
        <xdr:cNvPr id="204" name="Straight Connector 203">
          <a:extLst>
            <a:ext uri="{FF2B5EF4-FFF2-40B4-BE49-F238E27FC236}">
              <a16:creationId xmlns:a16="http://schemas.microsoft.com/office/drawing/2014/main" id="{B40B605E-671C-48CC-8847-D32783C22C3A}"/>
            </a:ext>
          </a:extLst>
        </xdr:cNvPr>
        <xdr:cNvCxnSpPr/>
      </xdr:nvCxnSpPr>
      <xdr:spPr>
        <a:xfrm>
          <a:off x="2773643" y="4781342"/>
          <a:ext cx="486103"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55843</xdr:colOff>
      <xdr:row>32</xdr:row>
      <xdr:rowOff>169413</xdr:rowOff>
    </xdr:from>
    <xdr:to>
      <xdr:col>4</xdr:col>
      <xdr:colOff>541946</xdr:colOff>
      <xdr:row>32</xdr:row>
      <xdr:rowOff>169413</xdr:rowOff>
    </xdr:to>
    <xdr:cxnSp macro="">
      <xdr:nvCxnSpPr>
        <xdr:cNvPr id="205" name="Straight Connector 204">
          <a:extLst>
            <a:ext uri="{FF2B5EF4-FFF2-40B4-BE49-F238E27FC236}">
              <a16:creationId xmlns:a16="http://schemas.microsoft.com/office/drawing/2014/main" id="{0357468A-1995-4AC9-BDE6-CEF8F2739C77}"/>
            </a:ext>
          </a:extLst>
        </xdr:cNvPr>
        <xdr:cNvCxnSpPr/>
      </xdr:nvCxnSpPr>
      <xdr:spPr>
        <a:xfrm>
          <a:off x="2773643" y="5928863"/>
          <a:ext cx="486103"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55843</xdr:colOff>
      <xdr:row>33</xdr:row>
      <xdr:rowOff>167269</xdr:rowOff>
    </xdr:from>
    <xdr:to>
      <xdr:col>4</xdr:col>
      <xdr:colOff>541946</xdr:colOff>
      <xdr:row>33</xdr:row>
      <xdr:rowOff>167269</xdr:rowOff>
    </xdr:to>
    <xdr:cxnSp macro="">
      <xdr:nvCxnSpPr>
        <xdr:cNvPr id="206" name="Straight Connector 205">
          <a:extLst>
            <a:ext uri="{FF2B5EF4-FFF2-40B4-BE49-F238E27FC236}">
              <a16:creationId xmlns:a16="http://schemas.microsoft.com/office/drawing/2014/main" id="{0056148F-C44E-4D83-92EB-04137E49EACC}"/>
            </a:ext>
          </a:extLst>
        </xdr:cNvPr>
        <xdr:cNvCxnSpPr/>
      </xdr:nvCxnSpPr>
      <xdr:spPr>
        <a:xfrm>
          <a:off x="2773643" y="6110869"/>
          <a:ext cx="486103"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25099</xdr:colOff>
      <xdr:row>38</xdr:row>
      <xdr:rowOff>175830</xdr:rowOff>
    </xdr:from>
    <xdr:to>
      <xdr:col>2</xdr:col>
      <xdr:colOff>665179</xdr:colOff>
      <xdr:row>38</xdr:row>
      <xdr:rowOff>175830</xdr:rowOff>
    </xdr:to>
    <xdr:cxnSp macro="">
      <xdr:nvCxnSpPr>
        <xdr:cNvPr id="207" name="Straight Connector 206">
          <a:extLst>
            <a:ext uri="{FF2B5EF4-FFF2-40B4-BE49-F238E27FC236}">
              <a16:creationId xmlns:a16="http://schemas.microsoft.com/office/drawing/2014/main" id="{28FF72DA-8BFA-4D0E-AE9B-E00931C6B988}"/>
            </a:ext>
          </a:extLst>
        </xdr:cNvPr>
        <xdr:cNvCxnSpPr/>
      </xdr:nvCxnSpPr>
      <xdr:spPr>
        <a:xfrm>
          <a:off x="1244299" y="6900480"/>
          <a:ext cx="58293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26112</xdr:colOff>
      <xdr:row>38</xdr:row>
      <xdr:rowOff>170983</xdr:rowOff>
    </xdr:from>
    <xdr:to>
      <xdr:col>3</xdr:col>
      <xdr:colOff>593040</xdr:colOff>
      <xdr:row>38</xdr:row>
      <xdr:rowOff>170983</xdr:rowOff>
    </xdr:to>
    <xdr:cxnSp macro="">
      <xdr:nvCxnSpPr>
        <xdr:cNvPr id="208" name="Straight Connector 207">
          <a:extLst>
            <a:ext uri="{FF2B5EF4-FFF2-40B4-BE49-F238E27FC236}">
              <a16:creationId xmlns:a16="http://schemas.microsoft.com/office/drawing/2014/main" id="{19C1D50A-81B6-411B-9714-03EF73A30AF7}"/>
            </a:ext>
          </a:extLst>
        </xdr:cNvPr>
        <xdr:cNvCxnSpPr/>
      </xdr:nvCxnSpPr>
      <xdr:spPr>
        <a:xfrm>
          <a:off x="1854912" y="6895633"/>
          <a:ext cx="566928"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22202</xdr:colOff>
      <xdr:row>38</xdr:row>
      <xdr:rowOff>170983</xdr:rowOff>
    </xdr:from>
    <xdr:to>
      <xdr:col>4</xdr:col>
      <xdr:colOff>589130</xdr:colOff>
      <xdr:row>38</xdr:row>
      <xdr:rowOff>170983</xdr:rowOff>
    </xdr:to>
    <xdr:cxnSp macro="">
      <xdr:nvCxnSpPr>
        <xdr:cNvPr id="209" name="Straight Connector 208">
          <a:extLst>
            <a:ext uri="{FF2B5EF4-FFF2-40B4-BE49-F238E27FC236}">
              <a16:creationId xmlns:a16="http://schemas.microsoft.com/office/drawing/2014/main" id="{072822A0-513B-4D5A-BD2F-C8DB20C5F0D4}"/>
            </a:ext>
          </a:extLst>
        </xdr:cNvPr>
        <xdr:cNvCxnSpPr/>
      </xdr:nvCxnSpPr>
      <xdr:spPr>
        <a:xfrm>
          <a:off x="2740002" y="6895633"/>
          <a:ext cx="516128"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30719</xdr:colOff>
      <xdr:row>65</xdr:row>
      <xdr:rowOff>145082</xdr:rowOff>
    </xdr:from>
    <xdr:to>
      <xdr:col>2</xdr:col>
      <xdr:colOff>670799</xdr:colOff>
      <xdr:row>65</xdr:row>
      <xdr:rowOff>145082</xdr:rowOff>
    </xdr:to>
    <xdr:cxnSp macro="">
      <xdr:nvCxnSpPr>
        <xdr:cNvPr id="210" name="Straight Connector 209">
          <a:extLst>
            <a:ext uri="{FF2B5EF4-FFF2-40B4-BE49-F238E27FC236}">
              <a16:creationId xmlns:a16="http://schemas.microsoft.com/office/drawing/2014/main" id="{4B9D5880-1A48-4E3C-ABF1-ACAE06EBD5F1}"/>
            </a:ext>
          </a:extLst>
        </xdr:cNvPr>
        <xdr:cNvCxnSpPr/>
      </xdr:nvCxnSpPr>
      <xdr:spPr>
        <a:xfrm>
          <a:off x="1249919" y="11568732"/>
          <a:ext cx="5765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26112</xdr:colOff>
      <xdr:row>65</xdr:row>
      <xdr:rowOff>145082</xdr:rowOff>
    </xdr:from>
    <xdr:to>
      <xdr:col>3</xdr:col>
      <xdr:colOff>593040</xdr:colOff>
      <xdr:row>65</xdr:row>
      <xdr:rowOff>145082</xdr:rowOff>
    </xdr:to>
    <xdr:cxnSp macro="">
      <xdr:nvCxnSpPr>
        <xdr:cNvPr id="211" name="Straight Connector 210">
          <a:extLst>
            <a:ext uri="{FF2B5EF4-FFF2-40B4-BE49-F238E27FC236}">
              <a16:creationId xmlns:a16="http://schemas.microsoft.com/office/drawing/2014/main" id="{0AF9D320-5168-40B1-95A1-B918E9D191AE}"/>
            </a:ext>
          </a:extLst>
        </xdr:cNvPr>
        <xdr:cNvCxnSpPr/>
      </xdr:nvCxnSpPr>
      <xdr:spPr>
        <a:xfrm>
          <a:off x="1854912" y="11568732"/>
          <a:ext cx="566928"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22202</xdr:colOff>
      <xdr:row>65</xdr:row>
      <xdr:rowOff>145082</xdr:rowOff>
    </xdr:from>
    <xdr:to>
      <xdr:col>4</xdr:col>
      <xdr:colOff>589130</xdr:colOff>
      <xdr:row>65</xdr:row>
      <xdr:rowOff>145082</xdr:rowOff>
    </xdr:to>
    <xdr:cxnSp macro="">
      <xdr:nvCxnSpPr>
        <xdr:cNvPr id="212" name="Straight Connector 211">
          <a:extLst>
            <a:ext uri="{FF2B5EF4-FFF2-40B4-BE49-F238E27FC236}">
              <a16:creationId xmlns:a16="http://schemas.microsoft.com/office/drawing/2014/main" id="{C2AC84F4-DEBD-4724-8169-FBC9DF3C7F9B}"/>
            </a:ext>
          </a:extLst>
        </xdr:cNvPr>
        <xdr:cNvCxnSpPr/>
      </xdr:nvCxnSpPr>
      <xdr:spPr>
        <a:xfrm>
          <a:off x="2740002" y="11568732"/>
          <a:ext cx="516128"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81981</xdr:colOff>
      <xdr:row>11</xdr:row>
      <xdr:rowOff>169534</xdr:rowOff>
    </xdr:from>
    <xdr:to>
      <xdr:col>10</xdr:col>
      <xdr:colOff>585928</xdr:colOff>
      <xdr:row>11</xdr:row>
      <xdr:rowOff>170691</xdr:rowOff>
    </xdr:to>
    <xdr:cxnSp macro="">
      <xdr:nvCxnSpPr>
        <xdr:cNvPr id="213" name="Straight Connector 212">
          <a:extLst>
            <a:ext uri="{FF2B5EF4-FFF2-40B4-BE49-F238E27FC236}">
              <a16:creationId xmlns:a16="http://schemas.microsoft.com/office/drawing/2014/main" id="{58079726-95A1-4A9F-8B6E-C0DAA5DF250A}"/>
            </a:ext>
          </a:extLst>
        </xdr:cNvPr>
        <xdr:cNvCxnSpPr/>
      </xdr:nvCxnSpPr>
      <xdr:spPr>
        <a:xfrm flipV="1">
          <a:off x="5777931" y="2176134"/>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84473</xdr:colOff>
      <xdr:row>11</xdr:row>
      <xdr:rowOff>169534</xdr:rowOff>
    </xdr:from>
    <xdr:to>
      <xdr:col>12</xdr:col>
      <xdr:colOff>588420</xdr:colOff>
      <xdr:row>11</xdr:row>
      <xdr:rowOff>170691</xdr:rowOff>
    </xdr:to>
    <xdr:cxnSp macro="">
      <xdr:nvCxnSpPr>
        <xdr:cNvPr id="214" name="Straight Connector 213">
          <a:extLst>
            <a:ext uri="{FF2B5EF4-FFF2-40B4-BE49-F238E27FC236}">
              <a16:creationId xmlns:a16="http://schemas.microsoft.com/office/drawing/2014/main" id="{5BB8B91D-5BCD-4529-BADD-0F60D01F2F68}"/>
            </a:ext>
          </a:extLst>
        </xdr:cNvPr>
        <xdr:cNvCxnSpPr/>
      </xdr:nvCxnSpPr>
      <xdr:spPr>
        <a:xfrm flipV="1">
          <a:off x="6999623" y="2176134"/>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82797</xdr:colOff>
      <xdr:row>11</xdr:row>
      <xdr:rowOff>169534</xdr:rowOff>
    </xdr:from>
    <xdr:to>
      <xdr:col>14</xdr:col>
      <xdr:colOff>586744</xdr:colOff>
      <xdr:row>11</xdr:row>
      <xdr:rowOff>170691</xdr:rowOff>
    </xdr:to>
    <xdr:cxnSp macro="">
      <xdr:nvCxnSpPr>
        <xdr:cNvPr id="215" name="Straight Connector 214">
          <a:extLst>
            <a:ext uri="{FF2B5EF4-FFF2-40B4-BE49-F238E27FC236}">
              <a16:creationId xmlns:a16="http://schemas.microsoft.com/office/drawing/2014/main" id="{461DC9FA-EEF1-4C29-BC48-DF483A09199F}"/>
            </a:ext>
          </a:extLst>
        </xdr:cNvPr>
        <xdr:cNvCxnSpPr/>
      </xdr:nvCxnSpPr>
      <xdr:spPr>
        <a:xfrm flipV="1">
          <a:off x="8217147" y="2176134"/>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77421</xdr:colOff>
      <xdr:row>11</xdr:row>
      <xdr:rowOff>169534</xdr:rowOff>
    </xdr:from>
    <xdr:to>
      <xdr:col>16</xdr:col>
      <xdr:colOff>581369</xdr:colOff>
      <xdr:row>11</xdr:row>
      <xdr:rowOff>170691</xdr:rowOff>
    </xdr:to>
    <xdr:cxnSp macro="">
      <xdr:nvCxnSpPr>
        <xdr:cNvPr id="216" name="Straight Connector 215">
          <a:extLst>
            <a:ext uri="{FF2B5EF4-FFF2-40B4-BE49-F238E27FC236}">
              <a16:creationId xmlns:a16="http://schemas.microsoft.com/office/drawing/2014/main" id="{C09D0D63-F5A2-4262-982F-93A449F1C57A}"/>
            </a:ext>
          </a:extLst>
        </xdr:cNvPr>
        <xdr:cNvCxnSpPr/>
      </xdr:nvCxnSpPr>
      <xdr:spPr>
        <a:xfrm flipV="1">
          <a:off x="9430971" y="217613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81638</xdr:colOff>
      <xdr:row>11</xdr:row>
      <xdr:rowOff>169534</xdr:rowOff>
    </xdr:from>
    <xdr:to>
      <xdr:col>18</xdr:col>
      <xdr:colOff>585586</xdr:colOff>
      <xdr:row>11</xdr:row>
      <xdr:rowOff>170691</xdr:rowOff>
    </xdr:to>
    <xdr:cxnSp macro="">
      <xdr:nvCxnSpPr>
        <xdr:cNvPr id="217" name="Straight Connector 216">
          <a:extLst>
            <a:ext uri="{FF2B5EF4-FFF2-40B4-BE49-F238E27FC236}">
              <a16:creationId xmlns:a16="http://schemas.microsoft.com/office/drawing/2014/main" id="{264171F4-5AB0-468F-AE0C-00E756CF0DBC}"/>
            </a:ext>
          </a:extLst>
        </xdr:cNvPr>
        <xdr:cNvCxnSpPr/>
      </xdr:nvCxnSpPr>
      <xdr:spPr>
        <a:xfrm flipV="1">
          <a:off x="10654388" y="217613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81505</xdr:colOff>
      <xdr:row>11</xdr:row>
      <xdr:rowOff>169534</xdr:rowOff>
    </xdr:from>
    <xdr:to>
      <xdr:col>20</xdr:col>
      <xdr:colOff>585453</xdr:colOff>
      <xdr:row>11</xdr:row>
      <xdr:rowOff>170691</xdr:rowOff>
    </xdr:to>
    <xdr:cxnSp macro="">
      <xdr:nvCxnSpPr>
        <xdr:cNvPr id="218" name="Straight Connector 217">
          <a:extLst>
            <a:ext uri="{FF2B5EF4-FFF2-40B4-BE49-F238E27FC236}">
              <a16:creationId xmlns:a16="http://schemas.microsoft.com/office/drawing/2014/main" id="{4E0AE58A-5A35-4352-87C0-F92ACCFB868D}"/>
            </a:ext>
          </a:extLst>
        </xdr:cNvPr>
        <xdr:cNvCxnSpPr/>
      </xdr:nvCxnSpPr>
      <xdr:spPr>
        <a:xfrm flipV="1">
          <a:off x="11873455" y="217613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81981</xdr:colOff>
      <xdr:row>13</xdr:row>
      <xdr:rowOff>154837</xdr:rowOff>
    </xdr:from>
    <xdr:to>
      <xdr:col>10</xdr:col>
      <xdr:colOff>585928</xdr:colOff>
      <xdr:row>13</xdr:row>
      <xdr:rowOff>155994</xdr:rowOff>
    </xdr:to>
    <xdr:cxnSp macro="">
      <xdr:nvCxnSpPr>
        <xdr:cNvPr id="219" name="Straight Connector 218">
          <a:extLst>
            <a:ext uri="{FF2B5EF4-FFF2-40B4-BE49-F238E27FC236}">
              <a16:creationId xmlns:a16="http://schemas.microsoft.com/office/drawing/2014/main" id="{A83D73DA-DF23-462B-868C-A030EF4C1D2E}"/>
            </a:ext>
          </a:extLst>
        </xdr:cNvPr>
        <xdr:cNvCxnSpPr/>
      </xdr:nvCxnSpPr>
      <xdr:spPr>
        <a:xfrm flipV="1">
          <a:off x="5777931" y="253608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84473</xdr:colOff>
      <xdr:row>13</xdr:row>
      <xdr:rowOff>154837</xdr:rowOff>
    </xdr:from>
    <xdr:to>
      <xdr:col>12</xdr:col>
      <xdr:colOff>588420</xdr:colOff>
      <xdr:row>13</xdr:row>
      <xdr:rowOff>155994</xdr:rowOff>
    </xdr:to>
    <xdr:cxnSp macro="">
      <xdr:nvCxnSpPr>
        <xdr:cNvPr id="220" name="Straight Connector 219">
          <a:extLst>
            <a:ext uri="{FF2B5EF4-FFF2-40B4-BE49-F238E27FC236}">
              <a16:creationId xmlns:a16="http://schemas.microsoft.com/office/drawing/2014/main" id="{EDD578D6-DC89-45E4-AEC4-BFA40228241B}"/>
            </a:ext>
          </a:extLst>
        </xdr:cNvPr>
        <xdr:cNvCxnSpPr/>
      </xdr:nvCxnSpPr>
      <xdr:spPr>
        <a:xfrm flipV="1">
          <a:off x="6999623" y="253608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82797</xdr:colOff>
      <xdr:row>13</xdr:row>
      <xdr:rowOff>154837</xdr:rowOff>
    </xdr:from>
    <xdr:to>
      <xdr:col>14</xdr:col>
      <xdr:colOff>586744</xdr:colOff>
      <xdr:row>13</xdr:row>
      <xdr:rowOff>155994</xdr:rowOff>
    </xdr:to>
    <xdr:cxnSp macro="">
      <xdr:nvCxnSpPr>
        <xdr:cNvPr id="221" name="Straight Connector 220">
          <a:extLst>
            <a:ext uri="{FF2B5EF4-FFF2-40B4-BE49-F238E27FC236}">
              <a16:creationId xmlns:a16="http://schemas.microsoft.com/office/drawing/2014/main" id="{70E28D20-0A67-44C5-B9BB-A51CB4E70E2F}"/>
            </a:ext>
          </a:extLst>
        </xdr:cNvPr>
        <xdr:cNvCxnSpPr/>
      </xdr:nvCxnSpPr>
      <xdr:spPr>
        <a:xfrm flipV="1">
          <a:off x="8217147" y="253608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92541</xdr:colOff>
      <xdr:row>13</xdr:row>
      <xdr:rowOff>154837</xdr:rowOff>
    </xdr:from>
    <xdr:to>
      <xdr:col>16</xdr:col>
      <xdr:colOff>596489</xdr:colOff>
      <xdr:row>13</xdr:row>
      <xdr:rowOff>155994</xdr:rowOff>
    </xdr:to>
    <xdr:cxnSp macro="">
      <xdr:nvCxnSpPr>
        <xdr:cNvPr id="222" name="Straight Connector 221">
          <a:extLst>
            <a:ext uri="{FF2B5EF4-FFF2-40B4-BE49-F238E27FC236}">
              <a16:creationId xmlns:a16="http://schemas.microsoft.com/office/drawing/2014/main" id="{2B74B7AA-642F-43BD-A0EB-F25373FE6876}"/>
            </a:ext>
          </a:extLst>
        </xdr:cNvPr>
        <xdr:cNvCxnSpPr/>
      </xdr:nvCxnSpPr>
      <xdr:spPr>
        <a:xfrm flipV="1">
          <a:off x="9446091" y="2536087"/>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81638</xdr:colOff>
      <xdr:row>13</xdr:row>
      <xdr:rowOff>154837</xdr:rowOff>
    </xdr:from>
    <xdr:to>
      <xdr:col>18</xdr:col>
      <xdr:colOff>585586</xdr:colOff>
      <xdr:row>13</xdr:row>
      <xdr:rowOff>155994</xdr:rowOff>
    </xdr:to>
    <xdr:cxnSp macro="">
      <xdr:nvCxnSpPr>
        <xdr:cNvPr id="223" name="Straight Connector 222">
          <a:extLst>
            <a:ext uri="{FF2B5EF4-FFF2-40B4-BE49-F238E27FC236}">
              <a16:creationId xmlns:a16="http://schemas.microsoft.com/office/drawing/2014/main" id="{82FC9AF2-89E2-4DE3-8347-D21AFDCFC290}"/>
            </a:ext>
          </a:extLst>
        </xdr:cNvPr>
        <xdr:cNvCxnSpPr/>
      </xdr:nvCxnSpPr>
      <xdr:spPr>
        <a:xfrm flipV="1">
          <a:off x="10654388" y="2536087"/>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81505</xdr:colOff>
      <xdr:row>13</xdr:row>
      <xdr:rowOff>154837</xdr:rowOff>
    </xdr:from>
    <xdr:to>
      <xdr:col>20</xdr:col>
      <xdr:colOff>585453</xdr:colOff>
      <xdr:row>13</xdr:row>
      <xdr:rowOff>155994</xdr:rowOff>
    </xdr:to>
    <xdr:cxnSp macro="">
      <xdr:nvCxnSpPr>
        <xdr:cNvPr id="224" name="Straight Connector 223">
          <a:extLst>
            <a:ext uri="{FF2B5EF4-FFF2-40B4-BE49-F238E27FC236}">
              <a16:creationId xmlns:a16="http://schemas.microsoft.com/office/drawing/2014/main" id="{F2F22C99-6423-4350-8555-5CDF22DC724E}"/>
            </a:ext>
          </a:extLst>
        </xdr:cNvPr>
        <xdr:cNvCxnSpPr/>
      </xdr:nvCxnSpPr>
      <xdr:spPr>
        <a:xfrm flipV="1">
          <a:off x="11873455" y="2536087"/>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81981</xdr:colOff>
      <xdr:row>16</xdr:row>
      <xdr:rowOff>158334</xdr:rowOff>
    </xdr:from>
    <xdr:to>
      <xdr:col>10</xdr:col>
      <xdr:colOff>585928</xdr:colOff>
      <xdr:row>16</xdr:row>
      <xdr:rowOff>159491</xdr:rowOff>
    </xdr:to>
    <xdr:cxnSp macro="">
      <xdr:nvCxnSpPr>
        <xdr:cNvPr id="225" name="Straight Connector 224">
          <a:extLst>
            <a:ext uri="{FF2B5EF4-FFF2-40B4-BE49-F238E27FC236}">
              <a16:creationId xmlns:a16="http://schemas.microsoft.com/office/drawing/2014/main" id="{24A1D106-7274-43AD-93BA-A44E3941ADB0}"/>
            </a:ext>
          </a:extLst>
        </xdr:cNvPr>
        <xdr:cNvCxnSpPr/>
      </xdr:nvCxnSpPr>
      <xdr:spPr>
        <a:xfrm flipV="1">
          <a:off x="5777931" y="3092034"/>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84473</xdr:colOff>
      <xdr:row>16</xdr:row>
      <xdr:rowOff>158334</xdr:rowOff>
    </xdr:from>
    <xdr:to>
      <xdr:col>12</xdr:col>
      <xdr:colOff>588420</xdr:colOff>
      <xdr:row>16</xdr:row>
      <xdr:rowOff>159491</xdr:rowOff>
    </xdr:to>
    <xdr:cxnSp macro="">
      <xdr:nvCxnSpPr>
        <xdr:cNvPr id="226" name="Straight Connector 225">
          <a:extLst>
            <a:ext uri="{FF2B5EF4-FFF2-40B4-BE49-F238E27FC236}">
              <a16:creationId xmlns:a16="http://schemas.microsoft.com/office/drawing/2014/main" id="{6A0B4A38-6941-4BB1-9AA0-1E455FD2AC29}"/>
            </a:ext>
          </a:extLst>
        </xdr:cNvPr>
        <xdr:cNvCxnSpPr/>
      </xdr:nvCxnSpPr>
      <xdr:spPr>
        <a:xfrm flipV="1">
          <a:off x="6999623" y="3092034"/>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82797</xdr:colOff>
      <xdr:row>16</xdr:row>
      <xdr:rowOff>158334</xdr:rowOff>
    </xdr:from>
    <xdr:to>
      <xdr:col>14</xdr:col>
      <xdr:colOff>586744</xdr:colOff>
      <xdr:row>16</xdr:row>
      <xdr:rowOff>159491</xdr:rowOff>
    </xdr:to>
    <xdr:cxnSp macro="">
      <xdr:nvCxnSpPr>
        <xdr:cNvPr id="227" name="Straight Connector 226">
          <a:extLst>
            <a:ext uri="{FF2B5EF4-FFF2-40B4-BE49-F238E27FC236}">
              <a16:creationId xmlns:a16="http://schemas.microsoft.com/office/drawing/2014/main" id="{F8DD20EE-2ED2-4ED2-BD29-59CEFC92DA9D}"/>
            </a:ext>
          </a:extLst>
        </xdr:cNvPr>
        <xdr:cNvCxnSpPr/>
      </xdr:nvCxnSpPr>
      <xdr:spPr>
        <a:xfrm flipV="1">
          <a:off x="8217147" y="3092034"/>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75886</xdr:colOff>
      <xdr:row>16</xdr:row>
      <xdr:rowOff>158334</xdr:rowOff>
    </xdr:from>
    <xdr:to>
      <xdr:col>16</xdr:col>
      <xdr:colOff>579834</xdr:colOff>
      <xdr:row>16</xdr:row>
      <xdr:rowOff>159491</xdr:rowOff>
    </xdr:to>
    <xdr:cxnSp macro="">
      <xdr:nvCxnSpPr>
        <xdr:cNvPr id="228" name="Straight Connector 227">
          <a:extLst>
            <a:ext uri="{FF2B5EF4-FFF2-40B4-BE49-F238E27FC236}">
              <a16:creationId xmlns:a16="http://schemas.microsoft.com/office/drawing/2014/main" id="{1849D76D-01BF-4980-9888-9A563E20B179}"/>
            </a:ext>
          </a:extLst>
        </xdr:cNvPr>
        <xdr:cNvCxnSpPr/>
      </xdr:nvCxnSpPr>
      <xdr:spPr>
        <a:xfrm flipV="1">
          <a:off x="9429436" y="309203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81638</xdr:colOff>
      <xdr:row>16</xdr:row>
      <xdr:rowOff>158334</xdr:rowOff>
    </xdr:from>
    <xdr:to>
      <xdr:col>18</xdr:col>
      <xdr:colOff>585586</xdr:colOff>
      <xdr:row>16</xdr:row>
      <xdr:rowOff>159491</xdr:rowOff>
    </xdr:to>
    <xdr:cxnSp macro="">
      <xdr:nvCxnSpPr>
        <xdr:cNvPr id="229" name="Straight Connector 228">
          <a:extLst>
            <a:ext uri="{FF2B5EF4-FFF2-40B4-BE49-F238E27FC236}">
              <a16:creationId xmlns:a16="http://schemas.microsoft.com/office/drawing/2014/main" id="{B01C9516-5B6D-4B03-94F9-76DAD146A196}"/>
            </a:ext>
          </a:extLst>
        </xdr:cNvPr>
        <xdr:cNvCxnSpPr/>
      </xdr:nvCxnSpPr>
      <xdr:spPr>
        <a:xfrm flipV="1">
          <a:off x="10654388" y="309203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81505</xdr:colOff>
      <xdr:row>16</xdr:row>
      <xdr:rowOff>158334</xdr:rowOff>
    </xdr:from>
    <xdr:to>
      <xdr:col>20</xdr:col>
      <xdr:colOff>585453</xdr:colOff>
      <xdr:row>16</xdr:row>
      <xdr:rowOff>159491</xdr:rowOff>
    </xdr:to>
    <xdr:cxnSp macro="">
      <xdr:nvCxnSpPr>
        <xdr:cNvPr id="230" name="Straight Connector 229">
          <a:extLst>
            <a:ext uri="{FF2B5EF4-FFF2-40B4-BE49-F238E27FC236}">
              <a16:creationId xmlns:a16="http://schemas.microsoft.com/office/drawing/2014/main" id="{5F3B79C7-5BA1-4B80-A4DE-0B94E9182861}"/>
            </a:ext>
          </a:extLst>
        </xdr:cNvPr>
        <xdr:cNvCxnSpPr/>
      </xdr:nvCxnSpPr>
      <xdr:spPr>
        <a:xfrm flipV="1">
          <a:off x="11873455" y="309203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81981</xdr:colOff>
      <xdr:row>18</xdr:row>
      <xdr:rowOff>166215</xdr:rowOff>
    </xdr:from>
    <xdr:to>
      <xdr:col>10</xdr:col>
      <xdr:colOff>585928</xdr:colOff>
      <xdr:row>18</xdr:row>
      <xdr:rowOff>167372</xdr:rowOff>
    </xdr:to>
    <xdr:cxnSp macro="">
      <xdr:nvCxnSpPr>
        <xdr:cNvPr id="231" name="Straight Connector 230">
          <a:extLst>
            <a:ext uri="{FF2B5EF4-FFF2-40B4-BE49-F238E27FC236}">
              <a16:creationId xmlns:a16="http://schemas.microsoft.com/office/drawing/2014/main" id="{3A6AFF84-3AFD-4F32-AB60-EEF025CB1B9C}"/>
            </a:ext>
          </a:extLst>
        </xdr:cNvPr>
        <xdr:cNvCxnSpPr/>
      </xdr:nvCxnSpPr>
      <xdr:spPr>
        <a:xfrm flipV="1">
          <a:off x="5777931" y="346821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84473</xdr:colOff>
      <xdr:row>18</xdr:row>
      <xdr:rowOff>166215</xdr:rowOff>
    </xdr:from>
    <xdr:to>
      <xdr:col>12</xdr:col>
      <xdr:colOff>588420</xdr:colOff>
      <xdr:row>18</xdr:row>
      <xdr:rowOff>167372</xdr:rowOff>
    </xdr:to>
    <xdr:cxnSp macro="">
      <xdr:nvCxnSpPr>
        <xdr:cNvPr id="232" name="Straight Connector 231">
          <a:extLst>
            <a:ext uri="{FF2B5EF4-FFF2-40B4-BE49-F238E27FC236}">
              <a16:creationId xmlns:a16="http://schemas.microsoft.com/office/drawing/2014/main" id="{409C5C31-86BE-43EA-AE46-D82903020774}"/>
            </a:ext>
          </a:extLst>
        </xdr:cNvPr>
        <xdr:cNvCxnSpPr/>
      </xdr:nvCxnSpPr>
      <xdr:spPr>
        <a:xfrm flipV="1">
          <a:off x="6999623" y="346821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82797</xdr:colOff>
      <xdr:row>18</xdr:row>
      <xdr:rowOff>166215</xdr:rowOff>
    </xdr:from>
    <xdr:to>
      <xdr:col>14</xdr:col>
      <xdr:colOff>586744</xdr:colOff>
      <xdr:row>18</xdr:row>
      <xdr:rowOff>167372</xdr:rowOff>
    </xdr:to>
    <xdr:cxnSp macro="">
      <xdr:nvCxnSpPr>
        <xdr:cNvPr id="233" name="Straight Connector 232">
          <a:extLst>
            <a:ext uri="{FF2B5EF4-FFF2-40B4-BE49-F238E27FC236}">
              <a16:creationId xmlns:a16="http://schemas.microsoft.com/office/drawing/2014/main" id="{5385FE18-374F-4E1E-96B4-F1D461FED6BD}"/>
            </a:ext>
          </a:extLst>
        </xdr:cNvPr>
        <xdr:cNvCxnSpPr/>
      </xdr:nvCxnSpPr>
      <xdr:spPr>
        <a:xfrm flipV="1">
          <a:off x="8217147" y="346821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92941</xdr:colOff>
      <xdr:row>18</xdr:row>
      <xdr:rowOff>166215</xdr:rowOff>
    </xdr:from>
    <xdr:to>
      <xdr:col>16</xdr:col>
      <xdr:colOff>596889</xdr:colOff>
      <xdr:row>18</xdr:row>
      <xdr:rowOff>167372</xdr:rowOff>
    </xdr:to>
    <xdr:cxnSp macro="">
      <xdr:nvCxnSpPr>
        <xdr:cNvPr id="234" name="Straight Connector 233">
          <a:extLst>
            <a:ext uri="{FF2B5EF4-FFF2-40B4-BE49-F238E27FC236}">
              <a16:creationId xmlns:a16="http://schemas.microsoft.com/office/drawing/2014/main" id="{D6C04B66-578E-4260-A356-D140F1FC44A7}"/>
            </a:ext>
          </a:extLst>
        </xdr:cNvPr>
        <xdr:cNvCxnSpPr/>
      </xdr:nvCxnSpPr>
      <xdr:spPr>
        <a:xfrm flipV="1">
          <a:off x="9446491" y="3468215"/>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81638</xdr:colOff>
      <xdr:row>18</xdr:row>
      <xdr:rowOff>166215</xdr:rowOff>
    </xdr:from>
    <xdr:to>
      <xdr:col>18</xdr:col>
      <xdr:colOff>585586</xdr:colOff>
      <xdr:row>18</xdr:row>
      <xdr:rowOff>167372</xdr:rowOff>
    </xdr:to>
    <xdr:cxnSp macro="">
      <xdr:nvCxnSpPr>
        <xdr:cNvPr id="235" name="Straight Connector 234">
          <a:extLst>
            <a:ext uri="{FF2B5EF4-FFF2-40B4-BE49-F238E27FC236}">
              <a16:creationId xmlns:a16="http://schemas.microsoft.com/office/drawing/2014/main" id="{A75DD6DF-C058-4EAA-B00F-441A5871A54F}"/>
            </a:ext>
          </a:extLst>
        </xdr:cNvPr>
        <xdr:cNvCxnSpPr/>
      </xdr:nvCxnSpPr>
      <xdr:spPr>
        <a:xfrm flipV="1">
          <a:off x="10654388" y="3468215"/>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81505</xdr:colOff>
      <xdr:row>18</xdr:row>
      <xdr:rowOff>166215</xdr:rowOff>
    </xdr:from>
    <xdr:to>
      <xdr:col>20</xdr:col>
      <xdr:colOff>585453</xdr:colOff>
      <xdr:row>18</xdr:row>
      <xdr:rowOff>167372</xdr:rowOff>
    </xdr:to>
    <xdr:cxnSp macro="">
      <xdr:nvCxnSpPr>
        <xdr:cNvPr id="236" name="Straight Connector 235">
          <a:extLst>
            <a:ext uri="{FF2B5EF4-FFF2-40B4-BE49-F238E27FC236}">
              <a16:creationId xmlns:a16="http://schemas.microsoft.com/office/drawing/2014/main" id="{C32B8BBB-A192-44E0-93B2-7B9825E86468}"/>
            </a:ext>
          </a:extLst>
        </xdr:cNvPr>
        <xdr:cNvCxnSpPr/>
      </xdr:nvCxnSpPr>
      <xdr:spPr>
        <a:xfrm flipV="1">
          <a:off x="11873455" y="3468215"/>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96981</xdr:colOff>
      <xdr:row>23</xdr:row>
      <xdr:rowOff>152197</xdr:rowOff>
    </xdr:from>
    <xdr:to>
      <xdr:col>10</xdr:col>
      <xdr:colOff>600928</xdr:colOff>
      <xdr:row>23</xdr:row>
      <xdr:rowOff>153354</xdr:rowOff>
    </xdr:to>
    <xdr:cxnSp macro="">
      <xdr:nvCxnSpPr>
        <xdr:cNvPr id="237" name="Straight Connector 236">
          <a:extLst>
            <a:ext uri="{FF2B5EF4-FFF2-40B4-BE49-F238E27FC236}">
              <a16:creationId xmlns:a16="http://schemas.microsoft.com/office/drawing/2014/main" id="{6E0242C7-7657-47AF-8160-A05C054BD0B8}"/>
            </a:ext>
          </a:extLst>
        </xdr:cNvPr>
        <xdr:cNvCxnSpPr/>
      </xdr:nvCxnSpPr>
      <xdr:spPr>
        <a:xfrm flipV="1">
          <a:off x="5792931" y="424159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99035</xdr:colOff>
      <xdr:row>23</xdr:row>
      <xdr:rowOff>152197</xdr:rowOff>
    </xdr:from>
    <xdr:to>
      <xdr:col>12</xdr:col>
      <xdr:colOff>603858</xdr:colOff>
      <xdr:row>23</xdr:row>
      <xdr:rowOff>153354</xdr:rowOff>
    </xdr:to>
    <xdr:cxnSp macro="">
      <xdr:nvCxnSpPr>
        <xdr:cNvPr id="238" name="Straight Connector 237">
          <a:extLst>
            <a:ext uri="{FF2B5EF4-FFF2-40B4-BE49-F238E27FC236}">
              <a16:creationId xmlns:a16="http://schemas.microsoft.com/office/drawing/2014/main" id="{7EBE8C49-AC7A-4449-B3E0-7C523DA6D6F6}"/>
            </a:ext>
          </a:extLst>
        </xdr:cNvPr>
        <xdr:cNvCxnSpPr/>
      </xdr:nvCxnSpPr>
      <xdr:spPr>
        <a:xfrm flipV="1">
          <a:off x="7014185" y="4241597"/>
          <a:ext cx="1114423"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97360</xdr:colOff>
      <xdr:row>23</xdr:row>
      <xdr:rowOff>152197</xdr:rowOff>
    </xdr:from>
    <xdr:to>
      <xdr:col>14</xdr:col>
      <xdr:colOff>602182</xdr:colOff>
      <xdr:row>23</xdr:row>
      <xdr:rowOff>153354</xdr:rowOff>
    </xdr:to>
    <xdr:cxnSp macro="">
      <xdr:nvCxnSpPr>
        <xdr:cNvPr id="239" name="Straight Connector 238">
          <a:extLst>
            <a:ext uri="{FF2B5EF4-FFF2-40B4-BE49-F238E27FC236}">
              <a16:creationId xmlns:a16="http://schemas.microsoft.com/office/drawing/2014/main" id="{A3F1436D-07B8-4FB4-A7DF-4E24BEBF3C2A}"/>
            </a:ext>
          </a:extLst>
        </xdr:cNvPr>
        <xdr:cNvCxnSpPr/>
      </xdr:nvCxnSpPr>
      <xdr:spPr>
        <a:xfrm flipV="1">
          <a:off x="8231710" y="4241597"/>
          <a:ext cx="1114422"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107963</xdr:colOff>
      <xdr:row>23</xdr:row>
      <xdr:rowOff>152197</xdr:rowOff>
    </xdr:from>
    <xdr:to>
      <xdr:col>17</xdr:col>
      <xdr:colOff>1866</xdr:colOff>
      <xdr:row>23</xdr:row>
      <xdr:rowOff>153354</xdr:rowOff>
    </xdr:to>
    <xdr:cxnSp macro="">
      <xdr:nvCxnSpPr>
        <xdr:cNvPr id="240" name="Straight Connector 239">
          <a:extLst>
            <a:ext uri="{FF2B5EF4-FFF2-40B4-BE49-F238E27FC236}">
              <a16:creationId xmlns:a16="http://schemas.microsoft.com/office/drawing/2014/main" id="{65532BC5-8407-464A-94D0-F4548E150FA2}"/>
            </a:ext>
          </a:extLst>
        </xdr:cNvPr>
        <xdr:cNvCxnSpPr/>
      </xdr:nvCxnSpPr>
      <xdr:spPr>
        <a:xfrm flipV="1">
          <a:off x="9461513" y="4241597"/>
          <a:ext cx="1113103"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96661</xdr:colOff>
      <xdr:row>23</xdr:row>
      <xdr:rowOff>152197</xdr:rowOff>
    </xdr:from>
    <xdr:to>
      <xdr:col>18</xdr:col>
      <xdr:colOff>600563</xdr:colOff>
      <xdr:row>23</xdr:row>
      <xdr:rowOff>153354</xdr:rowOff>
    </xdr:to>
    <xdr:cxnSp macro="">
      <xdr:nvCxnSpPr>
        <xdr:cNvPr id="241" name="Straight Connector 240">
          <a:extLst>
            <a:ext uri="{FF2B5EF4-FFF2-40B4-BE49-F238E27FC236}">
              <a16:creationId xmlns:a16="http://schemas.microsoft.com/office/drawing/2014/main" id="{6CB6DC70-EF97-4221-8D00-DF88CE2F0419}"/>
            </a:ext>
          </a:extLst>
        </xdr:cNvPr>
        <xdr:cNvCxnSpPr/>
      </xdr:nvCxnSpPr>
      <xdr:spPr>
        <a:xfrm flipV="1">
          <a:off x="10669411" y="4241597"/>
          <a:ext cx="1113502"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81527</xdr:colOff>
      <xdr:row>23</xdr:row>
      <xdr:rowOff>152197</xdr:rowOff>
    </xdr:from>
    <xdr:to>
      <xdr:col>20</xdr:col>
      <xdr:colOff>585430</xdr:colOff>
      <xdr:row>23</xdr:row>
      <xdr:rowOff>153354</xdr:rowOff>
    </xdr:to>
    <xdr:cxnSp macro="">
      <xdr:nvCxnSpPr>
        <xdr:cNvPr id="242" name="Straight Connector 241">
          <a:extLst>
            <a:ext uri="{FF2B5EF4-FFF2-40B4-BE49-F238E27FC236}">
              <a16:creationId xmlns:a16="http://schemas.microsoft.com/office/drawing/2014/main" id="{0EBFF0A0-D161-457B-BBCC-ABB8562E49FD}"/>
            </a:ext>
          </a:extLst>
        </xdr:cNvPr>
        <xdr:cNvCxnSpPr/>
      </xdr:nvCxnSpPr>
      <xdr:spPr>
        <a:xfrm flipV="1">
          <a:off x="11873477" y="4241597"/>
          <a:ext cx="1113503"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81981</xdr:colOff>
      <xdr:row>24</xdr:row>
      <xdr:rowOff>191437</xdr:rowOff>
    </xdr:from>
    <xdr:to>
      <xdr:col>10</xdr:col>
      <xdr:colOff>585928</xdr:colOff>
      <xdr:row>24</xdr:row>
      <xdr:rowOff>192594</xdr:rowOff>
    </xdr:to>
    <xdr:cxnSp macro="">
      <xdr:nvCxnSpPr>
        <xdr:cNvPr id="243" name="Straight Connector 242">
          <a:extLst>
            <a:ext uri="{FF2B5EF4-FFF2-40B4-BE49-F238E27FC236}">
              <a16:creationId xmlns:a16="http://schemas.microsoft.com/office/drawing/2014/main" id="{E17AC5C5-E822-4801-8FCF-E9C4F2DE6345}"/>
            </a:ext>
          </a:extLst>
        </xdr:cNvPr>
        <xdr:cNvCxnSpPr/>
      </xdr:nvCxnSpPr>
      <xdr:spPr>
        <a:xfrm flipV="1">
          <a:off x="5777931" y="445863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84473</xdr:colOff>
      <xdr:row>24</xdr:row>
      <xdr:rowOff>191437</xdr:rowOff>
    </xdr:from>
    <xdr:to>
      <xdr:col>12</xdr:col>
      <xdr:colOff>588420</xdr:colOff>
      <xdr:row>24</xdr:row>
      <xdr:rowOff>192594</xdr:rowOff>
    </xdr:to>
    <xdr:cxnSp macro="">
      <xdr:nvCxnSpPr>
        <xdr:cNvPr id="244" name="Straight Connector 243">
          <a:extLst>
            <a:ext uri="{FF2B5EF4-FFF2-40B4-BE49-F238E27FC236}">
              <a16:creationId xmlns:a16="http://schemas.microsoft.com/office/drawing/2014/main" id="{41A1CDDD-8C5B-4849-AD90-51C3FFCBA13C}"/>
            </a:ext>
          </a:extLst>
        </xdr:cNvPr>
        <xdr:cNvCxnSpPr/>
      </xdr:nvCxnSpPr>
      <xdr:spPr>
        <a:xfrm flipV="1">
          <a:off x="6999623" y="445863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82797</xdr:colOff>
      <xdr:row>24</xdr:row>
      <xdr:rowOff>191437</xdr:rowOff>
    </xdr:from>
    <xdr:to>
      <xdr:col>14</xdr:col>
      <xdr:colOff>586744</xdr:colOff>
      <xdr:row>24</xdr:row>
      <xdr:rowOff>192594</xdr:rowOff>
    </xdr:to>
    <xdr:cxnSp macro="">
      <xdr:nvCxnSpPr>
        <xdr:cNvPr id="245" name="Straight Connector 244">
          <a:extLst>
            <a:ext uri="{FF2B5EF4-FFF2-40B4-BE49-F238E27FC236}">
              <a16:creationId xmlns:a16="http://schemas.microsoft.com/office/drawing/2014/main" id="{1A664E5E-B688-4431-B323-3217C7752BE1}"/>
            </a:ext>
          </a:extLst>
        </xdr:cNvPr>
        <xdr:cNvCxnSpPr/>
      </xdr:nvCxnSpPr>
      <xdr:spPr>
        <a:xfrm flipV="1">
          <a:off x="8217147" y="445863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92941</xdr:colOff>
      <xdr:row>24</xdr:row>
      <xdr:rowOff>191437</xdr:rowOff>
    </xdr:from>
    <xdr:to>
      <xdr:col>16</xdr:col>
      <xdr:colOff>596889</xdr:colOff>
      <xdr:row>24</xdr:row>
      <xdr:rowOff>192594</xdr:rowOff>
    </xdr:to>
    <xdr:cxnSp macro="">
      <xdr:nvCxnSpPr>
        <xdr:cNvPr id="246" name="Straight Connector 245">
          <a:extLst>
            <a:ext uri="{FF2B5EF4-FFF2-40B4-BE49-F238E27FC236}">
              <a16:creationId xmlns:a16="http://schemas.microsoft.com/office/drawing/2014/main" id="{9F8C0810-5698-4EC9-ABE0-471444D2767F}"/>
            </a:ext>
          </a:extLst>
        </xdr:cNvPr>
        <xdr:cNvCxnSpPr/>
      </xdr:nvCxnSpPr>
      <xdr:spPr>
        <a:xfrm flipV="1">
          <a:off x="9446491" y="4458637"/>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81638</xdr:colOff>
      <xdr:row>24</xdr:row>
      <xdr:rowOff>191437</xdr:rowOff>
    </xdr:from>
    <xdr:to>
      <xdr:col>18</xdr:col>
      <xdr:colOff>585586</xdr:colOff>
      <xdr:row>24</xdr:row>
      <xdr:rowOff>192594</xdr:rowOff>
    </xdr:to>
    <xdr:cxnSp macro="">
      <xdr:nvCxnSpPr>
        <xdr:cNvPr id="247" name="Straight Connector 246">
          <a:extLst>
            <a:ext uri="{FF2B5EF4-FFF2-40B4-BE49-F238E27FC236}">
              <a16:creationId xmlns:a16="http://schemas.microsoft.com/office/drawing/2014/main" id="{C21EA4C9-A5CA-49E1-B343-09C34E6D0372}"/>
            </a:ext>
          </a:extLst>
        </xdr:cNvPr>
        <xdr:cNvCxnSpPr/>
      </xdr:nvCxnSpPr>
      <xdr:spPr>
        <a:xfrm flipV="1">
          <a:off x="10654388" y="4458637"/>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81505</xdr:colOff>
      <xdr:row>24</xdr:row>
      <xdr:rowOff>191437</xdr:rowOff>
    </xdr:from>
    <xdr:to>
      <xdr:col>20</xdr:col>
      <xdr:colOff>585453</xdr:colOff>
      <xdr:row>24</xdr:row>
      <xdr:rowOff>192594</xdr:rowOff>
    </xdr:to>
    <xdr:cxnSp macro="">
      <xdr:nvCxnSpPr>
        <xdr:cNvPr id="248" name="Straight Connector 247">
          <a:extLst>
            <a:ext uri="{FF2B5EF4-FFF2-40B4-BE49-F238E27FC236}">
              <a16:creationId xmlns:a16="http://schemas.microsoft.com/office/drawing/2014/main" id="{FEF26560-D17B-48B6-A0A6-EC46CA9A442B}"/>
            </a:ext>
          </a:extLst>
        </xdr:cNvPr>
        <xdr:cNvCxnSpPr/>
      </xdr:nvCxnSpPr>
      <xdr:spPr>
        <a:xfrm flipV="1">
          <a:off x="11873455" y="4458637"/>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81981</xdr:colOff>
      <xdr:row>25</xdr:row>
      <xdr:rowOff>5545</xdr:rowOff>
    </xdr:from>
    <xdr:to>
      <xdr:col>10</xdr:col>
      <xdr:colOff>585928</xdr:colOff>
      <xdr:row>25</xdr:row>
      <xdr:rowOff>6702</xdr:rowOff>
    </xdr:to>
    <xdr:cxnSp macro="">
      <xdr:nvCxnSpPr>
        <xdr:cNvPr id="249" name="Straight Connector 248">
          <a:extLst>
            <a:ext uri="{FF2B5EF4-FFF2-40B4-BE49-F238E27FC236}">
              <a16:creationId xmlns:a16="http://schemas.microsoft.com/office/drawing/2014/main" id="{B91D6360-F5DC-4A18-903D-E78F9197BB74}"/>
            </a:ext>
          </a:extLst>
        </xdr:cNvPr>
        <xdr:cNvCxnSpPr/>
      </xdr:nvCxnSpPr>
      <xdr:spPr>
        <a:xfrm flipV="1">
          <a:off x="5777931" y="446324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84473</xdr:colOff>
      <xdr:row>25</xdr:row>
      <xdr:rowOff>5545</xdr:rowOff>
    </xdr:from>
    <xdr:to>
      <xdr:col>12</xdr:col>
      <xdr:colOff>588420</xdr:colOff>
      <xdr:row>25</xdr:row>
      <xdr:rowOff>6702</xdr:rowOff>
    </xdr:to>
    <xdr:cxnSp macro="">
      <xdr:nvCxnSpPr>
        <xdr:cNvPr id="250" name="Straight Connector 249">
          <a:extLst>
            <a:ext uri="{FF2B5EF4-FFF2-40B4-BE49-F238E27FC236}">
              <a16:creationId xmlns:a16="http://schemas.microsoft.com/office/drawing/2014/main" id="{1D1A9DF2-BE3A-48F0-A7AA-5A47C291B281}"/>
            </a:ext>
          </a:extLst>
        </xdr:cNvPr>
        <xdr:cNvCxnSpPr/>
      </xdr:nvCxnSpPr>
      <xdr:spPr>
        <a:xfrm flipV="1">
          <a:off x="6999623" y="446324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82797</xdr:colOff>
      <xdr:row>25</xdr:row>
      <xdr:rowOff>5545</xdr:rowOff>
    </xdr:from>
    <xdr:to>
      <xdr:col>14</xdr:col>
      <xdr:colOff>586744</xdr:colOff>
      <xdr:row>25</xdr:row>
      <xdr:rowOff>6702</xdr:rowOff>
    </xdr:to>
    <xdr:cxnSp macro="">
      <xdr:nvCxnSpPr>
        <xdr:cNvPr id="251" name="Straight Connector 250">
          <a:extLst>
            <a:ext uri="{FF2B5EF4-FFF2-40B4-BE49-F238E27FC236}">
              <a16:creationId xmlns:a16="http://schemas.microsoft.com/office/drawing/2014/main" id="{86250684-D58F-48C5-A26A-3C1A5191856F}"/>
            </a:ext>
          </a:extLst>
        </xdr:cNvPr>
        <xdr:cNvCxnSpPr/>
      </xdr:nvCxnSpPr>
      <xdr:spPr>
        <a:xfrm flipV="1">
          <a:off x="8217147" y="446324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92941</xdr:colOff>
      <xdr:row>25</xdr:row>
      <xdr:rowOff>5545</xdr:rowOff>
    </xdr:from>
    <xdr:to>
      <xdr:col>16</xdr:col>
      <xdr:colOff>596889</xdr:colOff>
      <xdr:row>25</xdr:row>
      <xdr:rowOff>6702</xdr:rowOff>
    </xdr:to>
    <xdr:cxnSp macro="">
      <xdr:nvCxnSpPr>
        <xdr:cNvPr id="252" name="Straight Connector 251">
          <a:extLst>
            <a:ext uri="{FF2B5EF4-FFF2-40B4-BE49-F238E27FC236}">
              <a16:creationId xmlns:a16="http://schemas.microsoft.com/office/drawing/2014/main" id="{58B280CE-9C66-4BA4-B39C-F9BDC3054A87}"/>
            </a:ext>
          </a:extLst>
        </xdr:cNvPr>
        <xdr:cNvCxnSpPr/>
      </xdr:nvCxnSpPr>
      <xdr:spPr>
        <a:xfrm flipV="1">
          <a:off x="9446491" y="4463245"/>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81638</xdr:colOff>
      <xdr:row>25</xdr:row>
      <xdr:rowOff>5545</xdr:rowOff>
    </xdr:from>
    <xdr:to>
      <xdr:col>18</xdr:col>
      <xdr:colOff>585586</xdr:colOff>
      <xdr:row>25</xdr:row>
      <xdr:rowOff>6702</xdr:rowOff>
    </xdr:to>
    <xdr:cxnSp macro="">
      <xdr:nvCxnSpPr>
        <xdr:cNvPr id="253" name="Straight Connector 252">
          <a:extLst>
            <a:ext uri="{FF2B5EF4-FFF2-40B4-BE49-F238E27FC236}">
              <a16:creationId xmlns:a16="http://schemas.microsoft.com/office/drawing/2014/main" id="{8AE01FBA-3D71-49B5-BED6-024D7C4B7F0A}"/>
            </a:ext>
          </a:extLst>
        </xdr:cNvPr>
        <xdr:cNvCxnSpPr/>
      </xdr:nvCxnSpPr>
      <xdr:spPr>
        <a:xfrm flipV="1">
          <a:off x="10654388" y="4463245"/>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81505</xdr:colOff>
      <xdr:row>25</xdr:row>
      <xdr:rowOff>5545</xdr:rowOff>
    </xdr:from>
    <xdr:to>
      <xdr:col>20</xdr:col>
      <xdr:colOff>585453</xdr:colOff>
      <xdr:row>25</xdr:row>
      <xdr:rowOff>6702</xdr:rowOff>
    </xdr:to>
    <xdr:cxnSp macro="">
      <xdr:nvCxnSpPr>
        <xdr:cNvPr id="254" name="Straight Connector 253">
          <a:extLst>
            <a:ext uri="{FF2B5EF4-FFF2-40B4-BE49-F238E27FC236}">
              <a16:creationId xmlns:a16="http://schemas.microsoft.com/office/drawing/2014/main" id="{E91CB81B-49FB-4DDB-B579-DE4D9E548F79}"/>
            </a:ext>
          </a:extLst>
        </xdr:cNvPr>
        <xdr:cNvCxnSpPr/>
      </xdr:nvCxnSpPr>
      <xdr:spPr>
        <a:xfrm flipV="1">
          <a:off x="11873455" y="4463245"/>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66609</xdr:colOff>
      <xdr:row>10</xdr:row>
      <xdr:rowOff>179312</xdr:rowOff>
    </xdr:from>
    <xdr:to>
      <xdr:col>14</xdr:col>
      <xdr:colOff>581713</xdr:colOff>
      <xdr:row>10</xdr:row>
      <xdr:rowOff>179312</xdr:rowOff>
    </xdr:to>
    <xdr:cxnSp macro="">
      <xdr:nvCxnSpPr>
        <xdr:cNvPr id="255" name="Straight Connector 254">
          <a:extLst>
            <a:ext uri="{FF2B5EF4-FFF2-40B4-BE49-F238E27FC236}">
              <a16:creationId xmlns:a16="http://schemas.microsoft.com/office/drawing/2014/main" id="{9214A931-8501-4E62-8E45-1437FBF5B149}"/>
            </a:ext>
          </a:extLst>
        </xdr:cNvPr>
        <xdr:cNvCxnSpPr/>
      </xdr:nvCxnSpPr>
      <xdr:spPr>
        <a:xfrm>
          <a:off x="5762559" y="2001762"/>
          <a:ext cx="3563104"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9641</xdr:colOff>
      <xdr:row>31</xdr:row>
      <xdr:rowOff>163361</xdr:rowOff>
    </xdr:from>
    <xdr:to>
      <xdr:col>21</xdr:col>
      <xdr:colOff>41413</xdr:colOff>
      <xdr:row>31</xdr:row>
      <xdr:rowOff>163361</xdr:rowOff>
    </xdr:to>
    <xdr:cxnSp macro="">
      <xdr:nvCxnSpPr>
        <xdr:cNvPr id="256" name="Straight Connector 255">
          <a:extLst>
            <a:ext uri="{FF2B5EF4-FFF2-40B4-BE49-F238E27FC236}">
              <a16:creationId xmlns:a16="http://schemas.microsoft.com/office/drawing/2014/main" id="{7F222290-F242-4EF7-8906-6181D4900E39}"/>
            </a:ext>
          </a:extLst>
        </xdr:cNvPr>
        <xdr:cNvCxnSpPr/>
      </xdr:nvCxnSpPr>
      <xdr:spPr>
        <a:xfrm>
          <a:off x="3876791" y="5732311"/>
          <a:ext cx="9175772" cy="0"/>
        </a:xfrm>
        <a:prstGeom prst="line">
          <a:avLst/>
        </a:prstGeom>
        <a:ln w="12700">
          <a:solidFill>
            <a:schemeClr val="bg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76881</xdr:colOff>
      <xdr:row>33</xdr:row>
      <xdr:rowOff>162327</xdr:rowOff>
    </xdr:from>
    <xdr:to>
      <xdr:col>10</xdr:col>
      <xdr:colOff>580828</xdr:colOff>
      <xdr:row>33</xdr:row>
      <xdr:rowOff>163484</xdr:rowOff>
    </xdr:to>
    <xdr:cxnSp macro="">
      <xdr:nvCxnSpPr>
        <xdr:cNvPr id="257" name="Straight Connector 256">
          <a:extLst>
            <a:ext uri="{FF2B5EF4-FFF2-40B4-BE49-F238E27FC236}">
              <a16:creationId xmlns:a16="http://schemas.microsoft.com/office/drawing/2014/main" id="{F407574A-0059-4226-B5BB-4B01C9FB63C0}"/>
            </a:ext>
          </a:extLst>
        </xdr:cNvPr>
        <xdr:cNvCxnSpPr/>
      </xdr:nvCxnSpPr>
      <xdr:spPr>
        <a:xfrm flipV="1">
          <a:off x="5772831" y="610592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78935</xdr:colOff>
      <xdr:row>33</xdr:row>
      <xdr:rowOff>162327</xdr:rowOff>
    </xdr:from>
    <xdr:to>
      <xdr:col>12</xdr:col>
      <xdr:colOff>583758</xdr:colOff>
      <xdr:row>33</xdr:row>
      <xdr:rowOff>163484</xdr:rowOff>
    </xdr:to>
    <xdr:cxnSp macro="">
      <xdr:nvCxnSpPr>
        <xdr:cNvPr id="258" name="Straight Connector 257">
          <a:extLst>
            <a:ext uri="{FF2B5EF4-FFF2-40B4-BE49-F238E27FC236}">
              <a16:creationId xmlns:a16="http://schemas.microsoft.com/office/drawing/2014/main" id="{9590322D-7271-4D5A-9A09-2F377C981BD7}"/>
            </a:ext>
          </a:extLst>
        </xdr:cNvPr>
        <xdr:cNvCxnSpPr/>
      </xdr:nvCxnSpPr>
      <xdr:spPr>
        <a:xfrm flipV="1">
          <a:off x="6994085" y="6105927"/>
          <a:ext cx="1114423"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77260</xdr:colOff>
      <xdr:row>33</xdr:row>
      <xdr:rowOff>162327</xdr:rowOff>
    </xdr:from>
    <xdr:to>
      <xdr:col>14</xdr:col>
      <xdr:colOff>582082</xdr:colOff>
      <xdr:row>33</xdr:row>
      <xdr:rowOff>163484</xdr:rowOff>
    </xdr:to>
    <xdr:cxnSp macro="">
      <xdr:nvCxnSpPr>
        <xdr:cNvPr id="259" name="Straight Connector 258">
          <a:extLst>
            <a:ext uri="{FF2B5EF4-FFF2-40B4-BE49-F238E27FC236}">
              <a16:creationId xmlns:a16="http://schemas.microsoft.com/office/drawing/2014/main" id="{4244695A-31D3-4042-948E-765CB62B5DA6}"/>
            </a:ext>
          </a:extLst>
        </xdr:cNvPr>
        <xdr:cNvCxnSpPr/>
      </xdr:nvCxnSpPr>
      <xdr:spPr>
        <a:xfrm flipV="1">
          <a:off x="8211610" y="6105927"/>
          <a:ext cx="1114422"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87863</xdr:colOff>
      <xdr:row>33</xdr:row>
      <xdr:rowOff>162327</xdr:rowOff>
    </xdr:from>
    <xdr:to>
      <xdr:col>16</xdr:col>
      <xdr:colOff>591766</xdr:colOff>
      <xdr:row>33</xdr:row>
      <xdr:rowOff>163484</xdr:rowOff>
    </xdr:to>
    <xdr:cxnSp macro="">
      <xdr:nvCxnSpPr>
        <xdr:cNvPr id="260" name="Straight Connector 259">
          <a:extLst>
            <a:ext uri="{FF2B5EF4-FFF2-40B4-BE49-F238E27FC236}">
              <a16:creationId xmlns:a16="http://schemas.microsoft.com/office/drawing/2014/main" id="{ED5B9995-9B63-4CB8-BF10-B26C4967FDF5}"/>
            </a:ext>
          </a:extLst>
        </xdr:cNvPr>
        <xdr:cNvCxnSpPr/>
      </xdr:nvCxnSpPr>
      <xdr:spPr>
        <a:xfrm flipV="1">
          <a:off x="9441413" y="6105927"/>
          <a:ext cx="1113503"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76561</xdr:colOff>
      <xdr:row>33</xdr:row>
      <xdr:rowOff>162327</xdr:rowOff>
    </xdr:from>
    <xdr:to>
      <xdr:col>18</xdr:col>
      <xdr:colOff>580463</xdr:colOff>
      <xdr:row>33</xdr:row>
      <xdr:rowOff>163484</xdr:rowOff>
    </xdr:to>
    <xdr:cxnSp macro="">
      <xdr:nvCxnSpPr>
        <xdr:cNvPr id="261" name="Straight Connector 260">
          <a:extLst>
            <a:ext uri="{FF2B5EF4-FFF2-40B4-BE49-F238E27FC236}">
              <a16:creationId xmlns:a16="http://schemas.microsoft.com/office/drawing/2014/main" id="{4CD81F85-9EFE-4F70-B192-3235D0C3324C}"/>
            </a:ext>
          </a:extLst>
        </xdr:cNvPr>
        <xdr:cNvCxnSpPr/>
      </xdr:nvCxnSpPr>
      <xdr:spPr>
        <a:xfrm flipV="1">
          <a:off x="10649311" y="6105927"/>
          <a:ext cx="1113502"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61427</xdr:colOff>
      <xdr:row>33</xdr:row>
      <xdr:rowOff>162327</xdr:rowOff>
    </xdr:from>
    <xdr:to>
      <xdr:col>20</xdr:col>
      <xdr:colOff>565330</xdr:colOff>
      <xdr:row>33</xdr:row>
      <xdr:rowOff>163484</xdr:rowOff>
    </xdr:to>
    <xdr:cxnSp macro="">
      <xdr:nvCxnSpPr>
        <xdr:cNvPr id="262" name="Straight Connector 261">
          <a:extLst>
            <a:ext uri="{FF2B5EF4-FFF2-40B4-BE49-F238E27FC236}">
              <a16:creationId xmlns:a16="http://schemas.microsoft.com/office/drawing/2014/main" id="{9FD80920-26A1-4A53-BD88-5DC97C1089AE}"/>
            </a:ext>
          </a:extLst>
        </xdr:cNvPr>
        <xdr:cNvCxnSpPr/>
      </xdr:nvCxnSpPr>
      <xdr:spPr>
        <a:xfrm flipV="1">
          <a:off x="11853377" y="6105927"/>
          <a:ext cx="1113503"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76881</xdr:colOff>
      <xdr:row>40</xdr:row>
      <xdr:rowOff>159727</xdr:rowOff>
    </xdr:from>
    <xdr:to>
      <xdr:col>10</xdr:col>
      <xdr:colOff>580828</xdr:colOff>
      <xdr:row>40</xdr:row>
      <xdr:rowOff>160884</xdr:rowOff>
    </xdr:to>
    <xdr:cxnSp macro="">
      <xdr:nvCxnSpPr>
        <xdr:cNvPr id="263" name="Straight Connector 262">
          <a:extLst>
            <a:ext uri="{FF2B5EF4-FFF2-40B4-BE49-F238E27FC236}">
              <a16:creationId xmlns:a16="http://schemas.microsoft.com/office/drawing/2014/main" id="{802D6EE4-71E7-45A1-AF41-BC311584397F}"/>
            </a:ext>
          </a:extLst>
        </xdr:cNvPr>
        <xdr:cNvCxnSpPr/>
      </xdr:nvCxnSpPr>
      <xdr:spPr>
        <a:xfrm flipV="1">
          <a:off x="5772831" y="725267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78935</xdr:colOff>
      <xdr:row>40</xdr:row>
      <xdr:rowOff>159727</xdr:rowOff>
    </xdr:from>
    <xdr:to>
      <xdr:col>12</xdr:col>
      <xdr:colOff>583758</xdr:colOff>
      <xdr:row>40</xdr:row>
      <xdr:rowOff>160884</xdr:rowOff>
    </xdr:to>
    <xdr:cxnSp macro="">
      <xdr:nvCxnSpPr>
        <xdr:cNvPr id="264" name="Straight Connector 263">
          <a:extLst>
            <a:ext uri="{FF2B5EF4-FFF2-40B4-BE49-F238E27FC236}">
              <a16:creationId xmlns:a16="http://schemas.microsoft.com/office/drawing/2014/main" id="{3646C220-CD5D-403F-8241-862303947F37}"/>
            </a:ext>
          </a:extLst>
        </xdr:cNvPr>
        <xdr:cNvCxnSpPr/>
      </xdr:nvCxnSpPr>
      <xdr:spPr>
        <a:xfrm flipV="1">
          <a:off x="6994085" y="7252677"/>
          <a:ext cx="1114423"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77260</xdr:colOff>
      <xdr:row>40</xdr:row>
      <xdr:rowOff>159727</xdr:rowOff>
    </xdr:from>
    <xdr:to>
      <xdr:col>14</xdr:col>
      <xdr:colOff>582082</xdr:colOff>
      <xdr:row>40</xdr:row>
      <xdr:rowOff>160884</xdr:rowOff>
    </xdr:to>
    <xdr:cxnSp macro="">
      <xdr:nvCxnSpPr>
        <xdr:cNvPr id="265" name="Straight Connector 264">
          <a:extLst>
            <a:ext uri="{FF2B5EF4-FFF2-40B4-BE49-F238E27FC236}">
              <a16:creationId xmlns:a16="http://schemas.microsoft.com/office/drawing/2014/main" id="{B5F85E12-105A-4C16-B396-41D88079300F}"/>
            </a:ext>
          </a:extLst>
        </xdr:cNvPr>
        <xdr:cNvCxnSpPr/>
      </xdr:nvCxnSpPr>
      <xdr:spPr>
        <a:xfrm flipV="1">
          <a:off x="8211610" y="7252677"/>
          <a:ext cx="1114422"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87863</xdr:colOff>
      <xdr:row>40</xdr:row>
      <xdr:rowOff>159727</xdr:rowOff>
    </xdr:from>
    <xdr:to>
      <xdr:col>16</xdr:col>
      <xdr:colOff>591766</xdr:colOff>
      <xdr:row>40</xdr:row>
      <xdr:rowOff>160884</xdr:rowOff>
    </xdr:to>
    <xdr:cxnSp macro="">
      <xdr:nvCxnSpPr>
        <xdr:cNvPr id="266" name="Straight Connector 265">
          <a:extLst>
            <a:ext uri="{FF2B5EF4-FFF2-40B4-BE49-F238E27FC236}">
              <a16:creationId xmlns:a16="http://schemas.microsoft.com/office/drawing/2014/main" id="{04B75A01-7F4B-4F82-B8B7-85C66925C9DF}"/>
            </a:ext>
          </a:extLst>
        </xdr:cNvPr>
        <xdr:cNvCxnSpPr/>
      </xdr:nvCxnSpPr>
      <xdr:spPr>
        <a:xfrm flipV="1">
          <a:off x="9441413" y="7252677"/>
          <a:ext cx="1113503"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76561</xdr:colOff>
      <xdr:row>40</xdr:row>
      <xdr:rowOff>159727</xdr:rowOff>
    </xdr:from>
    <xdr:to>
      <xdr:col>18</xdr:col>
      <xdr:colOff>580463</xdr:colOff>
      <xdr:row>40</xdr:row>
      <xdr:rowOff>160884</xdr:rowOff>
    </xdr:to>
    <xdr:cxnSp macro="">
      <xdr:nvCxnSpPr>
        <xdr:cNvPr id="267" name="Straight Connector 266">
          <a:extLst>
            <a:ext uri="{FF2B5EF4-FFF2-40B4-BE49-F238E27FC236}">
              <a16:creationId xmlns:a16="http://schemas.microsoft.com/office/drawing/2014/main" id="{53EEA261-6176-4DFA-B5CD-F0CDA7FAF3A8}"/>
            </a:ext>
          </a:extLst>
        </xdr:cNvPr>
        <xdr:cNvCxnSpPr/>
      </xdr:nvCxnSpPr>
      <xdr:spPr>
        <a:xfrm flipV="1">
          <a:off x="10649311" y="7252677"/>
          <a:ext cx="1113502"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61427</xdr:colOff>
      <xdr:row>40</xdr:row>
      <xdr:rowOff>159727</xdr:rowOff>
    </xdr:from>
    <xdr:to>
      <xdr:col>20</xdr:col>
      <xdr:colOff>565330</xdr:colOff>
      <xdr:row>40</xdr:row>
      <xdr:rowOff>160884</xdr:rowOff>
    </xdr:to>
    <xdr:cxnSp macro="">
      <xdr:nvCxnSpPr>
        <xdr:cNvPr id="268" name="Straight Connector 267">
          <a:extLst>
            <a:ext uri="{FF2B5EF4-FFF2-40B4-BE49-F238E27FC236}">
              <a16:creationId xmlns:a16="http://schemas.microsoft.com/office/drawing/2014/main" id="{1FE95F3B-2E80-4C2D-B73B-26D1740C2758}"/>
            </a:ext>
          </a:extLst>
        </xdr:cNvPr>
        <xdr:cNvCxnSpPr/>
      </xdr:nvCxnSpPr>
      <xdr:spPr>
        <a:xfrm flipV="1">
          <a:off x="11853377" y="7252677"/>
          <a:ext cx="1113503"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58081</xdr:colOff>
      <xdr:row>44</xdr:row>
      <xdr:rowOff>162046</xdr:rowOff>
    </xdr:from>
    <xdr:to>
      <xdr:col>10</xdr:col>
      <xdr:colOff>562028</xdr:colOff>
      <xdr:row>44</xdr:row>
      <xdr:rowOff>163364</xdr:rowOff>
    </xdr:to>
    <xdr:cxnSp macro="">
      <xdr:nvCxnSpPr>
        <xdr:cNvPr id="269" name="Straight Connector 268">
          <a:extLst>
            <a:ext uri="{FF2B5EF4-FFF2-40B4-BE49-F238E27FC236}">
              <a16:creationId xmlns:a16="http://schemas.microsoft.com/office/drawing/2014/main" id="{F170C2B6-D295-486D-8ECB-D6F520A5B74F}"/>
            </a:ext>
          </a:extLst>
        </xdr:cNvPr>
        <xdr:cNvCxnSpPr/>
      </xdr:nvCxnSpPr>
      <xdr:spPr>
        <a:xfrm flipV="1">
          <a:off x="5754031" y="79915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60135</xdr:colOff>
      <xdr:row>44</xdr:row>
      <xdr:rowOff>162046</xdr:rowOff>
    </xdr:from>
    <xdr:to>
      <xdr:col>12</xdr:col>
      <xdr:colOff>564958</xdr:colOff>
      <xdr:row>44</xdr:row>
      <xdr:rowOff>163364</xdr:rowOff>
    </xdr:to>
    <xdr:cxnSp macro="">
      <xdr:nvCxnSpPr>
        <xdr:cNvPr id="270" name="Straight Connector 269">
          <a:extLst>
            <a:ext uri="{FF2B5EF4-FFF2-40B4-BE49-F238E27FC236}">
              <a16:creationId xmlns:a16="http://schemas.microsoft.com/office/drawing/2014/main" id="{93379467-1425-4563-A1D0-A9B1635F33ED}"/>
            </a:ext>
          </a:extLst>
        </xdr:cNvPr>
        <xdr:cNvCxnSpPr/>
      </xdr:nvCxnSpPr>
      <xdr:spPr>
        <a:xfrm flipV="1">
          <a:off x="6975285" y="7991596"/>
          <a:ext cx="1114423"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58460</xdr:colOff>
      <xdr:row>44</xdr:row>
      <xdr:rowOff>162046</xdr:rowOff>
    </xdr:from>
    <xdr:to>
      <xdr:col>14</xdr:col>
      <xdr:colOff>563282</xdr:colOff>
      <xdr:row>44</xdr:row>
      <xdr:rowOff>163364</xdr:rowOff>
    </xdr:to>
    <xdr:cxnSp macro="">
      <xdr:nvCxnSpPr>
        <xdr:cNvPr id="271" name="Straight Connector 270">
          <a:extLst>
            <a:ext uri="{FF2B5EF4-FFF2-40B4-BE49-F238E27FC236}">
              <a16:creationId xmlns:a16="http://schemas.microsoft.com/office/drawing/2014/main" id="{837267B9-1085-4A81-B662-ACE3B0786C5B}"/>
            </a:ext>
          </a:extLst>
        </xdr:cNvPr>
        <xdr:cNvCxnSpPr/>
      </xdr:nvCxnSpPr>
      <xdr:spPr>
        <a:xfrm flipV="1">
          <a:off x="8192810" y="7991596"/>
          <a:ext cx="1114422"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69063</xdr:colOff>
      <xdr:row>44</xdr:row>
      <xdr:rowOff>162046</xdr:rowOff>
    </xdr:from>
    <xdr:to>
      <xdr:col>16</xdr:col>
      <xdr:colOff>572966</xdr:colOff>
      <xdr:row>44</xdr:row>
      <xdr:rowOff>163364</xdr:rowOff>
    </xdr:to>
    <xdr:cxnSp macro="">
      <xdr:nvCxnSpPr>
        <xdr:cNvPr id="272" name="Straight Connector 271">
          <a:extLst>
            <a:ext uri="{FF2B5EF4-FFF2-40B4-BE49-F238E27FC236}">
              <a16:creationId xmlns:a16="http://schemas.microsoft.com/office/drawing/2014/main" id="{6095D4F4-317F-4BA5-B1D7-ED76A90AD988}"/>
            </a:ext>
          </a:extLst>
        </xdr:cNvPr>
        <xdr:cNvCxnSpPr/>
      </xdr:nvCxnSpPr>
      <xdr:spPr>
        <a:xfrm flipV="1">
          <a:off x="9422613" y="7991596"/>
          <a:ext cx="1113503"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57761</xdr:colOff>
      <xdr:row>44</xdr:row>
      <xdr:rowOff>162046</xdr:rowOff>
    </xdr:from>
    <xdr:to>
      <xdr:col>18</xdr:col>
      <xdr:colOff>561663</xdr:colOff>
      <xdr:row>44</xdr:row>
      <xdr:rowOff>163364</xdr:rowOff>
    </xdr:to>
    <xdr:cxnSp macro="">
      <xdr:nvCxnSpPr>
        <xdr:cNvPr id="273" name="Straight Connector 272">
          <a:extLst>
            <a:ext uri="{FF2B5EF4-FFF2-40B4-BE49-F238E27FC236}">
              <a16:creationId xmlns:a16="http://schemas.microsoft.com/office/drawing/2014/main" id="{1683F5D4-430A-44A1-B067-5D17154D8B89}"/>
            </a:ext>
          </a:extLst>
        </xdr:cNvPr>
        <xdr:cNvCxnSpPr/>
      </xdr:nvCxnSpPr>
      <xdr:spPr>
        <a:xfrm flipV="1">
          <a:off x="10630511" y="7991596"/>
          <a:ext cx="1113502"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42627</xdr:colOff>
      <xdr:row>44</xdr:row>
      <xdr:rowOff>162046</xdr:rowOff>
    </xdr:from>
    <xdr:to>
      <xdr:col>20</xdr:col>
      <xdr:colOff>546530</xdr:colOff>
      <xdr:row>44</xdr:row>
      <xdr:rowOff>163364</xdr:rowOff>
    </xdr:to>
    <xdr:cxnSp macro="">
      <xdr:nvCxnSpPr>
        <xdr:cNvPr id="274" name="Straight Connector 273">
          <a:extLst>
            <a:ext uri="{FF2B5EF4-FFF2-40B4-BE49-F238E27FC236}">
              <a16:creationId xmlns:a16="http://schemas.microsoft.com/office/drawing/2014/main" id="{9CE5B32F-4938-4BFF-B4EB-039EEB25D1E1}"/>
            </a:ext>
          </a:extLst>
        </xdr:cNvPr>
        <xdr:cNvCxnSpPr/>
      </xdr:nvCxnSpPr>
      <xdr:spPr>
        <a:xfrm flipV="1">
          <a:off x="11834577" y="7991596"/>
          <a:ext cx="1113503"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58081</xdr:colOff>
      <xdr:row>53</xdr:row>
      <xdr:rowOff>159446</xdr:rowOff>
    </xdr:from>
    <xdr:to>
      <xdr:col>10</xdr:col>
      <xdr:colOff>562028</xdr:colOff>
      <xdr:row>53</xdr:row>
      <xdr:rowOff>160764</xdr:rowOff>
    </xdr:to>
    <xdr:cxnSp macro="">
      <xdr:nvCxnSpPr>
        <xdr:cNvPr id="275" name="Straight Connector 274">
          <a:extLst>
            <a:ext uri="{FF2B5EF4-FFF2-40B4-BE49-F238E27FC236}">
              <a16:creationId xmlns:a16="http://schemas.microsoft.com/office/drawing/2014/main" id="{C57CC896-382B-412C-8E91-436909934602}"/>
            </a:ext>
          </a:extLst>
        </xdr:cNvPr>
        <xdr:cNvCxnSpPr/>
      </xdr:nvCxnSpPr>
      <xdr:spPr>
        <a:xfrm flipV="1">
          <a:off x="5754031" y="94939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60135</xdr:colOff>
      <xdr:row>53</xdr:row>
      <xdr:rowOff>159446</xdr:rowOff>
    </xdr:from>
    <xdr:to>
      <xdr:col>12</xdr:col>
      <xdr:colOff>564958</xdr:colOff>
      <xdr:row>53</xdr:row>
      <xdr:rowOff>160764</xdr:rowOff>
    </xdr:to>
    <xdr:cxnSp macro="">
      <xdr:nvCxnSpPr>
        <xdr:cNvPr id="276" name="Straight Connector 275">
          <a:extLst>
            <a:ext uri="{FF2B5EF4-FFF2-40B4-BE49-F238E27FC236}">
              <a16:creationId xmlns:a16="http://schemas.microsoft.com/office/drawing/2014/main" id="{D26C9414-DEBA-4103-8F55-60883FC56F34}"/>
            </a:ext>
          </a:extLst>
        </xdr:cNvPr>
        <xdr:cNvCxnSpPr/>
      </xdr:nvCxnSpPr>
      <xdr:spPr>
        <a:xfrm flipV="1">
          <a:off x="6975285" y="9493946"/>
          <a:ext cx="1114423"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58460</xdr:colOff>
      <xdr:row>53</xdr:row>
      <xdr:rowOff>159446</xdr:rowOff>
    </xdr:from>
    <xdr:to>
      <xdr:col>14</xdr:col>
      <xdr:colOff>563282</xdr:colOff>
      <xdr:row>53</xdr:row>
      <xdr:rowOff>160764</xdr:rowOff>
    </xdr:to>
    <xdr:cxnSp macro="">
      <xdr:nvCxnSpPr>
        <xdr:cNvPr id="277" name="Straight Connector 276">
          <a:extLst>
            <a:ext uri="{FF2B5EF4-FFF2-40B4-BE49-F238E27FC236}">
              <a16:creationId xmlns:a16="http://schemas.microsoft.com/office/drawing/2014/main" id="{C123BFC1-0DD2-44F1-8981-39DC8489F5C4}"/>
            </a:ext>
          </a:extLst>
        </xdr:cNvPr>
        <xdr:cNvCxnSpPr/>
      </xdr:nvCxnSpPr>
      <xdr:spPr>
        <a:xfrm flipV="1">
          <a:off x="8192810" y="9493946"/>
          <a:ext cx="1114422"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69063</xdr:colOff>
      <xdr:row>53</xdr:row>
      <xdr:rowOff>159446</xdr:rowOff>
    </xdr:from>
    <xdr:to>
      <xdr:col>16</xdr:col>
      <xdr:colOff>572966</xdr:colOff>
      <xdr:row>53</xdr:row>
      <xdr:rowOff>160764</xdr:rowOff>
    </xdr:to>
    <xdr:cxnSp macro="">
      <xdr:nvCxnSpPr>
        <xdr:cNvPr id="278" name="Straight Connector 277">
          <a:extLst>
            <a:ext uri="{FF2B5EF4-FFF2-40B4-BE49-F238E27FC236}">
              <a16:creationId xmlns:a16="http://schemas.microsoft.com/office/drawing/2014/main" id="{06489F6E-1058-400B-8398-438BEAC1D0C7}"/>
            </a:ext>
          </a:extLst>
        </xdr:cNvPr>
        <xdr:cNvCxnSpPr/>
      </xdr:nvCxnSpPr>
      <xdr:spPr>
        <a:xfrm flipV="1">
          <a:off x="9422613" y="9493946"/>
          <a:ext cx="1113503"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57761</xdr:colOff>
      <xdr:row>53</xdr:row>
      <xdr:rowOff>159446</xdr:rowOff>
    </xdr:from>
    <xdr:to>
      <xdr:col>18</xdr:col>
      <xdr:colOff>561663</xdr:colOff>
      <xdr:row>53</xdr:row>
      <xdr:rowOff>160764</xdr:rowOff>
    </xdr:to>
    <xdr:cxnSp macro="">
      <xdr:nvCxnSpPr>
        <xdr:cNvPr id="279" name="Straight Connector 278">
          <a:extLst>
            <a:ext uri="{FF2B5EF4-FFF2-40B4-BE49-F238E27FC236}">
              <a16:creationId xmlns:a16="http://schemas.microsoft.com/office/drawing/2014/main" id="{121BAEA1-90B1-4B8A-9396-DA8618D783D0}"/>
            </a:ext>
          </a:extLst>
        </xdr:cNvPr>
        <xdr:cNvCxnSpPr/>
      </xdr:nvCxnSpPr>
      <xdr:spPr>
        <a:xfrm flipV="1">
          <a:off x="10630511" y="9493946"/>
          <a:ext cx="1113502"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42627</xdr:colOff>
      <xdr:row>53</xdr:row>
      <xdr:rowOff>159446</xdr:rowOff>
    </xdr:from>
    <xdr:to>
      <xdr:col>20</xdr:col>
      <xdr:colOff>546530</xdr:colOff>
      <xdr:row>53</xdr:row>
      <xdr:rowOff>160764</xdr:rowOff>
    </xdr:to>
    <xdr:cxnSp macro="">
      <xdr:nvCxnSpPr>
        <xdr:cNvPr id="280" name="Straight Connector 279">
          <a:extLst>
            <a:ext uri="{FF2B5EF4-FFF2-40B4-BE49-F238E27FC236}">
              <a16:creationId xmlns:a16="http://schemas.microsoft.com/office/drawing/2014/main" id="{575C959E-10C3-4B30-B1A0-1CF8DAE1A942}"/>
            </a:ext>
          </a:extLst>
        </xdr:cNvPr>
        <xdr:cNvCxnSpPr/>
      </xdr:nvCxnSpPr>
      <xdr:spPr>
        <a:xfrm flipV="1">
          <a:off x="11834577" y="9493946"/>
          <a:ext cx="1113503"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58081</xdr:colOff>
      <xdr:row>54</xdr:row>
      <xdr:rowOff>161846</xdr:rowOff>
    </xdr:from>
    <xdr:to>
      <xdr:col>10</xdr:col>
      <xdr:colOff>562028</xdr:colOff>
      <xdr:row>54</xdr:row>
      <xdr:rowOff>163164</xdr:rowOff>
    </xdr:to>
    <xdr:cxnSp macro="">
      <xdr:nvCxnSpPr>
        <xdr:cNvPr id="281" name="Straight Connector 280">
          <a:extLst>
            <a:ext uri="{FF2B5EF4-FFF2-40B4-BE49-F238E27FC236}">
              <a16:creationId xmlns:a16="http://schemas.microsoft.com/office/drawing/2014/main" id="{3DAEB258-B2C1-4E50-BDAB-BEA68976D926}"/>
            </a:ext>
          </a:extLst>
        </xdr:cNvPr>
        <xdr:cNvCxnSpPr/>
      </xdr:nvCxnSpPr>
      <xdr:spPr>
        <a:xfrm flipV="1">
          <a:off x="5754031" y="96804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60135</xdr:colOff>
      <xdr:row>54</xdr:row>
      <xdr:rowOff>161846</xdr:rowOff>
    </xdr:from>
    <xdr:to>
      <xdr:col>12</xdr:col>
      <xdr:colOff>564958</xdr:colOff>
      <xdr:row>54</xdr:row>
      <xdr:rowOff>163164</xdr:rowOff>
    </xdr:to>
    <xdr:cxnSp macro="">
      <xdr:nvCxnSpPr>
        <xdr:cNvPr id="282" name="Straight Connector 281">
          <a:extLst>
            <a:ext uri="{FF2B5EF4-FFF2-40B4-BE49-F238E27FC236}">
              <a16:creationId xmlns:a16="http://schemas.microsoft.com/office/drawing/2014/main" id="{87F14028-54D7-4708-AB01-908CE79BE8DE}"/>
            </a:ext>
          </a:extLst>
        </xdr:cNvPr>
        <xdr:cNvCxnSpPr/>
      </xdr:nvCxnSpPr>
      <xdr:spPr>
        <a:xfrm flipV="1">
          <a:off x="6975285" y="9680496"/>
          <a:ext cx="1114423"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58460</xdr:colOff>
      <xdr:row>54</xdr:row>
      <xdr:rowOff>161846</xdr:rowOff>
    </xdr:from>
    <xdr:to>
      <xdr:col>14</xdr:col>
      <xdr:colOff>563282</xdr:colOff>
      <xdr:row>54</xdr:row>
      <xdr:rowOff>163164</xdr:rowOff>
    </xdr:to>
    <xdr:cxnSp macro="">
      <xdr:nvCxnSpPr>
        <xdr:cNvPr id="283" name="Straight Connector 282">
          <a:extLst>
            <a:ext uri="{FF2B5EF4-FFF2-40B4-BE49-F238E27FC236}">
              <a16:creationId xmlns:a16="http://schemas.microsoft.com/office/drawing/2014/main" id="{A2AAD3AF-E252-4219-A4F0-0A2BBD406C78}"/>
            </a:ext>
          </a:extLst>
        </xdr:cNvPr>
        <xdr:cNvCxnSpPr/>
      </xdr:nvCxnSpPr>
      <xdr:spPr>
        <a:xfrm flipV="1">
          <a:off x="8192810" y="9680496"/>
          <a:ext cx="1114422"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69063</xdr:colOff>
      <xdr:row>54</xdr:row>
      <xdr:rowOff>161846</xdr:rowOff>
    </xdr:from>
    <xdr:to>
      <xdr:col>16</xdr:col>
      <xdr:colOff>572966</xdr:colOff>
      <xdr:row>54</xdr:row>
      <xdr:rowOff>163164</xdr:rowOff>
    </xdr:to>
    <xdr:cxnSp macro="">
      <xdr:nvCxnSpPr>
        <xdr:cNvPr id="284" name="Straight Connector 283">
          <a:extLst>
            <a:ext uri="{FF2B5EF4-FFF2-40B4-BE49-F238E27FC236}">
              <a16:creationId xmlns:a16="http://schemas.microsoft.com/office/drawing/2014/main" id="{EFF626B8-2FCC-4006-B1D6-61A1B387AD1C}"/>
            </a:ext>
          </a:extLst>
        </xdr:cNvPr>
        <xdr:cNvCxnSpPr/>
      </xdr:nvCxnSpPr>
      <xdr:spPr>
        <a:xfrm flipV="1">
          <a:off x="9422613" y="9680496"/>
          <a:ext cx="1113503"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57761</xdr:colOff>
      <xdr:row>54</xdr:row>
      <xdr:rowOff>161846</xdr:rowOff>
    </xdr:from>
    <xdr:to>
      <xdr:col>18</xdr:col>
      <xdr:colOff>561663</xdr:colOff>
      <xdr:row>54</xdr:row>
      <xdr:rowOff>163164</xdr:rowOff>
    </xdr:to>
    <xdr:cxnSp macro="">
      <xdr:nvCxnSpPr>
        <xdr:cNvPr id="285" name="Straight Connector 284">
          <a:extLst>
            <a:ext uri="{FF2B5EF4-FFF2-40B4-BE49-F238E27FC236}">
              <a16:creationId xmlns:a16="http://schemas.microsoft.com/office/drawing/2014/main" id="{6FB64BF3-48F6-4211-837E-C678860E12DA}"/>
            </a:ext>
          </a:extLst>
        </xdr:cNvPr>
        <xdr:cNvCxnSpPr/>
      </xdr:nvCxnSpPr>
      <xdr:spPr>
        <a:xfrm flipV="1">
          <a:off x="10630511" y="9680496"/>
          <a:ext cx="1113502"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42627</xdr:colOff>
      <xdr:row>54</xdr:row>
      <xdr:rowOff>161846</xdr:rowOff>
    </xdr:from>
    <xdr:to>
      <xdr:col>20</xdr:col>
      <xdr:colOff>546530</xdr:colOff>
      <xdr:row>54</xdr:row>
      <xdr:rowOff>163164</xdr:rowOff>
    </xdr:to>
    <xdr:cxnSp macro="">
      <xdr:nvCxnSpPr>
        <xdr:cNvPr id="286" name="Straight Connector 285">
          <a:extLst>
            <a:ext uri="{FF2B5EF4-FFF2-40B4-BE49-F238E27FC236}">
              <a16:creationId xmlns:a16="http://schemas.microsoft.com/office/drawing/2014/main" id="{2C26F09C-45C5-46C2-80D9-0F8FD05E2C42}"/>
            </a:ext>
          </a:extLst>
        </xdr:cNvPr>
        <xdr:cNvCxnSpPr/>
      </xdr:nvCxnSpPr>
      <xdr:spPr>
        <a:xfrm flipV="1">
          <a:off x="11834577" y="9680496"/>
          <a:ext cx="1113503"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58081</xdr:colOff>
      <xdr:row>55</xdr:row>
      <xdr:rowOff>4246</xdr:rowOff>
    </xdr:from>
    <xdr:to>
      <xdr:col>10</xdr:col>
      <xdr:colOff>562028</xdr:colOff>
      <xdr:row>55</xdr:row>
      <xdr:rowOff>5564</xdr:rowOff>
    </xdr:to>
    <xdr:cxnSp macro="">
      <xdr:nvCxnSpPr>
        <xdr:cNvPr id="287" name="Straight Connector 286">
          <a:extLst>
            <a:ext uri="{FF2B5EF4-FFF2-40B4-BE49-F238E27FC236}">
              <a16:creationId xmlns:a16="http://schemas.microsoft.com/office/drawing/2014/main" id="{88513439-46B1-476E-8FE8-095107A3DB30}"/>
            </a:ext>
          </a:extLst>
        </xdr:cNvPr>
        <xdr:cNvCxnSpPr/>
      </xdr:nvCxnSpPr>
      <xdr:spPr>
        <a:xfrm flipV="1">
          <a:off x="5754031" y="97070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60135</xdr:colOff>
      <xdr:row>55</xdr:row>
      <xdr:rowOff>4246</xdr:rowOff>
    </xdr:from>
    <xdr:to>
      <xdr:col>12</xdr:col>
      <xdr:colOff>564958</xdr:colOff>
      <xdr:row>55</xdr:row>
      <xdr:rowOff>5564</xdr:rowOff>
    </xdr:to>
    <xdr:cxnSp macro="">
      <xdr:nvCxnSpPr>
        <xdr:cNvPr id="288" name="Straight Connector 287">
          <a:extLst>
            <a:ext uri="{FF2B5EF4-FFF2-40B4-BE49-F238E27FC236}">
              <a16:creationId xmlns:a16="http://schemas.microsoft.com/office/drawing/2014/main" id="{103F4061-B1AC-41B0-950C-7A708DC1D19B}"/>
            </a:ext>
          </a:extLst>
        </xdr:cNvPr>
        <xdr:cNvCxnSpPr/>
      </xdr:nvCxnSpPr>
      <xdr:spPr>
        <a:xfrm flipV="1">
          <a:off x="6975285" y="9707046"/>
          <a:ext cx="1114423"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58460</xdr:colOff>
      <xdr:row>55</xdr:row>
      <xdr:rowOff>4246</xdr:rowOff>
    </xdr:from>
    <xdr:to>
      <xdr:col>14</xdr:col>
      <xdr:colOff>563282</xdr:colOff>
      <xdr:row>55</xdr:row>
      <xdr:rowOff>5564</xdr:rowOff>
    </xdr:to>
    <xdr:cxnSp macro="">
      <xdr:nvCxnSpPr>
        <xdr:cNvPr id="289" name="Straight Connector 288">
          <a:extLst>
            <a:ext uri="{FF2B5EF4-FFF2-40B4-BE49-F238E27FC236}">
              <a16:creationId xmlns:a16="http://schemas.microsoft.com/office/drawing/2014/main" id="{D296F541-3E26-494A-8B47-8A8CCCDBCD6C}"/>
            </a:ext>
          </a:extLst>
        </xdr:cNvPr>
        <xdr:cNvCxnSpPr/>
      </xdr:nvCxnSpPr>
      <xdr:spPr>
        <a:xfrm flipV="1">
          <a:off x="8192810" y="9707046"/>
          <a:ext cx="1114422"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69063</xdr:colOff>
      <xdr:row>55</xdr:row>
      <xdr:rowOff>4246</xdr:rowOff>
    </xdr:from>
    <xdr:to>
      <xdr:col>16</xdr:col>
      <xdr:colOff>572966</xdr:colOff>
      <xdr:row>55</xdr:row>
      <xdr:rowOff>5564</xdr:rowOff>
    </xdr:to>
    <xdr:cxnSp macro="">
      <xdr:nvCxnSpPr>
        <xdr:cNvPr id="290" name="Straight Connector 289">
          <a:extLst>
            <a:ext uri="{FF2B5EF4-FFF2-40B4-BE49-F238E27FC236}">
              <a16:creationId xmlns:a16="http://schemas.microsoft.com/office/drawing/2014/main" id="{1B85B73B-58C3-4365-B940-D1A628CE779D}"/>
            </a:ext>
          </a:extLst>
        </xdr:cNvPr>
        <xdr:cNvCxnSpPr/>
      </xdr:nvCxnSpPr>
      <xdr:spPr>
        <a:xfrm flipV="1">
          <a:off x="9422613" y="9707046"/>
          <a:ext cx="1113503"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57761</xdr:colOff>
      <xdr:row>55</xdr:row>
      <xdr:rowOff>4246</xdr:rowOff>
    </xdr:from>
    <xdr:to>
      <xdr:col>18</xdr:col>
      <xdr:colOff>561663</xdr:colOff>
      <xdr:row>55</xdr:row>
      <xdr:rowOff>5564</xdr:rowOff>
    </xdr:to>
    <xdr:cxnSp macro="">
      <xdr:nvCxnSpPr>
        <xdr:cNvPr id="291" name="Straight Connector 290">
          <a:extLst>
            <a:ext uri="{FF2B5EF4-FFF2-40B4-BE49-F238E27FC236}">
              <a16:creationId xmlns:a16="http://schemas.microsoft.com/office/drawing/2014/main" id="{C816BAC6-E898-473F-8A70-0CEF3A36F52D}"/>
            </a:ext>
          </a:extLst>
        </xdr:cNvPr>
        <xdr:cNvCxnSpPr/>
      </xdr:nvCxnSpPr>
      <xdr:spPr>
        <a:xfrm flipV="1">
          <a:off x="10630511" y="9707046"/>
          <a:ext cx="1113502"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42627</xdr:colOff>
      <xdr:row>55</xdr:row>
      <xdr:rowOff>4246</xdr:rowOff>
    </xdr:from>
    <xdr:to>
      <xdr:col>20</xdr:col>
      <xdr:colOff>546530</xdr:colOff>
      <xdr:row>55</xdr:row>
      <xdr:rowOff>5564</xdr:rowOff>
    </xdr:to>
    <xdr:cxnSp macro="">
      <xdr:nvCxnSpPr>
        <xdr:cNvPr id="292" name="Straight Connector 291">
          <a:extLst>
            <a:ext uri="{FF2B5EF4-FFF2-40B4-BE49-F238E27FC236}">
              <a16:creationId xmlns:a16="http://schemas.microsoft.com/office/drawing/2014/main" id="{3CF19E9C-9AB8-4D4B-B821-FD3433E50AC4}"/>
            </a:ext>
          </a:extLst>
        </xdr:cNvPr>
        <xdr:cNvCxnSpPr/>
      </xdr:nvCxnSpPr>
      <xdr:spPr>
        <a:xfrm flipV="1">
          <a:off x="11834577" y="9707046"/>
          <a:ext cx="1113503"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9641</xdr:colOff>
      <xdr:row>61</xdr:row>
      <xdr:rowOff>152722</xdr:rowOff>
    </xdr:from>
    <xdr:to>
      <xdr:col>21</xdr:col>
      <xdr:colOff>41413</xdr:colOff>
      <xdr:row>61</xdr:row>
      <xdr:rowOff>152722</xdr:rowOff>
    </xdr:to>
    <xdr:cxnSp macro="">
      <xdr:nvCxnSpPr>
        <xdr:cNvPr id="293" name="Straight Connector 292">
          <a:extLst>
            <a:ext uri="{FF2B5EF4-FFF2-40B4-BE49-F238E27FC236}">
              <a16:creationId xmlns:a16="http://schemas.microsoft.com/office/drawing/2014/main" id="{75AE867A-D04B-4CD1-8A1D-2EAD21907993}"/>
            </a:ext>
          </a:extLst>
        </xdr:cNvPr>
        <xdr:cNvCxnSpPr/>
      </xdr:nvCxnSpPr>
      <xdr:spPr>
        <a:xfrm>
          <a:off x="3876791" y="10833422"/>
          <a:ext cx="9175772" cy="0"/>
        </a:xfrm>
        <a:prstGeom prst="line">
          <a:avLst/>
        </a:prstGeom>
        <a:ln w="12700">
          <a:solidFill>
            <a:schemeClr val="bg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0</xdr:colOff>
      <xdr:row>64</xdr:row>
      <xdr:rowOff>155963</xdr:rowOff>
    </xdr:from>
    <xdr:to>
      <xdr:col>5</xdr:col>
      <xdr:colOff>0</xdr:colOff>
      <xdr:row>64</xdr:row>
      <xdr:rowOff>163262</xdr:rowOff>
    </xdr:to>
    <xdr:cxnSp macro="">
      <xdr:nvCxnSpPr>
        <xdr:cNvPr id="294" name="Straight Connector 293">
          <a:extLst>
            <a:ext uri="{FF2B5EF4-FFF2-40B4-BE49-F238E27FC236}">
              <a16:creationId xmlns:a16="http://schemas.microsoft.com/office/drawing/2014/main" id="{C8212502-4765-46D8-BC3B-8616A9F0556E}"/>
            </a:ext>
          </a:extLst>
        </xdr:cNvPr>
        <xdr:cNvCxnSpPr/>
      </xdr:nvCxnSpPr>
      <xdr:spPr>
        <a:xfrm>
          <a:off x="609600" y="11395463"/>
          <a:ext cx="2647950" cy="7299"/>
        </a:xfrm>
        <a:prstGeom prst="line">
          <a:avLst/>
        </a:prstGeom>
        <a:ln w="12700">
          <a:solidFill>
            <a:schemeClr val="bg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604796</xdr:colOff>
      <xdr:row>68</xdr:row>
      <xdr:rowOff>154145</xdr:rowOff>
    </xdr:from>
    <xdr:to>
      <xdr:col>27</xdr:col>
      <xdr:colOff>0</xdr:colOff>
      <xdr:row>68</xdr:row>
      <xdr:rowOff>157534</xdr:rowOff>
    </xdr:to>
    <xdr:cxnSp macro="">
      <xdr:nvCxnSpPr>
        <xdr:cNvPr id="295" name="Straight Connector 294">
          <a:extLst>
            <a:ext uri="{FF2B5EF4-FFF2-40B4-BE49-F238E27FC236}">
              <a16:creationId xmlns:a16="http://schemas.microsoft.com/office/drawing/2014/main" id="{F4E0F002-9D6B-425A-B9D2-28024F2579D0}"/>
            </a:ext>
          </a:extLst>
        </xdr:cNvPr>
        <xdr:cNvCxnSpPr/>
      </xdr:nvCxnSpPr>
      <xdr:spPr>
        <a:xfrm flipV="1">
          <a:off x="3862346" y="12136595"/>
          <a:ext cx="13454104" cy="3389"/>
        </a:xfrm>
        <a:prstGeom prst="line">
          <a:avLst/>
        </a:prstGeom>
        <a:ln w="12700">
          <a:solidFill>
            <a:schemeClr val="bg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0</xdr:colOff>
      <xdr:row>38</xdr:row>
      <xdr:rowOff>155032</xdr:rowOff>
    </xdr:from>
    <xdr:to>
      <xdr:col>27</xdr:col>
      <xdr:colOff>0</xdr:colOff>
      <xdr:row>38</xdr:row>
      <xdr:rowOff>155124</xdr:rowOff>
    </xdr:to>
    <xdr:cxnSp macro="">
      <xdr:nvCxnSpPr>
        <xdr:cNvPr id="296" name="Straight Connector 295">
          <a:extLst>
            <a:ext uri="{FF2B5EF4-FFF2-40B4-BE49-F238E27FC236}">
              <a16:creationId xmlns:a16="http://schemas.microsoft.com/office/drawing/2014/main" id="{71EA99BC-8280-4C7B-8461-7703AF2DBB3B}"/>
            </a:ext>
          </a:extLst>
        </xdr:cNvPr>
        <xdr:cNvCxnSpPr/>
      </xdr:nvCxnSpPr>
      <xdr:spPr>
        <a:xfrm flipV="1">
          <a:off x="13620750" y="6879682"/>
          <a:ext cx="3695700" cy="92"/>
        </a:xfrm>
        <a:prstGeom prst="line">
          <a:avLst/>
        </a:prstGeom>
        <a:ln w="12700">
          <a:solidFill>
            <a:schemeClr val="bg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62365</xdr:colOff>
      <xdr:row>9</xdr:row>
      <xdr:rowOff>159148</xdr:rowOff>
    </xdr:from>
    <xdr:to>
      <xdr:col>25</xdr:col>
      <xdr:colOff>702445</xdr:colOff>
      <xdr:row>9</xdr:row>
      <xdr:rowOff>159148</xdr:rowOff>
    </xdr:to>
    <xdr:cxnSp macro="">
      <xdr:nvCxnSpPr>
        <xdr:cNvPr id="297" name="Straight Connector 296">
          <a:extLst>
            <a:ext uri="{FF2B5EF4-FFF2-40B4-BE49-F238E27FC236}">
              <a16:creationId xmlns:a16="http://schemas.microsoft.com/office/drawing/2014/main" id="{D08200F0-4AB9-4CAA-8591-A3818B700F15}"/>
            </a:ext>
          </a:extLst>
        </xdr:cNvPr>
        <xdr:cNvCxnSpPr/>
      </xdr:nvCxnSpPr>
      <xdr:spPr>
        <a:xfrm>
          <a:off x="15969115" y="1797448"/>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58251</xdr:colOff>
      <xdr:row>9</xdr:row>
      <xdr:rowOff>159148</xdr:rowOff>
    </xdr:from>
    <xdr:to>
      <xdr:col>26</xdr:col>
      <xdr:colOff>698331</xdr:colOff>
      <xdr:row>9</xdr:row>
      <xdr:rowOff>159148</xdr:rowOff>
    </xdr:to>
    <xdr:cxnSp macro="">
      <xdr:nvCxnSpPr>
        <xdr:cNvPr id="298" name="Straight Connector 297">
          <a:extLst>
            <a:ext uri="{FF2B5EF4-FFF2-40B4-BE49-F238E27FC236}">
              <a16:creationId xmlns:a16="http://schemas.microsoft.com/office/drawing/2014/main" id="{04FEFB9D-872D-42E8-8E6A-A1B7A142C806}"/>
            </a:ext>
          </a:extLst>
        </xdr:cNvPr>
        <xdr:cNvCxnSpPr/>
      </xdr:nvCxnSpPr>
      <xdr:spPr>
        <a:xfrm>
          <a:off x="16727001" y="1797448"/>
          <a:ext cx="5892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67196</xdr:colOff>
      <xdr:row>13</xdr:row>
      <xdr:rowOff>159506</xdr:rowOff>
    </xdr:from>
    <xdr:to>
      <xdr:col>25</xdr:col>
      <xdr:colOff>707276</xdr:colOff>
      <xdr:row>13</xdr:row>
      <xdr:rowOff>159506</xdr:rowOff>
    </xdr:to>
    <xdr:cxnSp macro="">
      <xdr:nvCxnSpPr>
        <xdr:cNvPr id="299" name="Straight Connector 298">
          <a:extLst>
            <a:ext uri="{FF2B5EF4-FFF2-40B4-BE49-F238E27FC236}">
              <a16:creationId xmlns:a16="http://schemas.microsoft.com/office/drawing/2014/main" id="{0B37E41B-4610-425D-B5F6-447C08464381}"/>
            </a:ext>
          </a:extLst>
        </xdr:cNvPr>
        <xdr:cNvCxnSpPr/>
      </xdr:nvCxnSpPr>
      <xdr:spPr>
        <a:xfrm>
          <a:off x="15973946" y="2540756"/>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63082</xdr:colOff>
      <xdr:row>13</xdr:row>
      <xdr:rowOff>159506</xdr:rowOff>
    </xdr:from>
    <xdr:to>
      <xdr:col>26</xdr:col>
      <xdr:colOff>703162</xdr:colOff>
      <xdr:row>13</xdr:row>
      <xdr:rowOff>159506</xdr:rowOff>
    </xdr:to>
    <xdr:cxnSp macro="">
      <xdr:nvCxnSpPr>
        <xdr:cNvPr id="300" name="Straight Connector 299">
          <a:extLst>
            <a:ext uri="{FF2B5EF4-FFF2-40B4-BE49-F238E27FC236}">
              <a16:creationId xmlns:a16="http://schemas.microsoft.com/office/drawing/2014/main" id="{385BC5D0-637C-4B7E-B76B-A1716DCB8D28}"/>
            </a:ext>
          </a:extLst>
        </xdr:cNvPr>
        <xdr:cNvCxnSpPr/>
      </xdr:nvCxnSpPr>
      <xdr:spPr>
        <a:xfrm>
          <a:off x="16731832" y="2540756"/>
          <a:ext cx="58293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68004</xdr:colOff>
      <xdr:row>18</xdr:row>
      <xdr:rowOff>171282</xdr:rowOff>
    </xdr:from>
    <xdr:to>
      <xdr:col>25</xdr:col>
      <xdr:colOff>708084</xdr:colOff>
      <xdr:row>18</xdr:row>
      <xdr:rowOff>171282</xdr:rowOff>
    </xdr:to>
    <xdr:cxnSp macro="">
      <xdr:nvCxnSpPr>
        <xdr:cNvPr id="301" name="Straight Connector 300">
          <a:extLst>
            <a:ext uri="{FF2B5EF4-FFF2-40B4-BE49-F238E27FC236}">
              <a16:creationId xmlns:a16="http://schemas.microsoft.com/office/drawing/2014/main" id="{BD1299DD-79BF-4E82-8D8C-C93518EE4FB0}"/>
            </a:ext>
          </a:extLst>
        </xdr:cNvPr>
        <xdr:cNvCxnSpPr/>
      </xdr:nvCxnSpPr>
      <xdr:spPr>
        <a:xfrm>
          <a:off x="15974754" y="3473282"/>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63890</xdr:colOff>
      <xdr:row>18</xdr:row>
      <xdr:rowOff>171282</xdr:rowOff>
    </xdr:from>
    <xdr:to>
      <xdr:col>26</xdr:col>
      <xdr:colOff>703970</xdr:colOff>
      <xdr:row>18</xdr:row>
      <xdr:rowOff>171282</xdr:rowOff>
    </xdr:to>
    <xdr:cxnSp macro="">
      <xdr:nvCxnSpPr>
        <xdr:cNvPr id="302" name="Straight Connector 301">
          <a:extLst>
            <a:ext uri="{FF2B5EF4-FFF2-40B4-BE49-F238E27FC236}">
              <a16:creationId xmlns:a16="http://schemas.microsoft.com/office/drawing/2014/main" id="{A0C168EA-8427-4B4A-95B8-EB7295F2BDDA}"/>
            </a:ext>
          </a:extLst>
        </xdr:cNvPr>
        <xdr:cNvCxnSpPr/>
      </xdr:nvCxnSpPr>
      <xdr:spPr>
        <a:xfrm>
          <a:off x="16732640" y="3473282"/>
          <a:ext cx="58293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69448</xdr:colOff>
      <xdr:row>20</xdr:row>
      <xdr:rowOff>166161</xdr:rowOff>
    </xdr:from>
    <xdr:to>
      <xdr:col>25</xdr:col>
      <xdr:colOff>709528</xdr:colOff>
      <xdr:row>20</xdr:row>
      <xdr:rowOff>166161</xdr:rowOff>
    </xdr:to>
    <xdr:cxnSp macro="">
      <xdr:nvCxnSpPr>
        <xdr:cNvPr id="303" name="Straight Connector 302">
          <a:extLst>
            <a:ext uri="{FF2B5EF4-FFF2-40B4-BE49-F238E27FC236}">
              <a16:creationId xmlns:a16="http://schemas.microsoft.com/office/drawing/2014/main" id="{97E16FDD-A87D-459D-AD68-C36DEF7A66F7}"/>
            </a:ext>
          </a:extLst>
        </xdr:cNvPr>
        <xdr:cNvCxnSpPr/>
      </xdr:nvCxnSpPr>
      <xdr:spPr>
        <a:xfrm>
          <a:off x="15976198" y="3703111"/>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65334</xdr:colOff>
      <xdr:row>20</xdr:row>
      <xdr:rowOff>166161</xdr:rowOff>
    </xdr:from>
    <xdr:to>
      <xdr:col>26</xdr:col>
      <xdr:colOff>705414</xdr:colOff>
      <xdr:row>20</xdr:row>
      <xdr:rowOff>166161</xdr:rowOff>
    </xdr:to>
    <xdr:cxnSp macro="">
      <xdr:nvCxnSpPr>
        <xdr:cNvPr id="304" name="Straight Connector 303">
          <a:extLst>
            <a:ext uri="{FF2B5EF4-FFF2-40B4-BE49-F238E27FC236}">
              <a16:creationId xmlns:a16="http://schemas.microsoft.com/office/drawing/2014/main" id="{AD14B976-E401-4941-BC27-0BE770435287}"/>
            </a:ext>
          </a:extLst>
        </xdr:cNvPr>
        <xdr:cNvCxnSpPr/>
      </xdr:nvCxnSpPr>
      <xdr:spPr>
        <a:xfrm>
          <a:off x="16734084" y="3703111"/>
          <a:ext cx="58293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74167</xdr:colOff>
      <xdr:row>24</xdr:row>
      <xdr:rowOff>159033</xdr:rowOff>
    </xdr:from>
    <xdr:to>
      <xdr:col>25</xdr:col>
      <xdr:colOff>714247</xdr:colOff>
      <xdr:row>24</xdr:row>
      <xdr:rowOff>159033</xdr:rowOff>
    </xdr:to>
    <xdr:cxnSp macro="">
      <xdr:nvCxnSpPr>
        <xdr:cNvPr id="305" name="Straight Connector 304">
          <a:extLst>
            <a:ext uri="{FF2B5EF4-FFF2-40B4-BE49-F238E27FC236}">
              <a16:creationId xmlns:a16="http://schemas.microsoft.com/office/drawing/2014/main" id="{E86D920C-312B-4BC9-B9A0-36589BFDE549}"/>
            </a:ext>
          </a:extLst>
        </xdr:cNvPr>
        <xdr:cNvCxnSpPr/>
      </xdr:nvCxnSpPr>
      <xdr:spPr>
        <a:xfrm>
          <a:off x="15980917" y="4432583"/>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70053</xdr:colOff>
      <xdr:row>24</xdr:row>
      <xdr:rowOff>159033</xdr:rowOff>
    </xdr:from>
    <xdr:to>
      <xdr:col>26</xdr:col>
      <xdr:colOff>710133</xdr:colOff>
      <xdr:row>24</xdr:row>
      <xdr:rowOff>159033</xdr:rowOff>
    </xdr:to>
    <xdr:cxnSp macro="">
      <xdr:nvCxnSpPr>
        <xdr:cNvPr id="306" name="Straight Connector 305">
          <a:extLst>
            <a:ext uri="{FF2B5EF4-FFF2-40B4-BE49-F238E27FC236}">
              <a16:creationId xmlns:a16="http://schemas.microsoft.com/office/drawing/2014/main" id="{841C2A63-23AA-4BAB-896E-742A04AFCD2A}"/>
            </a:ext>
          </a:extLst>
        </xdr:cNvPr>
        <xdr:cNvCxnSpPr/>
      </xdr:nvCxnSpPr>
      <xdr:spPr>
        <a:xfrm>
          <a:off x="16738803" y="4432583"/>
          <a:ext cx="5765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74167</xdr:colOff>
      <xdr:row>28</xdr:row>
      <xdr:rowOff>166653</xdr:rowOff>
    </xdr:from>
    <xdr:to>
      <xdr:col>25</xdr:col>
      <xdr:colOff>714247</xdr:colOff>
      <xdr:row>28</xdr:row>
      <xdr:rowOff>166653</xdr:rowOff>
    </xdr:to>
    <xdr:cxnSp macro="">
      <xdr:nvCxnSpPr>
        <xdr:cNvPr id="307" name="Straight Connector 306">
          <a:extLst>
            <a:ext uri="{FF2B5EF4-FFF2-40B4-BE49-F238E27FC236}">
              <a16:creationId xmlns:a16="http://schemas.microsoft.com/office/drawing/2014/main" id="{289FDDF5-9F66-435E-AE80-28F79074348B}"/>
            </a:ext>
          </a:extLst>
        </xdr:cNvPr>
        <xdr:cNvCxnSpPr/>
      </xdr:nvCxnSpPr>
      <xdr:spPr>
        <a:xfrm>
          <a:off x="15980917" y="5176803"/>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70053</xdr:colOff>
      <xdr:row>28</xdr:row>
      <xdr:rowOff>166653</xdr:rowOff>
    </xdr:from>
    <xdr:to>
      <xdr:col>26</xdr:col>
      <xdr:colOff>710133</xdr:colOff>
      <xdr:row>28</xdr:row>
      <xdr:rowOff>166653</xdr:rowOff>
    </xdr:to>
    <xdr:cxnSp macro="">
      <xdr:nvCxnSpPr>
        <xdr:cNvPr id="308" name="Straight Connector 307">
          <a:extLst>
            <a:ext uri="{FF2B5EF4-FFF2-40B4-BE49-F238E27FC236}">
              <a16:creationId xmlns:a16="http://schemas.microsoft.com/office/drawing/2014/main" id="{B8900C0C-17E6-4A56-9823-9CBA34751AE8}"/>
            </a:ext>
          </a:extLst>
        </xdr:cNvPr>
        <xdr:cNvCxnSpPr/>
      </xdr:nvCxnSpPr>
      <xdr:spPr>
        <a:xfrm>
          <a:off x="16738803" y="5176803"/>
          <a:ext cx="5765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74167</xdr:colOff>
      <xdr:row>33</xdr:row>
      <xdr:rowOff>161573</xdr:rowOff>
    </xdr:from>
    <xdr:to>
      <xdr:col>25</xdr:col>
      <xdr:colOff>714247</xdr:colOff>
      <xdr:row>33</xdr:row>
      <xdr:rowOff>161573</xdr:rowOff>
    </xdr:to>
    <xdr:cxnSp macro="">
      <xdr:nvCxnSpPr>
        <xdr:cNvPr id="309" name="Straight Connector 308">
          <a:extLst>
            <a:ext uri="{FF2B5EF4-FFF2-40B4-BE49-F238E27FC236}">
              <a16:creationId xmlns:a16="http://schemas.microsoft.com/office/drawing/2014/main" id="{C20DE534-3C37-4A42-8786-B7B694A58329}"/>
            </a:ext>
          </a:extLst>
        </xdr:cNvPr>
        <xdr:cNvCxnSpPr/>
      </xdr:nvCxnSpPr>
      <xdr:spPr>
        <a:xfrm>
          <a:off x="15980917" y="6105173"/>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70053</xdr:colOff>
      <xdr:row>33</xdr:row>
      <xdr:rowOff>161573</xdr:rowOff>
    </xdr:from>
    <xdr:to>
      <xdr:col>26</xdr:col>
      <xdr:colOff>710133</xdr:colOff>
      <xdr:row>33</xdr:row>
      <xdr:rowOff>161573</xdr:rowOff>
    </xdr:to>
    <xdr:cxnSp macro="">
      <xdr:nvCxnSpPr>
        <xdr:cNvPr id="310" name="Straight Connector 309">
          <a:extLst>
            <a:ext uri="{FF2B5EF4-FFF2-40B4-BE49-F238E27FC236}">
              <a16:creationId xmlns:a16="http://schemas.microsoft.com/office/drawing/2014/main" id="{B9FF1FA1-F506-402E-B0E8-4A5BFA0101AA}"/>
            </a:ext>
          </a:extLst>
        </xdr:cNvPr>
        <xdr:cNvCxnSpPr/>
      </xdr:nvCxnSpPr>
      <xdr:spPr>
        <a:xfrm>
          <a:off x="16738803" y="6105173"/>
          <a:ext cx="5765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71627</xdr:colOff>
      <xdr:row>34</xdr:row>
      <xdr:rowOff>164113</xdr:rowOff>
    </xdr:from>
    <xdr:to>
      <xdr:col>25</xdr:col>
      <xdr:colOff>711707</xdr:colOff>
      <xdr:row>34</xdr:row>
      <xdr:rowOff>164113</xdr:rowOff>
    </xdr:to>
    <xdr:cxnSp macro="">
      <xdr:nvCxnSpPr>
        <xdr:cNvPr id="311" name="Straight Connector 310">
          <a:extLst>
            <a:ext uri="{FF2B5EF4-FFF2-40B4-BE49-F238E27FC236}">
              <a16:creationId xmlns:a16="http://schemas.microsoft.com/office/drawing/2014/main" id="{674EC358-A3ED-4EBF-BE49-E5112FB16459}"/>
            </a:ext>
          </a:extLst>
        </xdr:cNvPr>
        <xdr:cNvCxnSpPr/>
      </xdr:nvCxnSpPr>
      <xdr:spPr>
        <a:xfrm>
          <a:off x="15978377" y="6291863"/>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67513</xdr:colOff>
      <xdr:row>34</xdr:row>
      <xdr:rowOff>164113</xdr:rowOff>
    </xdr:from>
    <xdr:to>
      <xdr:col>26</xdr:col>
      <xdr:colOff>707593</xdr:colOff>
      <xdr:row>34</xdr:row>
      <xdr:rowOff>164113</xdr:rowOff>
    </xdr:to>
    <xdr:cxnSp macro="">
      <xdr:nvCxnSpPr>
        <xdr:cNvPr id="312" name="Straight Connector 311">
          <a:extLst>
            <a:ext uri="{FF2B5EF4-FFF2-40B4-BE49-F238E27FC236}">
              <a16:creationId xmlns:a16="http://schemas.microsoft.com/office/drawing/2014/main" id="{FACF481D-CD50-4792-8B9A-5022E930D375}"/>
            </a:ext>
          </a:extLst>
        </xdr:cNvPr>
        <xdr:cNvCxnSpPr/>
      </xdr:nvCxnSpPr>
      <xdr:spPr>
        <a:xfrm>
          <a:off x="16736263" y="6291863"/>
          <a:ext cx="58293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67221</xdr:colOff>
      <xdr:row>41</xdr:row>
      <xdr:rowOff>164521</xdr:rowOff>
    </xdr:from>
    <xdr:to>
      <xdr:col>26</xdr:col>
      <xdr:colOff>707301</xdr:colOff>
      <xdr:row>41</xdr:row>
      <xdr:rowOff>164521</xdr:rowOff>
    </xdr:to>
    <xdr:cxnSp macro="">
      <xdr:nvCxnSpPr>
        <xdr:cNvPr id="313" name="Straight Connector 312">
          <a:extLst>
            <a:ext uri="{FF2B5EF4-FFF2-40B4-BE49-F238E27FC236}">
              <a16:creationId xmlns:a16="http://schemas.microsoft.com/office/drawing/2014/main" id="{7D7CE05D-6E33-4D59-8DFD-4100077893FA}"/>
            </a:ext>
          </a:extLst>
        </xdr:cNvPr>
        <xdr:cNvCxnSpPr/>
      </xdr:nvCxnSpPr>
      <xdr:spPr>
        <a:xfrm>
          <a:off x="16735971" y="7441621"/>
          <a:ext cx="58293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67221</xdr:colOff>
      <xdr:row>43</xdr:row>
      <xdr:rowOff>165008</xdr:rowOff>
    </xdr:from>
    <xdr:to>
      <xdr:col>26</xdr:col>
      <xdr:colOff>707301</xdr:colOff>
      <xdr:row>43</xdr:row>
      <xdr:rowOff>165008</xdr:rowOff>
    </xdr:to>
    <xdr:cxnSp macro="">
      <xdr:nvCxnSpPr>
        <xdr:cNvPr id="314" name="Straight Connector 313">
          <a:extLst>
            <a:ext uri="{FF2B5EF4-FFF2-40B4-BE49-F238E27FC236}">
              <a16:creationId xmlns:a16="http://schemas.microsoft.com/office/drawing/2014/main" id="{E8CEE71E-A747-4678-8DF2-F333F9C33E7C}"/>
            </a:ext>
          </a:extLst>
        </xdr:cNvPr>
        <xdr:cNvCxnSpPr/>
      </xdr:nvCxnSpPr>
      <xdr:spPr>
        <a:xfrm>
          <a:off x="16735971" y="7810408"/>
          <a:ext cx="58293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64183</xdr:colOff>
      <xdr:row>48</xdr:row>
      <xdr:rowOff>167497</xdr:rowOff>
    </xdr:from>
    <xdr:to>
      <xdr:col>22</xdr:col>
      <xdr:colOff>704263</xdr:colOff>
      <xdr:row>48</xdr:row>
      <xdr:rowOff>167497</xdr:rowOff>
    </xdr:to>
    <xdr:cxnSp macro="">
      <xdr:nvCxnSpPr>
        <xdr:cNvPr id="315" name="Straight Connector 314">
          <a:extLst>
            <a:ext uri="{FF2B5EF4-FFF2-40B4-BE49-F238E27FC236}">
              <a16:creationId xmlns:a16="http://schemas.microsoft.com/office/drawing/2014/main" id="{56A414B8-B89D-428F-8C56-89A72690F90B}"/>
            </a:ext>
          </a:extLst>
        </xdr:cNvPr>
        <xdr:cNvCxnSpPr/>
      </xdr:nvCxnSpPr>
      <xdr:spPr>
        <a:xfrm>
          <a:off x="13684933" y="8733647"/>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606525</xdr:colOff>
      <xdr:row>46</xdr:row>
      <xdr:rowOff>139367</xdr:rowOff>
    </xdr:from>
    <xdr:to>
      <xdr:col>27</xdr:col>
      <xdr:colOff>0</xdr:colOff>
      <xdr:row>46</xdr:row>
      <xdr:rowOff>139367</xdr:rowOff>
    </xdr:to>
    <xdr:cxnSp macro="">
      <xdr:nvCxnSpPr>
        <xdr:cNvPr id="316" name="Straight Connector 315">
          <a:extLst>
            <a:ext uri="{FF2B5EF4-FFF2-40B4-BE49-F238E27FC236}">
              <a16:creationId xmlns:a16="http://schemas.microsoft.com/office/drawing/2014/main" id="{DE17FBCF-9CCE-4633-81EB-6B0DC6E1B567}"/>
            </a:ext>
          </a:extLst>
        </xdr:cNvPr>
        <xdr:cNvCxnSpPr/>
      </xdr:nvCxnSpPr>
      <xdr:spPr>
        <a:xfrm>
          <a:off x="13617675" y="8337217"/>
          <a:ext cx="3698775"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61632</xdr:colOff>
      <xdr:row>48</xdr:row>
      <xdr:rowOff>167497</xdr:rowOff>
    </xdr:from>
    <xdr:to>
      <xdr:col>23</xdr:col>
      <xdr:colOff>701712</xdr:colOff>
      <xdr:row>48</xdr:row>
      <xdr:rowOff>167497</xdr:rowOff>
    </xdr:to>
    <xdr:cxnSp macro="">
      <xdr:nvCxnSpPr>
        <xdr:cNvPr id="317" name="Straight Connector 316">
          <a:extLst>
            <a:ext uri="{FF2B5EF4-FFF2-40B4-BE49-F238E27FC236}">
              <a16:creationId xmlns:a16="http://schemas.microsoft.com/office/drawing/2014/main" id="{CD9632D1-8B70-4A6C-B366-609094DF5E04}"/>
            </a:ext>
          </a:extLst>
        </xdr:cNvPr>
        <xdr:cNvCxnSpPr/>
      </xdr:nvCxnSpPr>
      <xdr:spPr>
        <a:xfrm>
          <a:off x="14444382" y="8733647"/>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24</xdr:col>
      <xdr:colOff>59079</xdr:colOff>
      <xdr:row>48</xdr:row>
      <xdr:rowOff>167497</xdr:rowOff>
    </xdr:from>
    <xdr:to>
      <xdr:col>24</xdr:col>
      <xdr:colOff>699159</xdr:colOff>
      <xdr:row>48</xdr:row>
      <xdr:rowOff>167497</xdr:rowOff>
    </xdr:to>
    <xdr:cxnSp macro="">
      <xdr:nvCxnSpPr>
        <xdr:cNvPr id="318" name="Straight Connector 317">
          <a:extLst>
            <a:ext uri="{FF2B5EF4-FFF2-40B4-BE49-F238E27FC236}">
              <a16:creationId xmlns:a16="http://schemas.microsoft.com/office/drawing/2014/main" id="{3E539E3B-BBAD-4F33-9E24-078EA4DB6C15}"/>
            </a:ext>
          </a:extLst>
        </xdr:cNvPr>
        <xdr:cNvCxnSpPr/>
      </xdr:nvCxnSpPr>
      <xdr:spPr>
        <a:xfrm>
          <a:off x="15203829" y="8733647"/>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68679</xdr:colOff>
      <xdr:row>48</xdr:row>
      <xdr:rowOff>167497</xdr:rowOff>
    </xdr:from>
    <xdr:to>
      <xdr:col>25</xdr:col>
      <xdr:colOff>708759</xdr:colOff>
      <xdr:row>48</xdr:row>
      <xdr:rowOff>167497</xdr:rowOff>
    </xdr:to>
    <xdr:cxnSp macro="">
      <xdr:nvCxnSpPr>
        <xdr:cNvPr id="319" name="Straight Connector 318">
          <a:extLst>
            <a:ext uri="{FF2B5EF4-FFF2-40B4-BE49-F238E27FC236}">
              <a16:creationId xmlns:a16="http://schemas.microsoft.com/office/drawing/2014/main" id="{4125B0EB-821B-48AC-A46D-5CA28A574082}"/>
            </a:ext>
          </a:extLst>
        </xdr:cNvPr>
        <xdr:cNvCxnSpPr/>
      </xdr:nvCxnSpPr>
      <xdr:spPr>
        <a:xfrm>
          <a:off x="15975429" y="8733647"/>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63090</xdr:colOff>
      <xdr:row>48</xdr:row>
      <xdr:rowOff>167497</xdr:rowOff>
    </xdr:from>
    <xdr:to>
      <xdr:col>26</xdr:col>
      <xdr:colOff>703170</xdr:colOff>
      <xdr:row>48</xdr:row>
      <xdr:rowOff>167497</xdr:rowOff>
    </xdr:to>
    <xdr:cxnSp macro="">
      <xdr:nvCxnSpPr>
        <xdr:cNvPr id="320" name="Straight Connector 319">
          <a:extLst>
            <a:ext uri="{FF2B5EF4-FFF2-40B4-BE49-F238E27FC236}">
              <a16:creationId xmlns:a16="http://schemas.microsoft.com/office/drawing/2014/main" id="{5F65666F-DBF5-4B7F-B8E5-85A8E3AC67A4}"/>
            </a:ext>
          </a:extLst>
        </xdr:cNvPr>
        <xdr:cNvCxnSpPr/>
      </xdr:nvCxnSpPr>
      <xdr:spPr>
        <a:xfrm>
          <a:off x="16731840" y="8733647"/>
          <a:ext cx="58293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61274</xdr:colOff>
      <xdr:row>54</xdr:row>
      <xdr:rowOff>154333</xdr:rowOff>
    </xdr:from>
    <xdr:to>
      <xdr:col>23</xdr:col>
      <xdr:colOff>701354</xdr:colOff>
      <xdr:row>54</xdr:row>
      <xdr:rowOff>154333</xdr:rowOff>
    </xdr:to>
    <xdr:cxnSp macro="">
      <xdr:nvCxnSpPr>
        <xdr:cNvPr id="321" name="Straight Connector 320">
          <a:extLst>
            <a:ext uri="{FF2B5EF4-FFF2-40B4-BE49-F238E27FC236}">
              <a16:creationId xmlns:a16="http://schemas.microsoft.com/office/drawing/2014/main" id="{748C3699-28D7-46D3-8E3E-0ECFD3012C96}"/>
            </a:ext>
          </a:extLst>
        </xdr:cNvPr>
        <xdr:cNvCxnSpPr/>
      </xdr:nvCxnSpPr>
      <xdr:spPr>
        <a:xfrm>
          <a:off x="14444024" y="9672983"/>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24</xdr:col>
      <xdr:colOff>58721</xdr:colOff>
      <xdr:row>54</xdr:row>
      <xdr:rowOff>154333</xdr:rowOff>
    </xdr:from>
    <xdr:to>
      <xdr:col>24</xdr:col>
      <xdr:colOff>698801</xdr:colOff>
      <xdr:row>54</xdr:row>
      <xdr:rowOff>154333</xdr:rowOff>
    </xdr:to>
    <xdr:cxnSp macro="">
      <xdr:nvCxnSpPr>
        <xdr:cNvPr id="322" name="Straight Connector 321">
          <a:extLst>
            <a:ext uri="{FF2B5EF4-FFF2-40B4-BE49-F238E27FC236}">
              <a16:creationId xmlns:a16="http://schemas.microsoft.com/office/drawing/2014/main" id="{6957D2BC-B020-4C0C-B448-E01DC0E8E84A}"/>
            </a:ext>
          </a:extLst>
        </xdr:cNvPr>
        <xdr:cNvCxnSpPr/>
      </xdr:nvCxnSpPr>
      <xdr:spPr>
        <a:xfrm>
          <a:off x="15203471" y="9672983"/>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14238</xdr:colOff>
      <xdr:row>57</xdr:row>
      <xdr:rowOff>155953</xdr:rowOff>
    </xdr:from>
    <xdr:to>
      <xdr:col>27</xdr:col>
      <xdr:colOff>0</xdr:colOff>
      <xdr:row>57</xdr:row>
      <xdr:rowOff>156614</xdr:rowOff>
    </xdr:to>
    <xdr:cxnSp macro="">
      <xdr:nvCxnSpPr>
        <xdr:cNvPr id="323" name="Straight Connector 322">
          <a:extLst>
            <a:ext uri="{FF2B5EF4-FFF2-40B4-BE49-F238E27FC236}">
              <a16:creationId xmlns:a16="http://schemas.microsoft.com/office/drawing/2014/main" id="{D62EE609-E463-4E85-BF61-443F22774935}"/>
            </a:ext>
          </a:extLst>
        </xdr:cNvPr>
        <xdr:cNvCxnSpPr/>
      </xdr:nvCxnSpPr>
      <xdr:spPr>
        <a:xfrm flipV="1">
          <a:off x="13634988" y="10093703"/>
          <a:ext cx="3681462" cy="661"/>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73838</xdr:colOff>
      <xdr:row>59</xdr:row>
      <xdr:rowOff>155229</xdr:rowOff>
    </xdr:from>
    <xdr:to>
      <xdr:col>23</xdr:col>
      <xdr:colOff>713918</xdr:colOff>
      <xdr:row>59</xdr:row>
      <xdr:rowOff>155229</xdr:rowOff>
    </xdr:to>
    <xdr:cxnSp macro="">
      <xdr:nvCxnSpPr>
        <xdr:cNvPr id="324" name="Straight Connector 323">
          <a:extLst>
            <a:ext uri="{FF2B5EF4-FFF2-40B4-BE49-F238E27FC236}">
              <a16:creationId xmlns:a16="http://schemas.microsoft.com/office/drawing/2014/main" id="{D0174C98-D752-4041-A4DA-24BAD836A48B}"/>
            </a:ext>
          </a:extLst>
        </xdr:cNvPr>
        <xdr:cNvCxnSpPr/>
      </xdr:nvCxnSpPr>
      <xdr:spPr>
        <a:xfrm>
          <a:off x="14456588" y="10467629"/>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24</xdr:col>
      <xdr:colOff>71285</xdr:colOff>
      <xdr:row>59</xdr:row>
      <xdr:rowOff>155229</xdr:rowOff>
    </xdr:from>
    <xdr:to>
      <xdr:col>24</xdr:col>
      <xdr:colOff>711365</xdr:colOff>
      <xdr:row>59</xdr:row>
      <xdr:rowOff>155229</xdr:rowOff>
    </xdr:to>
    <xdr:cxnSp macro="">
      <xdr:nvCxnSpPr>
        <xdr:cNvPr id="325" name="Straight Connector 324">
          <a:extLst>
            <a:ext uri="{FF2B5EF4-FFF2-40B4-BE49-F238E27FC236}">
              <a16:creationId xmlns:a16="http://schemas.microsoft.com/office/drawing/2014/main" id="{EFC8ACE6-A5B9-43AA-9D66-2196D9103A38}"/>
            </a:ext>
          </a:extLst>
        </xdr:cNvPr>
        <xdr:cNvCxnSpPr/>
      </xdr:nvCxnSpPr>
      <xdr:spPr>
        <a:xfrm>
          <a:off x="15216035" y="10467629"/>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80885</xdr:colOff>
      <xdr:row>59</xdr:row>
      <xdr:rowOff>155229</xdr:rowOff>
    </xdr:from>
    <xdr:to>
      <xdr:col>25</xdr:col>
      <xdr:colOff>720965</xdr:colOff>
      <xdr:row>59</xdr:row>
      <xdr:rowOff>155229</xdr:rowOff>
    </xdr:to>
    <xdr:cxnSp macro="">
      <xdr:nvCxnSpPr>
        <xdr:cNvPr id="326" name="Straight Connector 325">
          <a:extLst>
            <a:ext uri="{FF2B5EF4-FFF2-40B4-BE49-F238E27FC236}">
              <a16:creationId xmlns:a16="http://schemas.microsoft.com/office/drawing/2014/main" id="{75496893-615F-4D6E-9D82-FD43C691E44E}"/>
            </a:ext>
          </a:extLst>
        </xdr:cNvPr>
        <xdr:cNvCxnSpPr/>
      </xdr:nvCxnSpPr>
      <xdr:spPr>
        <a:xfrm>
          <a:off x="15987635" y="10467629"/>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75296</xdr:colOff>
      <xdr:row>59</xdr:row>
      <xdr:rowOff>155229</xdr:rowOff>
    </xdr:from>
    <xdr:to>
      <xdr:col>26</xdr:col>
      <xdr:colOff>715376</xdr:colOff>
      <xdr:row>59</xdr:row>
      <xdr:rowOff>155229</xdr:rowOff>
    </xdr:to>
    <xdr:cxnSp macro="">
      <xdr:nvCxnSpPr>
        <xdr:cNvPr id="327" name="Straight Connector 326">
          <a:extLst>
            <a:ext uri="{FF2B5EF4-FFF2-40B4-BE49-F238E27FC236}">
              <a16:creationId xmlns:a16="http://schemas.microsoft.com/office/drawing/2014/main" id="{F12ACCA4-900D-4F30-AB19-C1312D539320}"/>
            </a:ext>
          </a:extLst>
        </xdr:cNvPr>
        <xdr:cNvCxnSpPr/>
      </xdr:nvCxnSpPr>
      <xdr:spPr>
        <a:xfrm>
          <a:off x="16744046" y="10467629"/>
          <a:ext cx="57023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76885</xdr:colOff>
      <xdr:row>64</xdr:row>
      <xdr:rowOff>159393</xdr:rowOff>
    </xdr:from>
    <xdr:to>
      <xdr:col>23</xdr:col>
      <xdr:colOff>716965</xdr:colOff>
      <xdr:row>64</xdr:row>
      <xdr:rowOff>159393</xdr:rowOff>
    </xdr:to>
    <xdr:cxnSp macro="">
      <xdr:nvCxnSpPr>
        <xdr:cNvPr id="328" name="Straight Connector 327">
          <a:extLst>
            <a:ext uri="{FF2B5EF4-FFF2-40B4-BE49-F238E27FC236}">
              <a16:creationId xmlns:a16="http://schemas.microsoft.com/office/drawing/2014/main" id="{6850F7BA-DE60-4056-9353-3BBA54A530F2}"/>
            </a:ext>
          </a:extLst>
        </xdr:cNvPr>
        <xdr:cNvCxnSpPr/>
      </xdr:nvCxnSpPr>
      <xdr:spPr>
        <a:xfrm>
          <a:off x="14459635" y="11398893"/>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24</xdr:col>
      <xdr:colOff>74332</xdr:colOff>
      <xdr:row>64</xdr:row>
      <xdr:rowOff>159393</xdr:rowOff>
    </xdr:from>
    <xdr:to>
      <xdr:col>24</xdr:col>
      <xdr:colOff>714412</xdr:colOff>
      <xdr:row>64</xdr:row>
      <xdr:rowOff>159393</xdr:rowOff>
    </xdr:to>
    <xdr:cxnSp macro="">
      <xdr:nvCxnSpPr>
        <xdr:cNvPr id="329" name="Straight Connector 328">
          <a:extLst>
            <a:ext uri="{FF2B5EF4-FFF2-40B4-BE49-F238E27FC236}">
              <a16:creationId xmlns:a16="http://schemas.microsoft.com/office/drawing/2014/main" id="{A1551EA8-1DD6-45FF-B697-480793AE560C}"/>
            </a:ext>
          </a:extLst>
        </xdr:cNvPr>
        <xdr:cNvCxnSpPr/>
      </xdr:nvCxnSpPr>
      <xdr:spPr>
        <a:xfrm>
          <a:off x="15219082" y="11398893"/>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83932</xdr:colOff>
      <xdr:row>64</xdr:row>
      <xdr:rowOff>159393</xdr:rowOff>
    </xdr:from>
    <xdr:to>
      <xdr:col>25</xdr:col>
      <xdr:colOff>724012</xdr:colOff>
      <xdr:row>64</xdr:row>
      <xdr:rowOff>159393</xdr:rowOff>
    </xdr:to>
    <xdr:cxnSp macro="">
      <xdr:nvCxnSpPr>
        <xdr:cNvPr id="330" name="Straight Connector 329">
          <a:extLst>
            <a:ext uri="{FF2B5EF4-FFF2-40B4-BE49-F238E27FC236}">
              <a16:creationId xmlns:a16="http://schemas.microsoft.com/office/drawing/2014/main" id="{841A8647-AB66-45D0-A442-1A111AE3BA77}"/>
            </a:ext>
          </a:extLst>
        </xdr:cNvPr>
        <xdr:cNvCxnSpPr/>
      </xdr:nvCxnSpPr>
      <xdr:spPr>
        <a:xfrm>
          <a:off x="15990682" y="11398893"/>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78343</xdr:colOff>
      <xdr:row>64</xdr:row>
      <xdr:rowOff>159393</xdr:rowOff>
    </xdr:from>
    <xdr:to>
      <xdr:col>26</xdr:col>
      <xdr:colOff>718423</xdr:colOff>
      <xdr:row>64</xdr:row>
      <xdr:rowOff>159393</xdr:rowOff>
    </xdr:to>
    <xdr:cxnSp macro="">
      <xdr:nvCxnSpPr>
        <xdr:cNvPr id="331" name="Straight Connector 330">
          <a:extLst>
            <a:ext uri="{FF2B5EF4-FFF2-40B4-BE49-F238E27FC236}">
              <a16:creationId xmlns:a16="http://schemas.microsoft.com/office/drawing/2014/main" id="{7F1A632D-5B05-40CD-A45B-AE613F8CCDAB}"/>
            </a:ext>
          </a:extLst>
        </xdr:cNvPr>
        <xdr:cNvCxnSpPr/>
      </xdr:nvCxnSpPr>
      <xdr:spPr>
        <a:xfrm>
          <a:off x="16747093" y="11398893"/>
          <a:ext cx="57023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81638</xdr:colOff>
      <xdr:row>11</xdr:row>
      <xdr:rowOff>169534</xdr:rowOff>
    </xdr:from>
    <xdr:to>
      <xdr:col>20</xdr:col>
      <xdr:colOff>585586</xdr:colOff>
      <xdr:row>11</xdr:row>
      <xdr:rowOff>170691</xdr:rowOff>
    </xdr:to>
    <xdr:cxnSp macro="">
      <xdr:nvCxnSpPr>
        <xdr:cNvPr id="332" name="Straight Connector 331">
          <a:extLst>
            <a:ext uri="{FF2B5EF4-FFF2-40B4-BE49-F238E27FC236}">
              <a16:creationId xmlns:a16="http://schemas.microsoft.com/office/drawing/2014/main" id="{85C2737E-ED7F-4E20-A2A0-983B33494FD4}"/>
            </a:ext>
          </a:extLst>
        </xdr:cNvPr>
        <xdr:cNvCxnSpPr/>
      </xdr:nvCxnSpPr>
      <xdr:spPr>
        <a:xfrm flipV="1">
          <a:off x="11873588" y="217613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81981</xdr:colOff>
      <xdr:row>16</xdr:row>
      <xdr:rowOff>154837</xdr:rowOff>
    </xdr:from>
    <xdr:to>
      <xdr:col>10</xdr:col>
      <xdr:colOff>585928</xdr:colOff>
      <xdr:row>16</xdr:row>
      <xdr:rowOff>155994</xdr:rowOff>
    </xdr:to>
    <xdr:cxnSp macro="">
      <xdr:nvCxnSpPr>
        <xdr:cNvPr id="333" name="Straight Connector 332">
          <a:extLst>
            <a:ext uri="{FF2B5EF4-FFF2-40B4-BE49-F238E27FC236}">
              <a16:creationId xmlns:a16="http://schemas.microsoft.com/office/drawing/2014/main" id="{D92DCDE5-1919-4455-9E68-9D27368CA60F}"/>
            </a:ext>
          </a:extLst>
        </xdr:cNvPr>
        <xdr:cNvCxnSpPr/>
      </xdr:nvCxnSpPr>
      <xdr:spPr>
        <a:xfrm flipV="1">
          <a:off x="5777931" y="308853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84473</xdr:colOff>
      <xdr:row>16</xdr:row>
      <xdr:rowOff>154837</xdr:rowOff>
    </xdr:from>
    <xdr:to>
      <xdr:col>12</xdr:col>
      <xdr:colOff>588420</xdr:colOff>
      <xdr:row>16</xdr:row>
      <xdr:rowOff>155994</xdr:rowOff>
    </xdr:to>
    <xdr:cxnSp macro="">
      <xdr:nvCxnSpPr>
        <xdr:cNvPr id="334" name="Straight Connector 333">
          <a:extLst>
            <a:ext uri="{FF2B5EF4-FFF2-40B4-BE49-F238E27FC236}">
              <a16:creationId xmlns:a16="http://schemas.microsoft.com/office/drawing/2014/main" id="{7615BE8B-F5EF-4BF5-ACF1-582CFF86B5FD}"/>
            </a:ext>
          </a:extLst>
        </xdr:cNvPr>
        <xdr:cNvCxnSpPr/>
      </xdr:nvCxnSpPr>
      <xdr:spPr>
        <a:xfrm flipV="1">
          <a:off x="6999623" y="308853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82797</xdr:colOff>
      <xdr:row>16</xdr:row>
      <xdr:rowOff>154837</xdr:rowOff>
    </xdr:from>
    <xdr:to>
      <xdr:col>14</xdr:col>
      <xdr:colOff>586744</xdr:colOff>
      <xdr:row>16</xdr:row>
      <xdr:rowOff>155994</xdr:rowOff>
    </xdr:to>
    <xdr:cxnSp macro="">
      <xdr:nvCxnSpPr>
        <xdr:cNvPr id="335" name="Straight Connector 334">
          <a:extLst>
            <a:ext uri="{FF2B5EF4-FFF2-40B4-BE49-F238E27FC236}">
              <a16:creationId xmlns:a16="http://schemas.microsoft.com/office/drawing/2014/main" id="{DFFC03C4-033A-4B7C-AE6B-154300042241}"/>
            </a:ext>
          </a:extLst>
        </xdr:cNvPr>
        <xdr:cNvCxnSpPr/>
      </xdr:nvCxnSpPr>
      <xdr:spPr>
        <a:xfrm flipV="1">
          <a:off x="8217147" y="308853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92541</xdr:colOff>
      <xdr:row>16</xdr:row>
      <xdr:rowOff>154837</xdr:rowOff>
    </xdr:from>
    <xdr:to>
      <xdr:col>16</xdr:col>
      <xdr:colOff>596489</xdr:colOff>
      <xdr:row>16</xdr:row>
      <xdr:rowOff>155994</xdr:rowOff>
    </xdr:to>
    <xdr:cxnSp macro="">
      <xdr:nvCxnSpPr>
        <xdr:cNvPr id="336" name="Straight Connector 335">
          <a:extLst>
            <a:ext uri="{FF2B5EF4-FFF2-40B4-BE49-F238E27FC236}">
              <a16:creationId xmlns:a16="http://schemas.microsoft.com/office/drawing/2014/main" id="{53D121FF-F8D6-4A11-915B-2F9492A69401}"/>
            </a:ext>
          </a:extLst>
        </xdr:cNvPr>
        <xdr:cNvCxnSpPr/>
      </xdr:nvCxnSpPr>
      <xdr:spPr>
        <a:xfrm flipV="1">
          <a:off x="9446091" y="3088537"/>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81638</xdr:colOff>
      <xdr:row>16</xdr:row>
      <xdr:rowOff>154837</xdr:rowOff>
    </xdr:from>
    <xdr:to>
      <xdr:col>18</xdr:col>
      <xdr:colOff>585586</xdr:colOff>
      <xdr:row>16</xdr:row>
      <xdr:rowOff>155994</xdr:rowOff>
    </xdr:to>
    <xdr:cxnSp macro="">
      <xdr:nvCxnSpPr>
        <xdr:cNvPr id="337" name="Straight Connector 336">
          <a:extLst>
            <a:ext uri="{FF2B5EF4-FFF2-40B4-BE49-F238E27FC236}">
              <a16:creationId xmlns:a16="http://schemas.microsoft.com/office/drawing/2014/main" id="{71834DBA-5B22-4914-8414-E4797EDFE148}"/>
            </a:ext>
          </a:extLst>
        </xdr:cNvPr>
        <xdr:cNvCxnSpPr/>
      </xdr:nvCxnSpPr>
      <xdr:spPr>
        <a:xfrm flipV="1">
          <a:off x="10654388" y="3088537"/>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81638</xdr:colOff>
      <xdr:row>11</xdr:row>
      <xdr:rowOff>169534</xdr:rowOff>
    </xdr:from>
    <xdr:to>
      <xdr:col>20</xdr:col>
      <xdr:colOff>585586</xdr:colOff>
      <xdr:row>11</xdr:row>
      <xdr:rowOff>170691</xdr:rowOff>
    </xdr:to>
    <xdr:cxnSp macro="">
      <xdr:nvCxnSpPr>
        <xdr:cNvPr id="338" name="Straight Connector 337">
          <a:extLst>
            <a:ext uri="{FF2B5EF4-FFF2-40B4-BE49-F238E27FC236}">
              <a16:creationId xmlns:a16="http://schemas.microsoft.com/office/drawing/2014/main" id="{AC5006C8-39FA-4076-8693-47D7D34463C8}"/>
            </a:ext>
          </a:extLst>
        </xdr:cNvPr>
        <xdr:cNvCxnSpPr/>
      </xdr:nvCxnSpPr>
      <xdr:spPr>
        <a:xfrm flipV="1">
          <a:off x="11873588" y="217613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81638</xdr:colOff>
      <xdr:row>13</xdr:row>
      <xdr:rowOff>154837</xdr:rowOff>
    </xdr:from>
    <xdr:to>
      <xdr:col>20</xdr:col>
      <xdr:colOff>585586</xdr:colOff>
      <xdr:row>13</xdr:row>
      <xdr:rowOff>155994</xdr:rowOff>
    </xdr:to>
    <xdr:cxnSp macro="">
      <xdr:nvCxnSpPr>
        <xdr:cNvPr id="339" name="Straight Connector 338">
          <a:extLst>
            <a:ext uri="{FF2B5EF4-FFF2-40B4-BE49-F238E27FC236}">
              <a16:creationId xmlns:a16="http://schemas.microsoft.com/office/drawing/2014/main" id="{AF0106F2-701F-4ECA-B307-DDA51BD60FFA}"/>
            </a:ext>
          </a:extLst>
        </xdr:cNvPr>
        <xdr:cNvCxnSpPr/>
      </xdr:nvCxnSpPr>
      <xdr:spPr>
        <a:xfrm flipV="1">
          <a:off x="11873588" y="2536087"/>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81638</xdr:colOff>
      <xdr:row>16</xdr:row>
      <xdr:rowOff>158334</xdr:rowOff>
    </xdr:from>
    <xdr:to>
      <xdr:col>20</xdr:col>
      <xdr:colOff>585586</xdr:colOff>
      <xdr:row>16</xdr:row>
      <xdr:rowOff>159491</xdr:rowOff>
    </xdr:to>
    <xdr:cxnSp macro="">
      <xdr:nvCxnSpPr>
        <xdr:cNvPr id="340" name="Straight Connector 339">
          <a:extLst>
            <a:ext uri="{FF2B5EF4-FFF2-40B4-BE49-F238E27FC236}">
              <a16:creationId xmlns:a16="http://schemas.microsoft.com/office/drawing/2014/main" id="{B1841213-07E6-41ED-8DAB-CAB495C903AA}"/>
            </a:ext>
          </a:extLst>
        </xdr:cNvPr>
        <xdr:cNvCxnSpPr/>
      </xdr:nvCxnSpPr>
      <xdr:spPr>
        <a:xfrm flipV="1">
          <a:off x="11873588" y="309203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81638</xdr:colOff>
      <xdr:row>18</xdr:row>
      <xdr:rowOff>166215</xdr:rowOff>
    </xdr:from>
    <xdr:to>
      <xdr:col>20</xdr:col>
      <xdr:colOff>585586</xdr:colOff>
      <xdr:row>18</xdr:row>
      <xdr:rowOff>167372</xdr:rowOff>
    </xdr:to>
    <xdr:cxnSp macro="">
      <xdr:nvCxnSpPr>
        <xdr:cNvPr id="341" name="Straight Connector 340">
          <a:extLst>
            <a:ext uri="{FF2B5EF4-FFF2-40B4-BE49-F238E27FC236}">
              <a16:creationId xmlns:a16="http://schemas.microsoft.com/office/drawing/2014/main" id="{9891D353-2CA7-4371-B880-89C9C0A3F447}"/>
            </a:ext>
          </a:extLst>
        </xdr:cNvPr>
        <xdr:cNvCxnSpPr/>
      </xdr:nvCxnSpPr>
      <xdr:spPr>
        <a:xfrm flipV="1">
          <a:off x="11873588" y="3468215"/>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96661</xdr:colOff>
      <xdr:row>23</xdr:row>
      <xdr:rowOff>152197</xdr:rowOff>
    </xdr:from>
    <xdr:to>
      <xdr:col>20</xdr:col>
      <xdr:colOff>600563</xdr:colOff>
      <xdr:row>23</xdr:row>
      <xdr:rowOff>153354</xdr:rowOff>
    </xdr:to>
    <xdr:cxnSp macro="">
      <xdr:nvCxnSpPr>
        <xdr:cNvPr id="342" name="Straight Connector 341">
          <a:extLst>
            <a:ext uri="{FF2B5EF4-FFF2-40B4-BE49-F238E27FC236}">
              <a16:creationId xmlns:a16="http://schemas.microsoft.com/office/drawing/2014/main" id="{33836FA9-319C-4E75-8EBD-7FD873C61A81}"/>
            </a:ext>
          </a:extLst>
        </xdr:cNvPr>
        <xdr:cNvCxnSpPr/>
      </xdr:nvCxnSpPr>
      <xdr:spPr>
        <a:xfrm flipV="1">
          <a:off x="11888611" y="4241597"/>
          <a:ext cx="1113502"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81638</xdr:colOff>
      <xdr:row>24</xdr:row>
      <xdr:rowOff>191437</xdr:rowOff>
    </xdr:from>
    <xdr:to>
      <xdr:col>20</xdr:col>
      <xdr:colOff>585586</xdr:colOff>
      <xdr:row>24</xdr:row>
      <xdr:rowOff>192594</xdr:rowOff>
    </xdr:to>
    <xdr:cxnSp macro="">
      <xdr:nvCxnSpPr>
        <xdr:cNvPr id="343" name="Straight Connector 342">
          <a:extLst>
            <a:ext uri="{FF2B5EF4-FFF2-40B4-BE49-F238E27FC236}">
              <a16:creationId xmlns:a16="http://schemas.microsoft.com/office/drawing/2014/main" id="{52212E54-3D0F-4DF9-AE62-583E8D1D2532}"/>
            </a:ext>
          </a:extLst>
        </xdr:cNvPr>
        <xdr:cNvCxnSpPr/>
      </xdr:nvCxnSpPr>
      <xdr:spPr>
        <a:xfrm flipV="1">
          <a:off x="11873588" y="4458637"/>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81638</xdr:colOff>
      <xdr:row>25</xdr:row>
      <xdr:rowOff>5545</xdr:rowOff>
    </xdr:from>
    <xdr:to>
      <xdr:col>20</xdr:col>
      <xdr:colOff>585586</xdr:colOff>
      <xdr:row>25</xdr:row>
      <xdr:rowOff>6702</xdr:rowOff>
    </xdr:to>
    <xdr:cxnSp macro="">
      <xdr:nvCxnSpPr>
        <xdr:cNvPr id="344" name="Straight Connector 343">
          <a:extLst>
            <a:ext uri="{FF2B5EF4-FFF2-40B4-BE49-F238E27FC236}">
              <a16:creationId xmlns:a16="http://schemas.microsoft.com/office/drawing/2014/main" id="{BCC7236C-FDCD-4C7A-9EAA-1304D67E20A9}"/>
            </a:ext>
          </a:extLst>
        </xdr:cNvPr>
        <xdr:cNvCxnSpPr/>
      </xdr:nvCxnSpPr>
      <xdr:spPr>
        <a:xfrm flipV="1">
          <a:off x="11873588" y="4463245"/>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76561</xdr:colOff>
      <xdr:row>33</xdr:row>
      <xdr:rowOff>162327</xdr:rowOff>
    </xdr:from>
    <xdr:to>
      <xdr:col>20</xdr:col>
      <xdr:colOff>580463</xdr:colOff>
      <xdr:row>33</xdr:row>
      <xdr:rowOff>163484</xdr:rowOff>
    </xdr:to>
    <xdr:cxnSp macro="">
      <xdr:nvCxnSpPr>
        <xdr:cNvPr id="345" name="Straight Connector 344">
          <a:extLst>
            <a:ext uri="{FF2B5EF4-FFF2-40B4-BE49-F238E27FC236}">
              <a16:creationId xmlns:a16="http://schemas.microsoft.com/office/drawing/2014/main" id="{B31726A8-39C2-4755-BF57-200EE8D9CA63}"/>
            </a:ext>
          </a:extLst>
        </xdr:cNvPr>
        <xdr:cNvCxnSpPr/>
      </xdr:nvCxnSpPr>
      <xdr:spPr>
        <a:xfrm flipV="1">
          <a:off x="11868511" y="6105927"/>
          <a:ext cx="1113502"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76561</xdr:colOff>
      <xdr:row>40</xdr:row>
      <xdr:rowOff>159727</xdr:rowOff>
    </xdr:from>
    <xdr:to>
      <xdr:col>20</xdr:col>
      <xdr:colOff>580463</xdr:colOff>
      <xdr:row>40</xdr:row>
      <xdr:rowOff>160884</xdr:rowOff>
    </xdr:to>
    <xdr:cxnSp macro="">
      <xdr:nvCxnSpPr>
        <xdr:cNvPr id="346" name="Straight Connector 345">
          <a:extLst>
            <a:ext uri="{FF2B5EF4-FFF2-40B4-BE49-F238E27FC236}">
              <a16:creationId xmlns:a16="http://schemas.microsoft.com/office/drawing/2014/main" id="{DBADD2FF-0568-487B-A091-ADE4A8C5A583}"/>
            </a:ext>
          </a:extLst>
        </xdr:cNvPr>
        <xdr:cNvCxnSpPr/>
      </xdr:nvCxnSpPr>
      <xdr:spPr>
        <a:xfrm flipV="1">
          <a:off x="11868511" y="7252677"/>
          <a:ext cx="1113502"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57761</xdr:colOff>
      <xdr:row>44</xdr:row>
      <xdr:rowOff>162046</xdr:rowOff>
    </xdr:from>
    <xdr:to>
      <xdr:col>20</xdr:col>
      <xdr:colOff>561663</xdr:colOff>
      <xdr:row>44</xdr:row>
      <xdr:rowOff>163364</xdr:rowOff>
    </xdr:to>
    <xdr:cxnSp macro="">
      <xdr:nvCxnSpPr>
        <xdr:cNvPr id="347" name="Straight Connector 346">
          <a:extLst>
            <a:ext uri="{FF2B5EF4-FFF2-40B4-BE49-F238E27FC236}">
              <a16:creationId xmlns:a16="http://schemas.microsoft.com/office/drawing/2014/main" id="{A18D22F4-C86B-413E-8A8B-DC585F1CC365}"/>
            </a:ext>
          </a:extLst>
        </xdr:cNvPr>
        <xdr:cNvCxnSpPr/>
      </xdr:nvCxnSpPr>
      <xdr:spPr>
        <a:xfrm flipV="1">
          <a:off x="11849711" y="7991596"/>
          <a:ext cx="1113502"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57761</xdr:colOff>
      <xdr:row>53</xdr:row>
      <xdr:rowOff>159446</xdr:rowOff>
    </xdr:from>
    <xdr:to>
      <xdr:col>20</xdr:col>
      <xdr:colOff>561663</xdr:colOff>
      <xdr:row>53</xdr:row>
      <xdr:rowOff>160764</xdr:rowOff>
    </xdr:to>
    <xdr:cxnSp macro="">
      <xdr:nvCxnSpPr>
        <xdr:cNvPr id="348" name="Straight Connector 347">
          <a:extLst>
            <a:ext uri="{FF2B5EF4-FFF2-40B4-BE49-F238E27FC236}">
              <a16:creationId xmlns:a16="http://schemas.microsoft.com/office/drawing/2014/main" id="{950DDDA8-6307-4EC4-978E-3C0F9CBA7079}"/>
            </a:ext>
          </a:extLst>
        </xdr:cNvPr>
        <xdr:cNvCxnSpPr/>
      </xdr:nvCxnSpPr>
      <xdr:spPr>
        <a:xfrm flipV="1">
          <a:off x="11849711" y="9493946"/>
          <a:ext cx="1113502"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57761</xdr:colOff>
      <xdr:row>54</xdr:row>
      <xdr:rowOff>161846</xdr:rowOff>
    </xdr:from>
    <xdr:to>
      <xdr:col>20</xdr:col>
      <xdr:colOff>561663</xdr:colOff>
      <xdr:row>54</xdr:row>
      <xdr:rowOff>163164</xdr:rowOff>
    </xdr:to>
    <xdr:cxnSp macro="">
      <xdr:nvCxnSpPr>
        <xdr:cNvPr id="349" name="Straight Connector 348">
          <a:extLst>
            <a:ext uri="{FF2B5EF4-FFF2-40B4-BE49-F238E27FC236}">
              <a16:creationId xmlns:a16="http://schemas.microsoft.com/office/drawing/2014/main" id="{42C8C5EC-37B0-41C7-88AE-C11B18473BC2}"/>
            </a:ext>
          </a:extLst>
        </xdr:cNvPr>
        <xdr:cNvCxnSpPr/>
      </xdr:nvCxnSpPr>
      <xdr:spPr>
        <a:xfrm flipV="1">
          <a:off x="11849711" y="9680496"/>
          <a:ext cx="1113502"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57761</xdr:colOff>
      <xdr:row>55</xdr:row>
      <xdr:rowOff>4246</xdr:rowOff>
    </xdr:from>
    <xdr:to>
      <xdr:col>20</xdr:col>
      <xdr:colOff>561663</xdr:colOff>
      <xdr:row>55</xdr:row>
      <xdr:rowOff>5564</xdr:rowOff>
    </xdr:to>
    <xdr:cxnSp macro="">
      <xdr:nvCxnSpPr>
        <xdr:cNvPr id="350" name="Straight Connector 349">
          <a:extLst>
            <a:ext uri="{FF2B5EF4-FFF2-40B4-BE49-F238E27FC236}">
              <a16:creationId xmlns:a16="http://schemas.microsoft.com/office/drawing/2014/main" id="{8C9A406D-84BC-4B81-906A-EE0EBED3C94D}"/>
            </a:ext>
          </a:extLst>
        </xdr:cNvPr>
        <xdr:cNvCxnSpPr/>
      </xdr:nvCxnSpPr>
      <xdr:spPr>
        <a:xfrm flipV="1">
          <a:off x="11849711" y="9707046"/>
          <a:ext cx="1113502"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81638</xdr:colOff>
      <xdr:row>16</xdr:row>
      <xdr:rowOff>154837</xdr:rowOff>
    </xdr:from>
    <xdr:to>
      <xdr:col>20</xdr:col>
      <xdr:colOff>585586</xdr:colOff>
      <xdr:row>16</xdr:row>
      <xdr:rowOff>155994</xdr:rowOff>
    </xdr:to>
    <xdr:cxnSp macro="">
      <xdr:nvCxnSpPr>
        <xdr:cNvPr id="351" name="Straight Connector 350">
          <a:extLst>
            <a:ext uri="{FF2B5EF4-FFF2-40B4-BE49-F238E27FC236}">
              <a16:creationId xmlns:a16="http://schemas.microsoft.com/office/drawing/2014/main" id="{E720C0C4-BBF1-4E93-B434-16B790EA76CD}"/>
            </a:ext>
          </a:extLst>
        </xdr:cNvPr>
        <xdr:cNvCxnSpPr/>
      </xdr:nvCxnSpPr>
      <xdr:spPr>
        <a:xfrm flipV="1">
          <a:off x="11873588" y="3088537"/>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81981</xdr:colOff>
      <xdr:row>24</xdr:row>
      <xdr:rowOff>191437</xdr:rowOff>
    </xdr:from>
    <xdr:to>
      <xdr:col>12</xdr:col>
      <xdr:colOff>585928</xdr:colOff>
      <xdr:row>24</xdr:row>
      <xdr:rowOff>192594</xdr:rowOff>
    </xdr:to>
    <xdr:cxnSp macro="">
      <xdr:nvCxnSpPr>
        <xdr:cNvPr id="352" name="Straight Connector 351">
          <a:extLst>
            <a:ext uri="{FF2B5EF4-FFF2-40B4-BE49-F238E27FC236}">
              <a16:creationId xmlns:a16="http://schemas.microsoft.com/office/drawing/2014/main" id="{333DBAE9-11FC-4951-A23A-D2C48B977E8E}"/>
            </a:ext>
          </a:extLst>
        </xdr:cNvPr>
        <xdr:cNvCxnSpPr/>
      </xdr:nvCxnSpPr>
      <xdr:spPr>
        <a:xfrm flipV="1">
          <a:off x="6997131" y="445863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81981</xdr:colOff>
      <xdr:row>25</xdr:row>
      <xdr:rowOff>5545</xdr:rowOff>
    </xdr:from>
    <xdr:to>
      <xdr:col>12</xdr:col>
      <xdr:colOff>585928</xdr:colOff>
      <xdr:row>25</xdr:row>
      <xdr:rowOff>6702</xdr:rowOff>
    </xdr:to>
    <xdr:cxnSp macro="">
      <xdr:nvCxnSpPr>
        <xdr:cNvPr id="353" name="Straight Connector 352">
          <a:extLst>
            <a:ext uri="{FF2B5EF4-FFF2-40B4-BE49-F238E27FC236}">
              <a16:creationId xmlns:a16="http://schemas.microsoft.com/office/drawing/2014/main" id="{D79339C9-FF63-4D19-BD01-406E31809E9F}"/>
            </a:ext>
          </a:extLst>
        </xdr:cNvPr>
        <xdr:cNvCxnSpPr/>
      </xdr:nvCxnSpPr>
      <xdr:spPr>
        <a:xfrm flipV="1">
          <a:off x="6997131" y="446324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81981</xdr:colOff>
      <xdr:row>24</xdr:row>
      <xdr:rowOff>191437</xdr:rowOff>
    </xdr:from>
    <xdr:to>
      <xdr:col>14</xdr:col>
      <xdr:colOff>585928</xdr:colOff>
      <xdr:row>24</xdr:row>
      <xdr:rowOff>192594</xdr:rowOff>
    </xdr:to>
    <xdr:cxnSp macro="">
      <xdr:nvCxnSpPr>
        <xdr:cNvPr id="354" name="Straight Connector 353">
          <a:extLst>
            <a:ext uri="{FF2B5EF4-FFF2-40B4-BE49-F238E27FC236}">
              <a16:creationId xmlns:a16="http://schemas.microsoft.com/office/drawing/2014/main" id="{55CDE066-FEFD-492A-B298-9251363402B7}"/>
            </a:ext>
          </a:extLst>
        </xdr:cNvPr>
        <xdr:cNvCxnSpPr/>
      </xdr:nvCxnSpPr>
      <xdr:spPr>
        <a:xfrm flipV="1">
          <a:off x="8216331" y="445863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81981</xdr:colOff>
      <xdr:row>25</xdr:row>
      <xdr:rowOff>5545</xdr:rowOff>
    </xdr:from>
    <xdr:to>
      <xdr:col>14</xdr:col>
      <xdr:colOff>585928</xdr:colOff>
      <xdr:row>25</xdr:row>
      <xdr:rowOff>6702</xdr:rowOff>
    </xdr:to>
    <xdr:cxnSp macro="">
      <xdr:nvCxnSpPr>
        <xdr:cNvPr id="355" name="Straight Connector 354">
          <a:extLst>
            <a:ext uri="{FF2B5EF4-FFF2-40B4-BE49-F238E27FC236}">
              <a16:creationId xmlns:a16="http://schemas.microsoft.com/office/drawing/2014/main" id="{82EAF14B-E583-4A50-BD66-FB4F2C05C44E}"/>
            </a:ext>
          </a:extLst>
        </xdr:cNvPr>
        <xdr:cNvCxnSpPr/>
      </xdr:nvCxnSpPr>
      <xdr:spPr>
        <a:xfrm flipV="1">
          <a:off x="8216331" y="446324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81981</xdr:colOff>
      <xdr:row>24</xdr:row>
      <xdr:rowOff>191437</xdr:rowOff>
    </xdr:from>
    <xdr:to>
      <xdr:col>16</xdr:col>
      <xdr:colOff>585928</xdr:colOff>
      <xdr:row>24</xdr:row>
      <xdr:rowOff>192594</xdr:rowOff>
    </xdr:to>
    <xdr:cxnSp macro="">
      <xdr:nvCxnSpPr>
        <xdr:cNvPr id="356" name="Straight Connector 355">
          <a:extLst>
            <a:ext uri="{FF2B5EF4-FFF2-40B4-BE49-F238E27FC236}">
              <a16:creationId xmlns:a16="http://schemas.microsoft.com/office/drawing/2014/main" id="{A6233449-21DF-45F0-8AD2-107C5435BEEE}"/>
            </a:ext>
          </a:extLst>
        </xdr:cNvPr>
        <xdr:cNvCxnSpPr/>
      </xdr:nvCxnSpPr>
      <xdr:spPr>
        <a:xfrm flipV="1">
          <a:off x="9435531" y="445863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81981</xdr:colOff>
      <xdr:row>25</xdr:row>
      <xdr:rowOff>5545</xdr:rowOff>
    </xdr:from>
    <xdr:to>
      <xdr:col>16</xdr:col>
      <xdr:colOff>585928</xdr:colOff>
      <xdr:row>25</xdr:row>
      <xdr:rowOff>6702</xdr:rowOff>
    </xdr:to>
    <xdr:cxnSp macro="">
      <xdr:nvCxnSpPr>
        <xdr:cNvPr id="357" name="Straight Connector 356">
          <a:extLst>
            <a:ext uri="{FF2B5EF4-FFF2-40B4-BE49-F238E27FC236}">
              <a16:creationId xmlns:a16="http://schemas.microsoft.com/office/drawing/2014/main" id="{975252DC-807E-4252-8E67-FCFC2618E616}"/>
            </a:ext>
          </a:extLst>
        </xdr:cNvPr>
        <xdr:cNvCxnSpPr/>
      </xdr:nvCxnSpPr>
      <xdr:spPr>
        <a:xfrm flipV="1">
          <a:off x="9435531" y="446324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81981</xdr:colOff>
      <xdr:row>24</xdr:row>
      <xdr:rowOff>191437</xdr:rowOff>
    </xdr:from>
    <xdr:to>
      <xdr:col>18</xdr:col>
      <xdr:colOff>585928</xdr:colOff>
      <xdr:row>24</xdr:row>
      <xdr:rowOff>192594</xdr:rowOff>
    </xdr:to>
    <xdr:cxnSp macro="">
      <xdr:nvCxnSpPr>
        <xdr:cNvPr id="358" name="Straight Connector 357">
          <a:extLst>
            <a:ext uri="{FF2B5EF4-FFF2-40B4-BE49-F238E27FC236}">
              <a16:creationId xmlns:a16="http://schemas.microsoft.com/office/drawing/2014/main" id="{C1D5E6ED-CAED-4141-B1F6-EF79956D01C7}"/>
            </a:ext>
          </a:extLst>
        </xdr:cNvPr>
        <xdr:cNvCxnSpPr/>
      </xdr:nvCxnSpPr>
      <xdr:spPr>
        <a:xfrm flipV="1">
          <a:off x="10654731" y="445863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81981</xdr:colOff>
      <xdr:row>25</xdr:row>
      <xdr:rowOff>5545</xdr:rowOff>
    </xdr:from>
    <xdr:to>
      <xdr:col>18</xdr:col>
      <xdr:colOff>585928</xdr:colOff>
      <xdr:row>25</xdr:row>
      <xdr:rowOff>6702</xdr:rowOff>
    </xdr:to>
    <xdr:cxnSp macro="">
      <xdr:nvCxnSpPr>
        <xdr:cNvPr id="359" name="Straight Connector 358">
          <a:extLst>
            <a:ext uri="{FF2B5EF4-FFF2-40B4-BE49-F238E27FC236}">
              <a16:creationId xmlns:a16="http://schemas.microsoft.com/office/drawing/2014/main" id="{B5CE2BF7-CEAC-43AA-A0D0-4CD0601432D1}"/>
            </a:ext>
          </a:extLst>
        </xdr:cNvPr>
        <xdr:cNvCxnSpPr/>
      </xdr:nvCxnSpPr>
      <xdr:spPr>
        <a:xfrm flipV="1">
          <a:off x="10654731" y="446324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81981</xdr:colOff>
      <xdr:row>24</xdr:row>
      <xdr:rowOff>191437</xdr:rowOff>
    </xdr:from>
    <xdr:to>
      <xdr:col>20</xdr:col>
      <xdr:colOff>585928</xdr:colOff>
      <xdr:row>24</xdr:row>
      <xdr:rowOff>192594</xdr:rowOff>
    </xdr:to>
    <xdr:cxnSp macro="">
      <xdr:nvCxnSpPr>
        <xdr:cNvPr id="360" name="Straight Connector 359">
          <a:extLst>
            <a:ext uri="{FF2B5EF4-FFF2-40B4-BE49-F238E27FC236}">
              <a16:creationId xmlns:a16="http://schemas.microsoft.com/office/drawing/2014/main" id="{B4B66A7E-76D8-4D1C-92E7-BC360B7E3FFD}"/>
            </a:ext>
          </a:extLst>
        </xdr:cNvPr>
        <xdr:cNvCxnSpPr/>
      </xdr:nvCxnSpPr>
      <xdr:spPr>
        <a:xfrm flipV="1">
          <a:off x="11873931" y="445863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81981</xdr:colOff>
      <xdr:row>25</xdr:row>
      <xdr:rowOff>5545</xdr:rowOff>
    </xdr:from>
    <xdr:to>
      <xdr:col>20</xdr:col>
      <xdr:colOff>585928</xdr:colOff>
      <xdr:row>25</xdr:row>
      <xdr:rowOff>6702</xdr:rowOff>
    </xdr:to>
    <xdr:cxnSp macro="">
      <xdr:nvCxnSpPr>
        <xdr:cNvPr id="361" name="Straight Connector 360">
          <a:extLst>
            <a:ext uri="{FF2B5EF4-FFF2-40B4-BE49-F238E27FC236}">
              <a16:creationId xmlns:a16="http://schemas.microsoft.com/office/drawing/2014/main" id="{7F203B16-7175-477B-95F7-423A3BEDF70E}"/>
            </a:ext>
          </a:extLst>
        </xdr:cNvPr>
        <xdr:cNvCxnSpPr/>
      </xdr:nvCxnSpPr>
      <xdr:spPr>
        <a:xfrm flipV="1">
          <a:off x="11873931" y="446324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81981</xdr:colOff>
      <xdr:row>27</xdr:row>
      <xdr:rowOff>191437</xdr:rowOff>
    </xdr:from>
    <xdr:to>
      <xdr:col>10</xdr:col>
      <xdr:colOff>585928</xdr:colOff>
      <xdr:row>27</xdr:row>
      <xdr:rowOff>192594</xdr:rowOff>
    </xdr:to>
    <xdr:cxnSp macro="">
      <xdr:nvCxnSpPr>
        <xdr:cNvPr id="362" name="Straight Connector 361">
          <a:extLst>
            <a:ext uri="{FF2B5EF4-FFF2-40B4-BE49-F238E27FC236}">
              <a16:creationId xmlns:a16="http://schemas.microsoft.com/office/drawing/2014/main" id="{8E36D6BA-8190-47CF-BE87-01DF524BC8D3}"/>
            </a:ext>
          </a:extLst>
        </xdr:cNvPr>
        <xdr:cNvCxnSpPr/>
      </xdr:nvCxnSpPr>
      <xdr:spPr>
        <a:xfrm flipV="1">
          <a:off x="5777931" y="501108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81981</xdr:colOff>
      <xdr:row>28</xdr:row>
      <xdr:rowOff>5545</xdr:rowOff>
    </xdr:from>
    <xdr:to>
      <xdr:col>10</xdr:col>
      <xdr:colOff>585928</xdr:colOff>
      <xdr:row>28</xdr:row>
      <xdr:rowOff>6702</xdr:rowOff>
    </xdr:to>
    <xdr:cxnSp macro="">
      <xdr:nvCxnSpPr>
        <xdr:cNvPr id="363" name="Straight Connector 362">
          <a:extLst>
            <a:ext uri="{FF2B5EF4-FFF2-40B4-BE49-F238E27FC236}">
              <a16:creationId xmlns:a16="http://schemas.microsoft.com/office/drawing/2014/main" id="{CCBC6E15-E618-401A-A863-A73888990F4C}"/>
            </a:ext>
          </a:extLst>
        </xdr:cNvPr>
        <xdr:cNvCxnSpPr/>
      </xdr:nvCxnSpPr>
      <xdr:spPr>
        <a:xfrm flipV="1">
          <a:off x="5777931" y="501569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81981</xdr:colOff>
      <xdr:row>27</xdr:row>
      <xdr:rowOff>191437</xdr:rowOff>
    </xdr:from>
    <xdr:to>
      <xdr:col>12</xdr:col>
      <xdr:colOff>585928</xdr:colOff>
      <xdr:row>27</xdr:row>
      <xdr:rowOff>192594</xdr:rowOff>
    </xdr:to>
    <xdr:cxnSp macro="">
      <xdr:nvCxnSpPr>
        <xdr:cNvPr id="364" name="Straight Connector 363">
          <a:extLst>
            <a:ext uri="{FF2B5EF4-FFF2-40B4-BE49-F238E27FC236}">
              <a16:creationId xmlns:a16="http://schemas.microsoft.com/office/drawing/2014/main" id="{2E6F1E8A-AD10-4D02-99E7-F8E05B5D8702}"/>
            </a:ext>
          </a:extLst>
        </xdr:cNvPr>
        <xdr:cNvCxnSpPr/>
      </xdr:nvCxnSpPr>
      <xdr:spPr>
        <a:xfrm flipV="1">
          <a:off x="6997131" y="501108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81981</xdr:colOff>
      <xdr:row>28</xdr:row>
      <xdr:rowOff>5545</xdr:rowOff>
    </xdr:from>
    <xdr:to>
      <xdr:col>12</xdr:col>
      <xdr:colOff>585928</xdr:colOff>
      <xdr:row>28</xdr:row>
      <xdr:rowOff>6702</xdr:rowOff>
    </xdr:to>
    <xdr:cxnSp macro="">
      <xdr:nvCxnSpPr>
        <xdr:cNvPr id="365" name="Straight Connector 364">
          <a:extLst>
            <a:ext uri="{FF2B5EF4-FFF2-40B4-BE49-F238E27FC236}">
              <a16:creationId xmlns:a16="http://schemas.microsoft.com/office/drawing/2014/main" id="{417ECF14-1599-47D9-89D4-381D74260141}"/>
            </a:ext>
          </a:extLst>
        </xdr:cNvPr>
        <xdr:cNvCxnSpPr/>
      </xdr:nvCxnSpPr>
      <xdr:spPr>
        <a:xfrm flipV="1">
          <a:off x="6997131" y="501569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81981</xdr:colOff>
      <xdr:row>27</xdr:row>
      <xdr:rowOff>191437</xdr:rowOff>
    </xdr:from>
    <xdr:to>
      <xdr:col>14</xdr:col>
      <xdr:colOff>585928</xdr:colOff>
      <xdr:row>27</xdr:row>
      <xdr:rowOff>192594</xdr:rowOff>
    </xdr:to>
    <xdr:cxnSp macro="">
      <xdr:nvCxnSpPr>
        <xdr:cNvPr id="366" name="Straight Connector 365">
          <a:extLst>
            <a:ext uri="{FF2B5EF4-FFF2-40B4-BE49-F238E27FC236}">
              <a16:creationId xmlns:a16="http://schemas.microsoft.com/office/drawing/2014/main" id="{D95526DD-305E-4089-B3B7-2C63405E4461}"/>
            </a:ext>
          </a:extLst>
        </xdr:cNvPr>
        <xdr:cNvCxnSpPr/>
      </xdr:nvCxnSpPr>
      <xdr:spPr>
        <a:xfrm flipV="1">
          <a:off x="8216331" y="501108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81981</xdr:colOff>
      <xdr:row>28</xdr:row>
      <xdr:rowOff>5545</xdr:rowOff>
    </xdr:from>
    <xdr:to>
      <xdr:col>14</xdr:col>
      <xdr:colOff>585928</xdr:colOff>
      <xdr:row>28</xdr:row>
      <xdr:rowOff>6702</xdr:rowOff>
    </xdr:to>
    <xdr:cxnSp macro="">
      <xdr:nvCxnSpPr>
        <xdr:cNvPr id="367" name="Straight Connector 366">
          <a:extLst>
            <a:ext uri="{FF2B5EF4-FFF2-40B4-BE49-F238E27FC236}">
              <a16:creationId xmlns:a16="http://schemas.microsoft.com/office/drawing/2014/main" id="{1634E587-26D6-4F3F-AC8E-82A6FABCD8A5}"/>
            </a:ext>
          </a:extLst>
        </xdr:cNvPr>
        <xdr:cNvCxnSpPr/>
      </xdr:nvCxnSpPr>
      <xdr:spPr>
        <a:xfrm flipV="1">
          <a:off x="8216331" y="501569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81981</xdr:colOff>
      <xdr:row>27</xdr:row>
      <xdr:rowOff>191437</xdr:rowOff>
    </xdr:from>
    <xdr:to>
      <xdr:col>16</xdr:col>
      <xdr:colOff>585928</xdr:colOff>
      <xdr:row>27</xdr:row>
      <xdr:rowOff>192594</xdr:rowOff>
    </xdr:to>
    <xdr:cxnSp macro="">
      <xdr:nvCxnSpPr>
        <xdr:cNvPr id="368" name="Straight Connector 367">
          <a:extLst>
            <a:ext uri="{FF2B5EF4-FFF2-40B4-BE49-F238E27FC236}">
              <a16:creationId xmlns:a16="http://schemas.microsoft.com/office/drawing/2014/main" id="{6D43D4E6-D0F4-4A9A-A5C6-7101DCB072C0}"/>
            </a:ext>
          </a:extLst>
        </xdr:cNvPr>
        <xdr:cNvCxnSpPr/>
      </xdr:nvCxnSpPr>
      <xdr:spPr>
        <a:xfrm flipV="1">
          <a:off x="9435531" y="501108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81981</xdr:colOff>
      <xdr:row>28</xdr:row>
      <xdr:rowOff>5545</xdr:rowOff>
    </xdr:from>
    <xdr:to>
      <xdr:col>16</xdr:col>
      <xdr:colOff>585928</xdr:colOff>
      <xdr:row>28</xdr:row>
      <xdr:rowOff>6702</xdr:rowOff>
    </xdr:to>
    <xdr:cxnSp macro="">
      <xdr:nvCxnSpPr>
        <xdr:cNvPr id="369" name="Straight Connector 368">
          <a:extLst>
            <a:ext uri="{FF2B5EF4-FFF2-40B4-BE49-F238E27FC236}">
              <a16:creationId xmlns:a16="http://schemas.microsoft.com/office/drawing/2014/main" id="{A91C37FA-00F1-40D4-A6E6-52B9A89DDBDB}"/>
            </a:ext>
          </a:extLst>
        </xdr:cNvPr>
        <xdr:cNvCxnSpPr/>
      </xdr:nvCxnSpPr>
      <xdr:spPr>
        <a:xfrm flipV="1">
          <a:off x="9435531" y="501569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81981</xdr:colOff>
      <xdr:row>27</xdr:row>
      <xdr:rowOff>191437</xdr:rowOff>
    </xdr:from>
    <xdr:to>
      <xdr:col>18</xdr:col>
      <xdr:colOff>585928</xdr:colOff>
      <xdr:row>27</xdr:row>
      <xdr:rowOff>192594</xdr:rowOff>
    </xdr:to>
    <xdr:cxnSp macro="">
      <xdr:nvCxnSpPr>
        <xdr:cNvPr id="370" name="Straight Connector 369">
          <a:extLst>
            <a:ext uri="{FF2B5EF4-FFF2-40B4-BE49-F238E27FC236}">
              <a16:creationId xmlns:a16="http://schemas.microsoft.com/office/drawing/2014/main" id="{70753D2A-CB64-4675-9495-78B98FABA2A7}"/>
            </a:ext>
          </a:extLst>
        </xdr:cNvPr>
        <xdr:cNvCxnSpPr/>
      </xdr:nvCxnSpPr>
      <xdr:spPr>
        <a:xfrm flipV="1">
          <a:off x="10654731" y="501108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81981</xdr:colOff>
      <xdr:row>28</xdr:row>
      <xdr:rowOff>5545</xdr:rowOff>
    </xdr:from>
    <xdr:to>
      <xdr:col>18</xdr:col>
      <xdr:colOff>585928</xdr:colOff>
      <xdr:row>28</xdr:row>
      <xdr:rowOff>6702</xdr:rowOff>
    </xdr:to>
    <xdr:cxnSp macro="">
      <xdr:nvCxnSpPr>
        <xdr:cNvPr id="371" name="Straight Connector 370">
          <a:extLst>
            <a:ext uri="{FF2B5EF4-FFF2-40B4-BE49-F238E27FC236}">
              <a16:creationId xmlns:a16="http://schemas.microsoft.com/office/drawing/2014/main" id="{E20EA1DD-517F-4BE5-9BB8-F79E2BF97E3B}"/>
            </a:ext>
          </a:extLst>
        </xdr:cNvPr>
        <xdr:cNvCxnSpPr/>
      </xdr:nvCxnSpPr>
      <xdr:spPr>
        <a:xfrm flipV="1">
          <a:off x="10654731" y="501569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81981</xdr:colOff>
      <xdr:row>27</xdr:row>
      <xdr:rowOff>191437</xdr:rowOff>
    </xdr:from>
    <xdr:to>
      <xdr:col>20</xdr:col>
      <xdr:colOff>585928</xdr:colOff>
      <xdr:row>27</xdr:row>
      <xdr:rowOff>192594</xdr:rowOff>
    </xdr:to>
    <xdr:cxnSp macro="">
      <xdr:nvCxnSpPr>
        <xdr:cNvPr id="372" name="Straight Connector 371">
          <a:extLst>
            <a:ext uri="{FF2B5EF4-FFF2-40B4-BE49-F238E27FC236}">
              <a16:creationId xmlns:a16="http://schemas.microsoft.com/office/drawing/2014/main" id="{E4F08024-EFB0-4F65-AAA0-267004CDAB45}"/>
            </a:ext>
          </a:extLst>
        </xdr:cNvPr>
        <xdr:cNvCxnSpPr/>
      </xdr:nvCxnSpPr>
      <xdr:spPr>
        <a:xfrm flipV="1">
          <a:off x="11873931" y="501108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81981</xdr:colOff>
      <xdr:row>28</xdr:row>
      <xdr:rowOff>5545</xdr:rowOff>
    </xdr:from>
    <xdr:to>
      <xdr:col>20</xdr:col>
      <xdr:colOff>585928</xdr:colOff>
      <xdr:row>28</xdr:row>
      <xdr:rowOff>6702</xdr:rowOff>
    </xdr:to>
    <xdr:cxnSp macro="">
      <xdr:nvCxnSpPr>
        <xdr:cNvPr id="373" name="Straight Connector 372">
          <a:extLst>
            <a:ext uri="{FF2B5EF4-FFF2-40B4-BE49-F238E27FC236}">
              <a16:creationId xmlns:a16="http://schemas.microsoft.com/office/drawing/2014/main" id="{774159D4-ED22-4FD2-B474-3F49E3A8C5A2}"/>
            </a:ext>
          </a:extLst>
        </xdr:cNvPr>
        <xdr:cNvCxnSpPr/>
      </xdr:nvCxnSpPr>
      <xdr:spPr>
        <a:xfrm flipV="1">
          <a:off x="11873931" y="501569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58081</xdr:colOff>
      <xdr:row>44</xdr:row>
      <xdr:rowOff>162046</xdr:rowOff>
    </xdr:from>
    <xdr:to>
      <xdr:col>12</xdr:col>
      <xdr:colOff>562028</xdr:colOff>
      <xdr:row>44</xdr:row>
      <xdr:rowOff>163364</xdr:rowOff>
    </xdr:to>
    <xdr:cxnSp macro="">
      <xdr:nvCxnSpPr>
        <xdr:cNvPr id="374" name="Straight Connector 373">
          <a:extLst>
            <a:ext uri="{FF2B5EF4-FFF2-40B4-BE49-F238E27FC236}">
              <a16:creationId xmlns:a16="http://schemas.microsoft.com/office/drawing/2014/main" id="{9CFEC915-5D1A-4C1D-A5E6-9BDAF39758FB}"/>
            </a:ext>
          </a:extLst>
        </xdr:cNvPr>
        <xdr:cNvCxnSpPr/>
      </xdr:nvCxnSpPr>
      <xdr:spPr>
        <a:xfrm flipV="1">
          <a:off x="6973231" y="79915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58081</xdr:colOff>
      <xdr:row>44</xdr:row>
      <xdr:rowOff>162046</xdr:rowOff>
    </xdr:from>
    <xdr:to>
      <xdr:col>14</xdr:col>
      <xdr:colOff>562028</xdr:colOff>
      <xdr:row>44</xdr:row>
      <xdr:rowOff>163364</xdr:rowOff>
    </xdr:to>
    <xdr:cxnSp macro="">
      <xdr:nvCxnSpPr>
        <xdr:cNvPr id="375" name="Straight Connector 374">
          <a:extLst>
            <a:ext uri="{FF2B5EF4-FFF2-40B4-BE49-F238E27FC236}">
              <a16:creationId xmlns:a16="http://schemas.microsoft.com/office/drawing/2014/main" id="{7DD8A493-56ED-48A2-9156-55A8F036BBEB}"/>
            </a:ext>
          </a:extLst>
        </xdr:cNvPr>
        <xdr:cNvCxnSpPr/>
      </xdr:nvCxnSpPr>
      <xdr:spPr>
        <a:xfrm flipV="1">
          <a:off x="8192431" y="79915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58081</xdr:colOff>
      <xdr:row>44</xdr:row>
      <xdr:rowOff>162046</xdr:rowOff>
    </xdr:from>
    <xdr:to>
      <xdr:col>16</xdr:col>
      <xdr:colOff>562028</xdr:colOff>
      <xdr:row>44</xdr:row>
      <xdr:rowOff>163364</xdr:rowOff>
    </xdr:to>
    <xdr:cxnSp macro="">
      <xdr:nvCxnSpPr>
        <xdr:cNvPr id="376" name="Straight Connector 375">
          <a:extLst>
            <a:ext uri="{FF2B5EF4-FFF2-40B4-BE49-F238E27FC236}">
              <a16:creationId xmlns:a16="http://schemas.microsoft.com/office/drawing/2014/main" id="{82B12E6B-35F6-4CC7-AFB1-B102ED431ED3}"/>
            </a:ext>
          </a:extLst>
        </xdr:cNvPr>
        <xdr:cNvCxnSpPr/>
      </xdr:nvCxnSpPr>
      <xdr:spPr>
        <a:xfrm flipV="1">
          <a:off x="9411631" y="79915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58081</xdr:colOff>
      <xdr:row>44</xdr:row>
      <xdr:rowOff>162046</xdr:rowOff>
    </xdr:from>
    <xdr:to>
      <xdr:col>18</xdr:col>
      <xdr:colOff>562028</xdr:colOff>
      <xdr:row>44</xdr:row>
      <xdr:rowOff>163364</xdr:rowOff>
    </xdr:to>
    <xdr:cxnSp macro="">
      <xdr:nvCxnSpPr>
        <xdr:cNvPr id="377" name="Straight Connector 376">
          <a:extLst>
            <a:ext uri="{FF2B5EF4-FFF2-40B4-BE49-F238E27FC236}">
              <a16:creationId xmlns:a16="http://schemas.microsoft.com/office/drawing/2014/main" id="{9EE50F49-B48B-443F-838B-24872CB638A3}"/>
            </a:ext>
          </a:extLst>
        </xdr:cNvPr>
        <xdr:cNvCxnSpPr/>
      </xdr:nvCxnSpPr>
      <xdr:spPr>
        <a:xfrm flipV="1">
          <a:off x="10630831" y="79915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58081</xdr:colOff>
      <xdr:row>44</xdr:row>
      <xdr:rowOff>162046</xdr:rowOff>
    </xdr:from>
    <xdr:to>
      <xdr:col>20</xdr:col>
      <xdr:colOff>562028</xdr:colOff>
      <xdr:row>44</xdr:row>
      <xdr:rowOff>163364</xdr:rowOff>
    </xdr:to>
    <xdr:cxnSp macro="">
      <xdr:nvCxnSpPr>
        <xdr:cNvPr id="378" name="Straight Connector 377">
          <a:extLst>
            <a:ext uri="{FF2B5EF4-FFF2-40B4-BE49-F238E27FC236}">
              <a16:creationId xmlns:a16="http://schemas.microsoft.com/office/drawing/2014/main" id="{EA9C5B5F-333B-49D1-9240-BD7429E7632F}"/>
            </a:ext>
          </a:extLst>
        </xdr:cNvPr>
        <xdr:cNvCxnSpPr/>
      </xdr:nvCxnSpPr>
      <xdr:spPr>
        <a:xfrm flipV="1">
          <a:off x="11850031" y="79915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58081</xdr:colOff>
      <xdr:row>53</xdr:row>
      <xdr:rowOff>159446</xdr:rowOff>
    </xdr:from>
    <xdr:to>
      <xdr:col>12</xdr:col>
      <xdr:colOff>562028</xdr:colOff>
      <xdr:row>53</xdr:row>
      <xdr:rowOff>160764</xdr:rowOff>
    </xdr:to>
    <xdr:cxnSp macro="">
      <xdr:nvCxnSpPr>
        <xdr:cNvPr id="379" name="Straight Connector 378">
          <a:extLst>
            <a:ext uri="{FF2B5EF4-FFF2-40B4-BE49-F238E27FC236}">
              <a16:creationId xmlns:a16="http://schemas.microsoft.com/office/drawing/2014/main" id="{4D5CE536-B1C3-4CF2-A8AA-576D48152639}"/>
            </a:ext>
          </a:extLst>
        </xdr:cNvPr>
        <xdr:cNvCxnSpPr/>
      </xdr:nvCxnSpPr>
      <xdr:spPr>
        <a:xfrm flipV="1">
          <a:off x="6973231" y="94939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58081</xdr:colOff>
      <xdr:row>53</xdr:row>
      <xdr:rowOff>159446</xdr:rowOff>
    </xdr:from>
    <xdr:to>
      <xdr:col>14</xdr:col>
      <xdr:colOff>562028</xdr:colOff>
      <xdr:row>53</xdr:row>
      <xdr:rowOff>160764</xdr:rowOff>
    </xdr:to>
    <xdr:cxnSp macro="">
      <xdr:nvCxnSpPr>
        <xdr:cNvPr id="380" name="Straight Connector 379">
          <a:extLst>
            <a:ext uri="{FF2B5EF4-FFF2-40B4-BE49-F238E27FC236}">
              <a16:creationId xmlns:a16="http://schemas.microsoft.com/office/drawing/2014/main" id="{E643B5ED-34A5-4134-A90B-89C6BB7C741C}"/>
            </a:ext>
          </a:extLst>
        </xdr:cNvPr>
        <xdr:cNvCxnSpPr/>
      </xdr:nvCxnSpPr>
      <xdr:spPr>
        <a:xfrm flipV="1">
          <a:off x="8192431" y="94939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58081</xdr:colOff>
      <xdr:row>53</xdr:row>
      <xdr:rowOff>159446</xdr:rowOff>
    </xdr:from>
    <xdr:to>
      <xdr:col>16</xdr:col>
      <xdr:colOff>562028</xdr:colOff>
      <xdr:row>53</xdr:row>
      <xdr:rowOff>160764</xdr:rowOff>
    </xdr:to>
    <xdr:cxnSp macro="">
      <xdr:nvCxnSpPr>
        <xdr:cNvPr id="381" name="Straight Connector 380">
          <a:extLst>
            <a:ext uri="{FF2B5EF4-FFF2-40B4-BE49-F238E27FC236}">
              <a16:creationId xmlns:a16="http://schemas.microsoft.com/office/drawing/2014/main" id="{BAD2094E-45CE-4D0A-ACA2-F45039297B07}"/>
            </a:ext>
          </a:extLst>
        </xdr:cNvPr>
        <xdr:cNvCxnSpPr/>
      </xdr:nvCxnSpPr>
      <xdr:spPr>
        <a:xfrm flipV="1">
          <a:off x="9411631" y="94939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58081</xdr:colOff>
      <xdr:row>53</xdr:row>
      <xdr:rowOff>159446</xdr:rowOff>
    </xdr:from>
    <xdr:to>
      <xdr:col>18</xdr:col>
      <xdr:colOff>562028</xdr:colOff>
      <xdr:row>53</xdr:row>
      <xdr:rowOff>160764</xdr:rowOff>
    </xdr:to>
    <xdr:cxnSp macro="">
      <xdr:nvCxnSpPr>
        <xdr:cNvPr id="382" name="Straight Connector 381">
          <a:extLst>
            <a:ext uri="{FF2B5EF4-FFF2-40B4-BE49-F238E27FC236}">
              <a16:creationId xmlns:a16="http://schemas.microsoft.com/office/drawing/2014/main" id="{0DE33581-26CF-4C19-ABAA-084A1B5A3228}"/>
            </a:ext>
          </a:extLst>
        </xdr:cNvPr>
        <xdr:cNvCxnSpPr/>
      </xdr:nvCxnSpPr>
      <xdr:spPr>
        <a:xfrm flipV="1">
          <a:off x="10630831" y="94939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58081</xdr:colOff>
      <xdr:row>53</xdr:row>
      <xdr:rowOff>159446</xdr:rowOff>
    </xdr:from>
    <xdr:to>
      <xdr:col>20</xdr:col>
      <xdr:colOff>562028</xdr:colOff>
      <xdr:row>53</xdr:row>
      <xdr:rowOff>160764</xdr:rowOff>
    </xdr:to>
    <xdr:cxnSp macro="">
      <xdr:nvCxnSpPr>
        <xdr:cNvPr id="383" name="Straight Connector 382">
          <a:extLst>
            <a:ext uri="{FF2B5EF4-FFF2-40B4-BE49-F238E27FC236}">
              <a16:creationId xmlns:a16="http://schemas.microsoft.com/office/drawing/2014/main" id="{57CE1B76-9AD2-4D99-9C2F-8364583A8D44}"/>
            </a:ext>
          </a:extLst>
        </xdr:cNvPr>
        <xdr:cNvCxnSpPr/>
      </xdr:nvCxnSpPr>
      <xdr:spPr>
        <a:xfrm flipV="1">
          <a:off x="11850031" y="94939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58081</xdr:colOff>
      <xdr:row>54</xdr:row>
      <xdr:rowOff>159446</xdr:rowOff>
    </xdr:from>
    <xdr:to>
      <xdr:col>10</xdr:col>
      <xdr:colOff>562028</xdr:colOff>
      <xdr:row>54</xdr:row>
      <xdr:rowOff>160764</xdr:rowOff>
    </xdr:to>
    <xdr:cxnSp macro="">
      <xdr:nvCxnSpPr>
        <xdr:cNvPr id="384" name="Straight Connector 383">
          <a:extLst>
            <a:ext uri="{FF2B5EF4-FFF2-40B4-BE49-F238E27FC236}">
              <a16:creationId xmlns:a16="http://schemas.microsoft.com/office/drawing/2014/main" id="{2552C496-5DB0-4C02-8410-5E503C3CBD9E}"/>
            </a:ext>
          </a:extLst>
        </xdr:cNvPr>
        <xdr:cNvCxnSpPr/>
      </xdr:nvCxnSpPr>
      <xdr:spPr>
        <a:xfrm flipV="1">
          <a:off x="5754031" y="96780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58081</xdr:colOff>
      <xdr:row>54</xdr:row>
      <xdr:rowOff>161846</xdr:rowOff>
    </xdr:from>
    <xdr:to>
      <xdr:col>12</xdr:col>
      <xdr:colOff>562028</xdr:colOff>
      <xdr:row>54</xdr:row>
      <xdr:rowOff>163164</xdr:rowOff>
    </xdr:to>
    <xdr:cxnSp macro="">
      <xdr:nvCxnSpPr>
        <xdr:cNvPr id="385" name="Straight Connector 384">
          <a:extLst>
            <a:ext uri="{FF2B5EF4-FFF2-40B4-BE49-F238E27FC236}">
              <a16:creationId xmlns:a16="http://schemas.microsoft.com/office/drawing/2014/main" id="{EBD1DCAE-81D1-4328-AC72-5C4E3E1C56D7}"/>
            </a:ext>
          </a:extLst>
        </xdr:cNvPr>
        <xdr:cNvCxnSpPr/>
      </xdr:nvCxnSpPr>
      <xdr:spPr>
        <a:xfrm flipV="1">
          <a:off x="6973231" y="96804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58081</xdr:colOff>
      <xdr:row>54</xdr:row>
      <xdr:rowOff>159446</xdr:rowOff>
    </xdr:from>
    <xdr:to>
      <xdr:col>12</xdr:col>
      <xdr:colOff>562028</xdr:colOff>
      <xdr:row>54</xdr:row>
      <xdr:rowOff>160764</xdr:rowOff>
    </xdr:to>
    <xdr:cxnSp macro="">
      <xdr:nvCxnSpPr>
        <xdr:cNvPr id="386" name="Straight Connector 385">
          <a:extLst>
            <a:ext uri="{FF2B5EF4-FFF2-40B4-BE49-F238E27FC236}">
              <a16:creationId xmlns:a16="http://schemas.microsoft.com/office/drawing/2014/main" id="{4F9E3A5E-39EE-4DC6-A031-369CD8703E18}"/>
            </a:ext>
          </a:extLst>
        </xdr:cNvPr>
        <xdr:cNvCxnSpPr/>
      </xdr:nvCxnSpPr>
      <xdr:spPr>
        <a:xfrm flipV="1">
          <a:off x="6973231" y="96780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58081</xdr:colOff>
      <xdr:row>54</xdr:row>
      <xdr:rowOff>161846</xdr:rowOff>
    </xdr:from>
    <xdr:to>
      <xdr:col>14</xdr:col>
      <xdr:colOff>562028</xdr:colOff>
      <xdr:row>54</xdr:row>
      <xdr:rowOff>163164</xdr:rowOff>
    </xdr:to>
    <xdr:cxnSp macro="">
      <xdr:nvCxnSpPr>
        <xdr:cNvPr id="387" name="Straight Connector 386">
          <a:extLst>
            <a:ext uri="{FF2B5EF4-FFF2-40B4-BE49-F238E27FC236}">
              <a16:creationId xmlns:a16="http://schemas.microsoft.com/office/drawing/2014/main" id="{AA755D1A-703A-4ECD-847D-718D62CCBBBD}"/>
            </a:ext>
          </a:extLst>
        </xdr:cNvPr>
        <xdr:cNvCxnSpPr/>
      </xdr:nvCxnSpPr>
      <xdr:spPr>
        <a:xfrm flipV="1">
          <a:off x="8192431" y="96804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58081</xdr:colOff>
      <xdr:row>54</xdr:row>
      <xdr:rowOff>159446</xdr:rowOff>
    </xdr:from>
    <xdr:to>
      <xdr:col>14</xdr:col>
      <xdr:colOff>562028</xdr:colOff>
      <xdr:row>54</xdr:row>
      <xdr:rowOff>160764</xdr:rowOff>
    </xdr:to>
    <xdr:cxnSp macro="">
      <xdr:nvCxnSpPr>
        <xdr:cNvPr id="388" name="Straight Connector 387">
          <a:extLst>
            <a:ext uri="{FF2B5EF4-FFF2-40B4-BE49-F238E27FC236}">
              <a16:creationId xmlns:a16="http://schemas.microsoft.com/office/drawing/2014/main" id="{E9EF4E02-4711-4976-96EA-A5FE64B6D237}"/>
            </a:ext>
          </a:extLst>
        </xdr:cNvPr>
        <xdr:cNvCxnSpPr/>
      </xdr:nvCxnSpPr>
      <xdr:spPr>
        <a:xfrm flipV="1">
          <a:off x="8192431" y="96780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58081</xdr:colOff>
      <xdr:row>54</xdr:row>
      <xdr:rowOff>161846</xdr:rowOff>
    </xdr:from>
    <xdr:to>
      <xdr:col>16</xdr:col>
      <xdr:colOff>562028</xdr:colOff>
      <xdr:row>54</xdr:row>
      <xdr:rowOff>163164</xdr:rowOff>
    </xdr:to>
    <xdr:cxnSp macro="">
      <xdr:nvCxnSpPr>
        <xdr:cNvPr id="389" name="Straight Connector 388">
          <a:extLst>
            <a:ext uri="{FF2B5EF4-FFF2-40B4-BE49-F238E27FC236}">
              <a16:creationId xmlns:a16="http://schemas.microsoft.com/office/drawing/2014/main" id="{2CFE0B28-1C3E-4EB7-8AD6-E4CD2BACA9B7}"/>
            </a:ext>
          </a:extLst>
        </xdr:cNvPr>
        <xdr:cNvCxnSpPr/>
      </xdr:nvCxnSpPr>
      <xdr:spPr>
        <a:xfrm flipV="1">
          <a:off x="9411631" y="96804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58081</xdr:colOff>
      <xdr:row>54</xdr:row>
      <xdr:rowOff>159446</xdr:rowOff>
    </xdr:from>
    <xdr:to>
      <xdr:col>16</xdr:col>
      <xdr:colOff>562028</xdr:colOff>
      <xdr:row>54</xdr:row>
      <xdr:rowOff>160764</xdr:rowOff>
    </xdr:to>
    <xdr:cxnSp macro="">
      <xdr:nvCxnSpPr>
        <xdr:cNvPr id="390" name="Straight Connector 389">
          <a:extLst>
            <a:ext uri="{FF2B5EF4-FFF2-40B4-BE49-F238E27FC236}">
              <a16:creationId xmlns:a16="http://schemas.microsoft.com/office/drawing/2014/main" id="{0DF0C81C-992C-4221-A8A3-99F47A666840}"/>
            </a:ext>
          </a:extLst>
        </xdr:cNvPr>
        <xdr:cNvCxnSpPr/>
      </xdr:nvCxnSpPr>
      <xdr:spPr>
        <a:xfrm flipV="1">
          <a:off x="9411631" y="96780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58081</xdr:colOff>
      <xdr:row>54</xdr:row>
      <xdr:rowOff>161846</xdr:rowOff>
    </xdr:from>
    <xdr:to>
      <xdr:col>18</xdr:col>
      <xdr:colOff>562028</xdr:colOff>
      <xdr:row>54</xdr:row>
      <xdr:rowOff>163164</xdr:rowOff>
    </xdr:to>
    <xdr:cxnSp macro="">
      <xdr:nvCxnSpPr>
        <xdr:cNvPr id="391" name="Straight Connector 390">
          <a:extLst>
            <a:ext uri="{FF2B5EF4-FFF2-40B4-BE49-F238E27FC236}">
              <a16:creationId xmlns:a16="http://schemas.microsoft.com/office/drawing/2014/main" id="{947FAA40-7803-4D43-A32D-5EAA77880C00}"/>
            </a:ext>
          </a:extLst>
        </xdr:cNvPr>
        <xdr:cNvCxnSpPr/>
      </xdr:nvCxnSpPr>
      <xdr:spPr>
        <a:xfrm flipV="1">
          <a:off x="10630831" y="96804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58081</xdr:colOff>
      <xdr:row>54</xdr:row>
      <xdr:rowOff>159446</xdr:rowOff>
    </xdr:from>
    <xdr:to>
      <xdr:col>18</xdr:col>
      <xdr:colOff>562028</xdr:colOff>
      <xdr:row>54</xdr:row>
      <xdr:rowOff>160764</xdr:rowOff>
    </xdr:to>
    <xdr:cxnSp macro="">
      <xdr:nvCxnSpPr>
        <xdr:cNvPr id="392" name="Straight Connector 391">
          <a:extLst>
            <a:ext uri="{FF2B5EF4-FFF2-40B4-BE49-F238E27FC236}">
              <a16:creationId xmlns:a16="http://schemas.microsoft.com/office/drawing/2014/main" id="{DF11BF54-5332-4EDE-8463-141537A0D2F1}"/>
            </a:ext>
          </a:extLst>
        </xdr:cNvPr>
        <xdr:cNvCxnSpPr/>
      </xdr:nvCxnSpPr>
      <xdr:spPr>
        <a:xfrm flipV="1">
          <a:off x="10630831" y="96780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58081</xdr:colOff>
      <xdr:row>54</xdr:row>
      <xdr:rowOff>161846</xdr:rowOff>
    </xdr:from>
    <xdr:to>
      <xdr:col>20</xdr:col>
      <xdr:colOff>562028</xdr:colOff>
      <xdr:row>54</xdr:row>
      <xdr:rowOff>163164</xdr:rowOff>
    </xdr:to>
    <xdr:cxnSp macro="">
      <xdr:nvCxnSpPr>
        <xdr:cNvPr id="393" name="Straight Connector 392">
          <a:extLst>
            <a:ext uri="{FF2B5EF4-FFF2-40B4-BE49-F238E27FC236}">
              <a16:creationId xmlns:a16="http://schemas.microsoft.com/office/drawing/2014/main" id="{BAE04E64-71A4-4E6A-8ED8-FEB6FD9AF7BD}"/>
            </a:ext>
          </a:extLst>
        </xdr:cNvPr>
        <xdr:cNvCxnSpPr/>
      </xdr:nvCxnSpPr>
      <xdr:spPr>
        <a:xfrm flipV="1">
          <a:off x="11850031" y="96804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58081</xdr:colOff>
      <xdr:row>54</xdr:row>
      <xdr:rowOff>159446</xdr:rowOff>
    </xdr:from>
    <xdr:to>
      <xdr:col>20</xdr:col>
      <xdr:colOff>562028</xdr:colOff>
      <xdr:row>54</xdr:row>
      <xdr:rowOff>160764</xdr:rowOff>
    </xdr:to>
    <xdr:cxnSp macro="">
      <xdr:nvCxnSpPr>
        <xdr:cNvPr id="394" name="Straight Connector 393">
          <a:extLst>
            <a:ext uri="{FF2B5EF4-FFF2-40B4-BE49-F238E27FC236}">
              <a16:creationId xmlns:a16="http://schemas.microsoft.com/office/drawing/2014/main" id="{F1CD5824-6C02-4238-A5EB-04B185677134}"/>
            </a:ext>
          </a:extLst>
        </xdr:cNvPr>
        <xdr:cNvCxnSpPr/>
      </xdr:nvCxnSpPr>
      <xdr:spPr>
        <a:xfrm flipV="1">
          <a:off x="11850031" y="96780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58081</xdr:colOff>
      <xdr:row>55</xdr:row>
      <xdr:rowOff>4246</xdr:rowOff>
    </xdr:from>
    <xdr:to>
      <xdr:col>12</xdr:col>
      <xdr:colOff>562028</xdr:colOff>
      <xdr:row>55</xdr:row>
      <xdr:rowOff>5564</xdr:rowOff>
    </xdr:to>
    <xdr:cxnSp macro="">
      <xdr:nvCxnSpPr>
        <xdr:cNvPr id="395" name="Straight Connector 394">
          <a:extLst>
            <a:ext uri="{FF2B5EF4-FFF2-40B4-BE49-F238E27FC236}">
              <a16:creationId xmlns:a16="http://schemas.microsoft.com/office/drawing/2014/main" id="{8263A59B-96FD-4743-95CF-4D03429E78A7}"/>
            </a:ext>
          </a:extLst>
        </xdr:cNvPr>
        <xdr:cNvCxnSpPr/>
      </xdr:nvCxnSpPr>
      <xdr:spPr>
        <a:xfrm flipV="1">
          <a:off x="6973231" y="97070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58081</xdr:colOff>
      <xdr:row>55</xdr:row>
      <xdr:rowOff>4246</xdr:rowOff>
    </xdr:from>
    <xdr:to>
      <xdr:col>14</xdr:col>
      <xdr:colOff>562028</xdr:colOff>
      <xdr:row>55</xdr:row>
      <xdr:rowOff>5564</xdr:rowOff>
    </xdr:to>
    <xdr:cxnSp macro="">
      <xdr:nvCxnSpPr>
        <xdr:cNvPr id="396" name="Straight Connector 395">
          <a:extLst>
            <a:ext uri="{FF2B5EF4-FFF2-40B4-BE49-F238E27FC236}">
              <a16:creationId xmlns:a16="http://schemas.microsoft.com/office/drawing/2014/main" id="{107C7AA5-C478-4977-80EA-47F451455290}"/>
            </a:ext>
          </a:extLst>
        </xdr:cNvPr>
        <xdr:cNvCxnSpPr/>
      </xdr:nvCxnSpPr>
      <xdr:spPr>
        <a:xfrm flipV="1">
          <a:off x="8192431" y="97070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58081</xdr:colOff>
      <xdr:row>55</xdr:row>
      <xdr:rowOff>4246</xdr:rowOff>
    </xdr:from>
    <xdr:to>
      <xdr:col>16</xdr:col>
      <xdr:colOff>562028</xdr:colOff>
      <xdr:row>55</xdr:row>
      <xdr:rowOff>5564</xdr:rowOff>
    </xdr:to>
    <xdr:cxnSp macro="">
      <xdr:nvCxnSpPr>
        <xdr:cNvPr id="397" name="Straight Connector 396">
          <a:extLst>
            <a:ext uri="{FF2B5EF4-FFF2-40B4-BE49-F238E27FC236}">
              <a16:creationId xmlns:a16="http://schemas.microsoft.com/office/drawing/2014/main" id="{D7DD1900-A27F-4B0D-8F68-BF8F8AB2C16B}"/>
            </a:ext>
          </a:extLst>
        </xdr:cNvPr>
        <xdr:cNvCxnSpPr/>
      </xdr:nvCxnSpPr>
      <xdr:spPr>
        <a:xfrm flipV="1">
          <a:off x="9411631" y="97070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58081</xdr:colOff>
      <xdr:row>55</xdr:row>
      <xdr:rowOff>4246</xdr:rowOff>
    </xdr:from>
    <xdr:to>
      <xdr:col>18</xdr:col>
      <xdr:colOff>562028</xdr:colOff>
      <xdr:row>55</xdr:row>
      <xdr:rowOff>5564</xdr:rowOff>
    </xdr:to>
    <xdr:cxnSp macro="">
      <xdr:nvCxnSpPr>
        <xdr:cNvPr id="398" name="Straight Connector 397">
          <a:extLst>
            <a:ext uri="{FF2B5EF4-FFF2-40B4-BE49-F238E27FC236}">
              <a16:creationId xmlns:a16="http://schemas.microsoft.com/office/drawing/2014/main" id="{76080F8B-448C-40D1-B9B1-D9D696FE0FF3}"/>
            </a:ext>
          </a:extLst>
        </xdr:cNvPr>
        <xdr:cNvCxnSpPr/>
      </xdr:nvCxnSpPr>
      <xdr:spPr>
        <a:xfrm flipV="1">
          <a:off x="10630831" y="97070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58081</xdr:colOff>
      <xdr:row>55</xdr:row>
      <xdr:rowOff>4246</xdr:rowOff>
    </xdr:from>
    <xdr:to>
      <xdr:col>20</xdr:col>
      <xdr:colOff>562028</xdr:colOff>
      <xdr:row>55</xdr:row>
      <xdr:rowOff>5564</xdr:rowOff>
    </xdr:to>
    <xdr:cxnSp macro="">
      <xdr:nvCxnSpPr>
        <xdr:cNvPr id="399" name="Straight Connector 398">
          <a:extLst>
            <a:ext uri="{FF2B5EF4-FFF2-40B4-BE49-F238E27FC236}">
              <a16:creationId xmlns:a16="http://schemas.microsoft.com/office/drawing/2014/main" id="{1F89E12E-08AA-405E-9B76-CE3A057B9DB4}"/>
            </a:ext>
          </a:extLst>
        </xdr:cNvPr>
        <xdr:cNvCxnSpPr/>
      </xdr:nvCxnSpPr>
      <xdr:spPr>
        <a:xfrm flipV="1">
          <a:off x="11850031" y="97070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69448</xdr:colOff>
      <xdr:row>20</xdr:row>
      <xdr:rowOff>166161</xdr:rowOff>
    </xdr:from>
    <xdr:to>
      <xdr:col>26</xdr:col>
      <xdr:colOff>709528</xdr:colOff>
      <xdr:row>20</xdr:row>
      <xdr:rowOff>166161</xdr:rowOff>
    </xdr:to>
    <xdr:cxnSp macro="">
      <xdr:nvCxnSpPr>
        <xdr:cNvPr id="400" name="Straight Connector 399">
          <a:extLst>
            <a:ext uri="{FF2B5EF4-FFF2-40B4-BE49-F238E27FC236}">
              <a16:creationId xmlns:a16="http://schemas.microsoft.com/office/drawing/2014/main" id="{BBE60A1E-163F-40B6-8199-4AA8B00B691F}"/>
            </a:ext>
          </a:extLst>
        </xdr:cNvPr>
        <xdr:cNvCxnSpPr/>
      </xdr:nvCxnSpPr>
      <xdr:spPr>
        <a:xfrm>
          <a:off x="16738198" y="3703111"/>
          <a:ext cx="5765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69448</xdr:colOff>
      <xdr:row>20</xdr:row>
      <xdr:rowOff>166161</xdr:rowOff>
    </xdr:from>
    <xdr:to>
      <xdr:col>26</xdr:col>
      <xdr:colOff>709528</xdr:colOff>
      <xdr:row>20</xdr:row>
      <xdr:rowOff>166161</xdr:rowOff>
    </xdr:to>
    <xdr:cxnSp macro="">
      <xdr:nvCxnSpPr>
        <xdr:cNvPr id="401" name="Straight Connector 400">
          <a:extLst>
            <a:ext uri="{FF2B5EF4-FFF2-40B4-BE49-F238E27FC236}">
              <a16:creationId xmlns:a16="http://schemas.microsoft.com/office/drawing/2014/main" id="{51595BF2-A15F-470F-AFDB-8544B71DAF3D}"/>
            </a:ext>
          </a:extLst>
        </xdr:cNvPr>
        <xdr:cNvCxnSpPr/>
      </xdr:nvCxnSpPr>
      <xdr:spPr>
        <a:xfrm>
          <a:off x="16738198" y="3703111"/>
          <a:ext cx="5765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71627</xdr:colOff>
      <xdr:row>34</xdr:row>
      <xdr:rowOff>164113</xdr:rowOff>
    </xdr:from>
    <xdr:to>
      <xdr:col>26</xdr:col>
      <xdr:colOff>711707</xdr:colOff>
      <xdr:row>34</xdr:row>
      <xdr:rowOff>164113</xdr:rowOff>
    </xdr:to>
    <xdr:cxnSp macro="">
      <xdr:nvCxnSpPr>
        <xdr:cNvPr id="402" name="Straight Connector 401">
          <a:extLst>
            <a:ext uri="{FF2B5EF4-FFF2-40B4-BE49-F238E27FC236}">
              <a16:creationId xmlns:a16="http://schemas.microsoft.com/office/drawing/2014/main" id="{F6D5CDCB-69F8-45F6-9A77-720274DB3954}"/>
            </a:ext>
          </a:extLst>
        </xdr:cNvPr>
        <xdr:cNvCxnSpPr/>
      </xdr:nvCxnSpPr>
      <xdr:spPr>
        <a:xfrm>
          <a:off x="16740377" y="6291863"/>
          <a:ext cx="5765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81638</xdr:colOff>
      <xdr:row>11</xdr:row>
      <xdr:rowOff>169534</xdr:rowOff>
    </xdr:from>
    <xdr:to>
      <xdr:col>20</xdr:col>
      <xdr:colOff>585586</xdr:colOff>
      <xdr:row>11</xdr:row>
      <xdr:rowOff>170691</xdr:rowOff>
    </xdr:to>
    <xdr:cxnSp macro="">
      <xdr:nvCxnSpPr>
        <xdr:cNvPr id="403" name="Straight Connector 402">
          <a:extLst>
            <a:ext uri="{FF2B5EF4-FFF2-40B4-BE49-F238E27FC236}">
              <a16:creationId xmlns:a16="http://schemas.microsoft.com/office/drawing/2014/main" id="{D51D4B36-E40C-4FD7-B63D-F3D202C46E45}"/>
            </a:ext>
          </a:extLst>
        </xdr:cNvPr>
        <xdr:cNvCxnSpPr/>
      </xdr:nvCxnSpPr>
      <xdr:spPr>
        <a:xfrm flipV="1">
          <a:off x="11873588" y="217613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74332</xdr:colOff>
      <xdr:row>64</xdr:row>
      <xdr:rowOff>159393</xdr:rowOff>
    </xdr:from>
    <xdr:to>
      <xdr:col>25</xdr:col>
      <xdr:colOff>714412</xdr:colOff>
      <xdr:row>64</xdr:row>
      <xdr:rowOff>159393</xdr:rowOff>
    </xdr:to>
    <xdr:cxnSp macro="">
      <xdr:nvCxnSpPr>
        <xdr:cNvPr id="404" name="Straight Connector 403">
          <a:extLst>
            <a:ext uri="{FF2B5EF4-FFF2-40B4-BE49-F238E27FC236}">
              <a16:creationId xmlns:a16="http://schemas.microsoft.com/office/drawing/2014/main" id="{1509DC1E-F902-4A6A-B2F5-D2378E05C9D9}"/>
            </a:ext>
          </a:extLst>
        </xdr:cNvPr>
        <xdr:cNvCxnSpPr/>
      </xdr:nvCxnSpPr>
      <xdr:spPr>
        <a:xfrm>
          <a:off x="15981082" y="11398893"/>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55843</xdr:colOff>
      <xdr:row>26</xdr:row>
      <xdr:rowOff>139492</xdr:rowOff>
    </xdr:from>
    <xdr:to>
      <xdr:col>4</xdr:col>
      <xdr:colOff>541946</xdr:colOff>
      <xdr:row>26</xdr:row>
      <xdr:rowOff>139492</xdr:rowOff>
    </xdr:to>
    <xdr:cxnSp macro="">
      <xdr:nvCxnSpPr>
        <xdr:cNvPr id="405" name="Straight Connector 404">
          <a:extLst>
            <a:ext uri="{FF2B5EF4-FFF2-40B4-BE49-F238E27FC236}">
              <a16:creationId xmlns:a16="http://schemas.microsoft.com/office/drawing/2014/main" id="{5D8320A2-403F-4399-A6FC-8559B9E1CC3C}"/>
            </a:ext>
          </a:extLst>
        </xdr:cNvPr>
        <xdr:cNvCxnSpPr/>
      </xdr:nvCxnSpPr>
      <xdr:spPr>
        <a:xfrm>
          <a:off x="2773643" y="4781342"/>
          <a:ext cx="486103"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55843</xdr:colOff>
      <xdr:row>32</xdr:row>
      <xdr:rowOff>169413</xdr:rowOff>
    </xdr:from>
    <xdr:to>
      <xdr:col>4</xdr:col>
      <xdr:colOff>541946</xdr:colOff>
      <xdr:row>32</xdr:row>
      <xdr:rowOff>169413</xdr:rowOff>
    </xdr:to>
    <xdr:cxnSp macro="">
      <xdr:nvCxnSpPr>
        <xdr:cNvPr id="406" name="Straight Connector 405">
          <a:extLst>
            <a:ext uri="{FF2B5EF4-FFF2-40B4-BE49-F238E27FC236}">
              <a16:creationId xmlns:a16="http://schemas.microsoft.com/office/drawing/2014/main" id="{91F89B5B-E5E4-4F29-A6DD-E531BEE2B568}"/>
            </a:ext>
          </a:extLst>
        </xdr:cNvPr>
        <xdr:cNvCxnSpPr/>
      </xdr:nvCxnSpPr>
      <xdr:spPr>
        <a:xfrm>
          <a:off x="2773643" y="5928863"/>
          <a:ext cx="486103"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55843</xdr:colOff>
      <xdr:row>33</xdr:row>
      <xdr:rowOff>167269</xdr:rowOff>
    </xdr:from>
    <xdr:to>
      <xdr:col>4</xdr:col>
      <xdr:colOff>541946</xdr:colOff>
      <xdr:row>33</xdr:row>
      <xdr:rowOff>167269</xdr:rowOff>
    </xdr:to>
    <xdr:cxnSp macro="">
      <xdr:nvCxnSpPr>
        <xdr:cNvPr id="407" name="Straight Connector 406">
          <a:extLst>
            <a:ext uri="{FF2B5EF4-FFF2-40B4-BE49-F238E27FC236}">
              <a16:creationId xmlns:a16="http://schemas.microsoft.com/office/drawing/2014/main" id="{CDD798B5-81CF-4097-BDAB-44D6B161CB92}"/>
            </a:ext>
          </a:extLst>
        </xdr:cNvPr>
        <xdr:cNvCxnSpPr/>
      </xdr:nvCxnSpPr>
      <xdr:spPr>
        <a:xfrm>
          <a:off x="2773643" y="6110869"/>
          <a:ext cx="486103"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25099</xdr:colOff>
      <xdr:row>38</xdr:row>
      <xdr:rowOff>175830</xdr:rowOff>
    </xdr:from>
    <xdr:to>
      <xdr:col>2</xdr:col>
      <xdr:colOff>665179</xdr:colOff>
      <xdr:row>38</xdr:row>
      <xdr:rowOff>175830</xdr:rowOff>
    </xdr:to>
    <xdr:cxnSp macro="">
      <xdr:nvCxnSpPr>
        <xdr:cNvPr id="408" name="Straight Connector 407">
          <a:extLst>
            <a:ext uri="{FF2B5EF4-FFF2-40B4-BE49-F238E27FC236}">
              <a16:creationId xmlns:a16="http://schemas.microsoft.com/office/drawing/2014/main" id="{0FCE1D67-56B7-43C9-93ED-B8D6EB70F4F7}"/>
            </a:ext>
          </a:extLst>
        </xdr:cNvPr>
        <xdr:cNvCxnSpPr/>
      </xdr:nvCxnSpPr>
      <xdr:spPr>
        <a:xfrm>
          <a:off x="1244299" y="6900480"/>
          <a:ext cx="58293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26112</xdr:colOff>
      <xdr:row>38</xdr:row>
      <xdr:rowOff>170983</xdr:rowOff>
    </xdr:from>
    <xdr:to>
      <xdr:col>3</xdr:col>
      <xdr:colOff>593040</xdr:colOff>
      <xdr:row>38</xdr:row>
      <xdr:rowOff>170983</xdr:rowOff>
    </xdr:to>
    <xdr:cxnSp macro="">
      <xdr:nvCxnSpPr>
        <xdr:cNvPr id="409" name="Straight Connector 408">
          <a:extLst>
            <a:ext uri="{FF2B5EF4-FFF2-40B4-BE49-F238E27FC236}">
              <a16:creationId xmlns:a16="http://schemas.microsoft.com/office/drawing/2014/main" id="{45C06ED7-6FC5-4929-9D3C-E81ACF211925}"/>
            </a:ext>
          </a:extLst>
        </xdr:cNvPr>
        <xdr:cNvCxnSpPr/>
      </xdr:nvCxnSpPr>
      <xdr:spPr>
        <a:xfrm>
          <a:off x="1854912" y="6895633"/>
          <a:ext cx="566928"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22202</xdr:colOff>
      <xdr:row>38</xdr:row>
      <xdr:rowOff>170983</xdr:rowOff>
    </xdr:from>
    <xdr:to>
      <xdr:col>4</xdr:col>
      <xdr:colOff>589130</xdr:colOff>
      <xdr:row>38</xdr:row>
      <xdr:rowOff>170983</xdr:rowOff>
    </xdr:to>
    <xdr:cxnSp macro="">
      <xdr:nvCxnSpPr>
        <xdr:cNvPr id="410" name="Straight Connector 409">
          <a:extLst>
            <a:ext uri="{FF2B5EF4-FFF2-40B4-BE49-F238E27FC236}">
              <a16:creationId xmlns:a16="http://schemas.microsoft.com/office/drawing/2014/main" id="{B43C7A3D-8698-4F47-B459-9DA1C2098434}"/>
            </a:ext>
          </a:extLst>
        </xdr:cNvPr>
        <xdr:cNvCxnSpPr/>
      </xdr:nvCxnSpPr>
      <xdr:spPr>
        <a:xfrm>
          <a:off x="2740002" y="6895633"/>
          <a:ext cx="516128"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30719</xdr:colOff>
      <xdr:row>65</xdr:row>
      <xdr:rowOff>145082</xdr:rowOff>
    </xdr:from>
    <xdr:to>
      <xdr:col>2</xdr:col>
      <xdr:colOff>670799</xdr:colOff>
      <xdr:row>65</xdr:row>
      <xdr:rowOff>145082</xdr:rowOff>
    </xdr:to>
    <xdr:cxnSp macro="">
      <xdr:nvCxnSpPr>
        <xdr:cNvPr id="411" name="Straight Connector 410">
          <a:extLst>
            <a:ext uri="{FF2B5EF4-FFF2-40B4-BE49-F238E27FC236}">
              <a16:creationId xmlns:a16="http://schemas.microsoft.com/office/drawing/2014/main" id="{3416CCA2-9C9D-44C9-95AF-CADCE69D692F}"/>
            </a:ext>
          </a:extLst>
        </xdr:cNvPr>
        <xdr:cNvCxnSpPr/>
      </xdr:nvCxnSpPr>
      <xdr:spPr>
        <a:xfrm>
          <a:off x="1249919" y="11568732"/>
          <a:ext cx="5765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26112</xdr:colOff>
      <xdr:row>65</xdr:row>
      <xdr:rowOff>145082</xdr:rowOff>
    </xdr:from>
    <xdr:to>
      <xdr:col>3</xdr:col>
      <xdr:colOff>593040</xdr:colOff>
      <xdr:row>65</xdr:row>
      <xdr:rowOff>145082</xdr:rowOff>
    </xdr:to>
    <xdr:cxnSp macro="">
      <xdr:nvCxnSpPr>
        <xdr:cNvPr id="412" name="Straight Connector 411">
          <a:extLst>
            <a:ext uri="{FF2B5EF4-FFF2-40B4-BE49-F238E27FC236}">
              <a16:creationId xmlns:a16="http://schemas.microsoft.com/office/drawing/2014/main" id="{69D02626-43D3-4BEB-ACF4-3BC0043B8F1A}"/>
            </a:ext>
          </a:extLst>
        </xdr:cNvPr>
        <xdr:cNvCxnSpPr/>
      </xdr:nvCxnSpPr>
      <xdr:spPr>
        <a:xfrm>
          <a:off x="1854912" y="11568732"/>
          <a:ext cx="566928"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22202</xdr:colOff>
      <xdr:row>65</xdr:row>
      <xdr:rowOff>145082</xdr:rowOff>
    </xdr:from>
    <xdr:to>
      <xdr:col>4</xdr:col>
      <xdr:colOff>589130</xdr:colOff>
      <xdr:row>65</xdr:row>
      <xdr:rowOff>145082</xdr:rowOff>
    </xdr:to>
    <xdr:cxnSp macro="">
      <xdr:nvCxnSpPr>
        <xdr:cNvPr id="413" name="Straight Connector 412">
          <a:extLst>
            <a:ext uri="{FF2B5EF4-FFF2-40B4-BE49-F238E27FC236}">
              <a16:creationId xmlns:a16="http://schemas.microsoft.com/office/drawing/2014/main" id="{55B56AFA-54C9-4A3B-82DC-01893DA66FDA}"/>
            </a:ext>
          </a:extLst>
        </xdr:cNvPr>
        <xdr:cNvCxnSpPr/>
      </xdr:nvCxnSpPr>
      <xdr:spPr>
        <a:xfrm>
          <a:off x="2740002" y="11568732"/>
          <a:ext cx="516128"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81981</xdr:colOff>
      <xdr:row>11</xdr:row>
      <xdr:rowOff>169534</xdr:rowOff>
    </xdr:from>
    <xdr:to>
      <xdr:col>10</xdr:col>
      <xdr:colOff>585928</xdr:colOff>
      <xdr:row>11</xdr:row>
      <xdr:rowOff>170691</xdr:rowOff>
    </xdr:to>
    <xdr:cxnSp macro="">
      <xdr:nvCxnSpPr>
        <xdr:cNvPr id="414" name="Straight Connector 413">
          <a:extLst>
            <a:ext uri="{FF2B5EF4-FFF2-40B4-BE49-F238E27FC236}">
              <a16:creationId xmlns:a16="http://schemas.microsoft.com/office/drawing/2014/main" id="{62CE09FB-D41D-452F-B034-CBA6B5308C68}"/>
            </a:ext>
          </a:extLst>
        </xdr:cNvPr>
        <xdr:cNvCxnSpPr/>
      </xdr:nvCxnSpPr>
      <xdr:spPr>
        <a:xfrm flipV="1">
          <a:off x="5777931" y="2176134"/>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84473</xdr:colOff>
      <xdr:row>11</xdr:row>
      <xdr:rowOff>169534</xdr:rowOff>
    </xdr:from>
    <xdr:to>
      <xdr:col>12</xdr:col>
      <xdr:colOff>588420</xdr:colOff>
      <xdr:row>11</xdr:row>
      <xdr:rowOff>170691</xdr:rowOff>
    </xdr:to>
    <xdr:cxnSp macro="">
      <xdr:nvCxnSpPr>
        <xdr:cNvPr id="415" name="Straight Connector 414">
          <a:extLst>
            <a:ext uri="{FF2B5EF4-FFF2-40B4-BE49-F238E27FC236}">
              <a16:creationId xmlns:a16="http://schemas.microsoft.com/office/drawing/2014/main" id="{F0AA2C9D-D49D-4DFB-937E-5E9E4ECDD303}"/>
            </a:ext>
          </a:extLst>
        </xdr:cNvPr>
        <xdr:cNvCxnSpPr/>
      </xdr:nvCxnSpPr>
      <xdr:spPr>
        <a:xfrm flipV="1">
          <a:off x="6999623" y="2176134"/>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82797</xdr:colOff>
      <xdr:row>11</xdr:row>
      <xdr:rowOff>169534</xdr:rowOff>
    </xdr:from>
    <xdr:to>
      <xdr:col>14</xdr:col>
      <xdr:colOff>586744</xdr:colOff>
      <xdr:row>11</xdr:row>
      <xdr:rowOff>170691</xdr:rowOff>
    </xdr:to>
    <xdr:cxnSp macro="">
      <xdr:nvCxnSpPr>
        <xdr:cNvPr id="416" name="Straight Connector 415">
          <a:extLst>
            <a:ext uri="{FF2B5EF4-FFF2-40B4-BE49-F238E27FC236}">
              <a16:creationId xmlns:a16="http://schemas.microsoft.com/office/drawing/2014/main" id="{B825FAB8-4CA3-49AF-A6AA-A7579A529098}"/>
            </a:ext>
          </a:extLst>
        </xdr:cNvPr>
        <xdr:cNvCxnSpPr/>
      </xdr:nvCxnSpPr>
      <xdr:spPr>
        <a:xfrm flipV="1">
          <a:off x="8217147" y="2176134"/>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77421</xdr:colOff>
      <xdr:row>11</xdr:row>
      <xdr:rowOff>169534</xdr:rowOff>
    </xdr:from>
    <xdr:to>
      <xdr:col>16</xdr:col>
      <xdr:colOff>581369</xdr:colOff>
      <xdr:row>11</xdr:row>
      <xdr:rowOff>170691</xdr:rowOff>
    </xdr:to>
    <xdr:cxnSp macro="">
      <xdr:nvCxnSpPr>
        <xdr:cNvPr id="417" name="Straight Connector 416">
          <a:extLst>
            <a:ext uri="{FF2B5EF4-FFF2-40B4-BE49-F238E27FC236}">
              <a16:creationId xmlns:a16="http://schemas.microsoft.com/office/drawing/2014/main" id="{23BBAB0F-1FF3-4035-9C60-CEE1CC069EDB}"/>
            </a:ext>
          </a:extLst>
        </xdr:cNvPr>
        <xdr:cNvCxnSpPr/>
      </xdr:nvCxnSpPr>
      <xdr:spPr>
        <a:xfrm flipV="1">
          <a:off x="9430971" y="217613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81638</xdr:colOff>
      <xdr:row>11</xdr:row>
      <xdr:rowOff>169534</xdr:rowOff>
    </xdr:from>
    <xdr:to>
      <xdr:col>18</xdr:col>
      <xdr:colOff>585586</xdr:colOff>
      <xdr:row>11</xdr:row>
      <xdr:rowOff>170691</xdr:rowOff>
    </xdr:to>
    <xdr:cxnSp macro="">
      <xdr:nvCxnSpPr>
        <xdr:cNvPr id="418" name="Straight Connector 417">
          <a:extLst>
            <a:ext uri="{FF2B5EF4-FFF2-40B4-BE49-F238E27FC236}">
              <a16:creationId xmlns:a16="http://schemas.microsoft.com/office/drawing/2014/main" id="{70910119-D681-4A19-996D-00F1DD35FDDF}"/>
            </a:ext>
          </a:extLst>
        </xdr:cNvPr>
        <xdr:cNvCxnSpPr/>
      </xdr:nvCxnSpPr>
      <xdr:spPr>
        <a:xfrm flipV="1">
          <a:off x="10654388" y="217613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81505</xdr:colOff>
      <xdr:row>11</xdr:row>
      <xdr:rowOff>169534</xdr:rowOff>
    </xdr:from>
    <xdr:to>
      <xdr:col>20</xdr:col>
      <xdr:colOff>585453</xdr:colOff>
      <xdr:row>11</xdr:row>
      <xdr:rowOff>170691</xdr:rowOff>
    </xdr:to>
    <xdr:cxnSp macro="">
      <xdr:nvCxnSpPr>
        <xdr:cNvPr id="419" name="Straight Connector 418">
          <a:extLst>
            <a:ext uri="{FF2B5EF4-FFF2-40B4-BE49-F238E27FC236}">
              <a16:creationId xmlns:a16="http://schemas.microsoft.com/office/drawing/2014/main" id="{7DDD0412-288E-4A0B-818C-777C363C1538}"/>
            </a:ext>
          </a:extLst>
        </xdr:cNvPr>
        <xdr:cNvCxnSpPr/>
      </xdr:nvCxnSpPr>
      <xdr:spPr>
        <a:xfrm flipV="1">
          <a:off x="11873455" y="217613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81981</xdr:colOff>
      <xdr:row>13</xdr:row>
      <xdr:rowOff>154837</xdr:rowOff>
    </xdr:from>
    <xdr:to>
      <xdr:col>10</xdr:col>
      <xdr:colOff>585928</xdr:colOff>
      <xdr:row>13</xdr:row>
      <xdr:rowOff>155994</xdr:rowOff>
    </xdr:to>
    <xdr:cxnSp macro="">
      <xdr:nvCxnSpPr>
        <xdr:cNvPr id="420" name="Straight Connector 419">
          <a:extLst>
            <a:ext uri="{FF2B5EF4-FFF2-40B4-BE49-F238E27FC236}">
              <a16:creationId xmlns:a16="http://schemas.microsoft.com/office/drawing/2014/main" id="{622FA781-F23F-4FB9-8933-F14C5F34972A}"/>
            </a:ext>
          </a:extLst>
        </xdr:cNvPr>
        <xdr:cNvCxnSpPr/>
      </xdr:nvCxnSpPr>
      <xdr:spPr>
        <a:xfrm flipV="1">
          <a:off x="5777931" y="253608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84473</xdr:colOff>
      <xdr:row>13</xdr:row>
      <xdr:rowOff>154837</xdr:rowOff>
    </xdr:from>
    <xdr:to>
      <xdr:col>12</xdr:col>
      <xdr:colOff>588420</xdr:colOff>
      <xdr:row>13</xdr:row>
      <xdr:rowOff>155994</xdr:rowOff>
    </xdr:to>
    <xdr:cxnSp macro="">
      <xdr:nvCxnSpPr>
        <xdr:cNvPr id="421" name="Straight Connector 420">
          <a:extLst>
            <a:ext uri="{FF2B5EF4-FFF2-40B4-BE49-F238E27FC236}">
              <a16:creationId xmlns:a16="http://schemas.microsoft.com/office/drawing/2014/main" id="{A6C870E9-7B81-46BB-8B77-EFB3ED664B24}"/>
            </a:ext>
          </a:extLst>
        </xdr:cNvPr>
        <xdr:cNvCxnSpPr/>
      </xdr:nvCxnSpPr>
      <xdr:spPr>
        <a:xfrm flipV="1">
          <a:off x="6999623" y="253608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82797</xdr:colOff>
      <xdr:row>13</xdr:row>
      <xdr:rowOff>154837</xdr:rowOff>
    </xdr:from>
    <xdr:to>
      <xdr:col>14</xdr:col>
      <xdr:colOff>586744</xdr:colOff>
      <xdr:row>13</xdr:row>
      <xdr:rowOff>155994</xdr:rowOff>
    </xdr:to>
    <xdr:cxnSp macro="">
      <xdr:nvCxnSpPr>
        <xdr:cNvPr id="422" name="Straight Connector 421">
          <a:extLst>
            <a:ext uri="{FF2B5EF4-FFF2-40B4-BE49-F238E27FC236}">
              <a16:creationId xmlns:a16="http://schemas.microsoft.com/office/drawing/2014/main" id="{06AC55C8-4E7E-4716-A8B8-58AB2136A239}"/>
            </a:ext>
          </a:extLst>
        </xdr:cNvPr>
        <xdr:cNvCxnSpPr/>
      </xdr:nvCxnSpPr>
      <xdr:spPr>
        <a:xfrm flipV="1">
          <a:off x="8217147" y="253608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92541</xdr:colOff>
      <xdr:row>13</xdr:row>
      <xdr:rowOff>154837</xdr:rowOff>
    </xdr:from>
    <xdr:to>
      <xdr:col>16</xdr:col>
      <xdr:colOff>596489</xdr:colOff>
      <xdr:row>13</xdr:row>
      <xdr:rowOff>155994</xdr:rowOff>
    </xdr:to>
    <xdr:cxnSp macro="">
      <xdr:nvCxnSpPr>
        <xdr:cNvPr id="423" name="Straight Connector 422">
          <a:extLst>
            <a:ext uri="{FF2B5EF4-FFF2-40B4-BE49-F238E27FC236}">
              <a16:creationId xmlns:a16="http://schemas.microsoft.com/office/drawing/2014/main" id="{AE42DB96-8AD2-43F1-A73B-3FC9F3809EA3}"/>
            </a:ext>
          </a:extLst>
        </xdr:cNvPr>
        <xdr:cNvCxnSpPr/>
      </xdr:nvCxnSpPr>
      <xdr:spPr>
        <a:xfrm flipV="1">
          <a:off x="9446091" y="2536087"/>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81638</xdr:colOff>
      <xdr:row>13</xdr:row>
      <xdr:rowOff>154837</xdr:rowOff>
    </xdr:from>
    <xdr:to>
      <xdr:col>18</xdr:col>
      <xdr:colOff>585586</xdr:colOff>
      <xdr:row>13</xdr:row>
      <xdr:rowOff>155994</xdr:rowOff>
    </xdr:to>
    <xdr:cxnSp macro="">
      <xdr:nvCxnSpPr>
        <xdr:cNvPr id="424" name="Straight Connector 423">
          <a:extLst>
            <a:ext uri="{FF2B5EF4-FFF2-40B4-BE49-F238E27FC236}">
              <a16:creationId xmlns:a16="http://schemas.microsoft.com/office/drawing/2014/main" id="{12F542EE-3144-491B-85D6-069C0EF3A9A9}"/>
            </a:ext>
          </a:extLst>
        </xdr:cNvPr>
        <xdr:cNvCxnSpPr/>
      </xdr:nvCxnSpPr>
      <xdr:spPr>
        <a:xfrm flipV="1">
          <a:off x="10654388" y="2536087"/>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81505</xdr:colOff>
      <xdr:row>13</xdr:row>
      <xdr:rowOff>154837</xdr:rowOff>
    </xdr:from>
    <xdr:to>
      <xdr:col>20</xdr:col>
      <xdr:colOff>585453</xdr:colOff>
      <xdr:row>13</xdr:row>
      <xdr:rowOff>155994</xdr:rowOff>
    </xdr:to>
    <xdr:cxnSp macro="">
      <xdr:nvCxnSpPr>
        <xdr:cNvPr id="425" name="Straight Connector 424">
          <a:extLst>
            <a:ext uri="{FF2B5EF4-FFF2-40B4-BE49-F238E27FC236}">
              <a16:creationId xmlns:a16="http://schemas.microsoft.com/office/drawing/2014/main" id="{85EC7437-B2D9-4FBB-983D-BC0B97377337}"/>
            </a:ext>
          </a:extLst>
        </xdr:cNvPr>
        <xdr:cNvCxnSpPr/>
      </xdr:nvCxnSpPr>
      <xdr:spPr>
        <a:xfrm flipV="1">
          <a:off x="11873455" y="2536087"/>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81981</xdr:colOff>
      <xdr:row>16</xdr:row>
      <xdr:rowOff>158334</xdr:rowOff>
    </xdr:from>
    <xdr:to>
      <xdr:col>10</xdr:col>
      <xdr:colOff>585928</xdr:colOff>
      <xdr:row>16</xdr:row>
      <xdr:rowOff>159491</xdr:rowOff>
    </xdr:to>
    <xdr:cxnSp macro="">
      <xdr:nvCxnSpPr>
        <xdr:cNvPr id="426" name="Straight Connector 425">
          <a:extLst>
            <a:ext uri="{FF2B5EF4-FFF2-40B4-BE49-F238E27FC236}">
              <a16:creationId xmlns:a16="http://schemas.microsoft.com/office/drawing/2014/main" id="{0349840B-A285-4E53-9E19-C5C28AAF71FE}"/>
            </a:ext>
          </a:extLst>
        </xdr:cNvPr>
        <xdr:cNvCxnSpPr/>
      </xdr:nvCxnSpPr>
      <xdr:spPr>
        <a:xfrm flipV="1">
          <a:off x="5777931" y="3092034"/>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84473</xdr:colOff>
      <xdr:row>16</xdr:row>
      <xdr:rowOff>158334</xdr:rowOff>
    </xdr:from>
    <xdr:to>
      <xdr:col>12</xdr:col>
      <xdr:colOff>588420</xdr:colOff>
      <xdr:row>16</xdr:row>
      <xdr:rowOff>159491</xdr:rowOff>
    </xdr:to>
    <xdr:cxnSp macro="">
      <xdr:nvCxnSpPr>
        <xdr:cNvPr id="427" name="Straight Connector 426">
          <a:extLst>
            <a:ext uri="{FF2B5EF4-FFF2-40B4-BE49-F238E27FC236}">
              <a16:creationId xmlns:a16="http://schemas.microsoft.com/office/drawing/2014/main" id="{86F3F38F-CD7D-486E-9DBB-822F1824DF03}"/>
            </a:ext>
          </a:extLst>
        </xdr:cNvPr>
        <xdr:cNvCxnSpPr/>
      </xdr:nvCxnSpPr>
      <xdr:spPr>
        <a:xfrm flipV="1">
          <a:off x="6999623" y="3092034"/>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82797</xdr:colOff>
      <xdr:row>16</xdr:row>
      <xdr:rowOff>158334</xdr:rowOff>
    </xdr:from>
    <xdr:to>
      <xdr:col>14</xdr:col>
      <xdr:colOff>586744</xdr:colOff>
      <xdr:row>16</xdr:row>
      <xdr:rowOff>159491</xdr:rowOff>
    </xdr:to>
    <xdr:cxnSp macro="">
      <xdr:nvCxnSpPr>
        <xdr:cNvPr id="428" name="Straight Connector 427">
          <a:extLst>
            <a:ext uri="{FF2B5EF4-FFF2-40B4-BE49-F238E27FC236}">
              <a16:creationId xmlns:a16="http://schemas.microsoft.com/office/drawing/2014/main" id="{60980608-4FFC-460A-9BD5-2C959496C601}"/>
            </a:ext>
          </a:extLst>
        </xdr:cNvPr>
        <xdr:cNvCxnSpPr/>
      </xdr:nvCxnSpPr>
      <xdr:spPr>
        <a:xfrm flipV="1">
          <a:off x="8217147" y="3092034"/>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75886</xdr:colOff>
      <xdr:row>16</xdr:row>
      <xdr:rowOff>158334</xdr:rowOff>
    </xdr:from>
    <xdr:to>
      <xdr:col>16</xdr:col>
      <xdr:colOff>579834</xdr:colOff>
      <xdr:row>16</xdr:row>
      <xdr:rowOff>159491</xdr:rowOff>
    </xdr:to>
    <xdr:cxnSp macro="">
      <xdr:nvCxnSpPr>
        <xdr:cNvPr id="429" name="Straight Connector 428">
          <a:extLst>
            <a:ext uri="{FF2B5EF4-FFF2-40B4-BE49-F238E27FC236}">
              <a16:creationId xmlns:a16="http://schemas.microsoft.com/office/drawing/2014/main" id="{BE401BCB-16FB-497C-AAFC-285486A96A15}"/>
            </a:ext>
          </a:extLst>
        </xdr:cNvPr>
        <xdr:cNvCxnSpPr/>
      </xdr:nvCxnSpPr>
      <xdr:spPr>
        <a:xfrm flipV="1">
          <a:off x="9429436" y="309203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81638</xdr:colOff>
      <xdr:row>16</xdr:row>
      <xdr:rowOff>158334</xdr:rowOff>
    </xdr:from>
    <xdr:to>
      <xdr:col>18</xdr:col>
      <xdr:colOff>585586</xdr:colOff>
      <xdr:row>16</xdr:row>
      <xdr:rowOff>159491</xdr:rowOff>
    </xdr:to>
    <xdr:cxnSp macro="">
      <xdr:nvCxnSpPr>
        <xdr:cNvPr id="430" name="Straight Connector 429">
          <a:extLst>
            <a:ext uri="{FF2B5EF4-FFF2-40B4-BE49-F238E27FC236}">
              <a16:creationId xmlns:a16="http://schemas.microsoft.com/office/drawing/2014/main" id="{89BA8A98-2B30-4346-94AE-DB0BDF854B7E}"/>
            </a:ext>
          </a:extLst>
        </xdr:cNvPr>
        <xdr:cNvCxnSpPr/>
      </xdr:nvCxnSpPr>
      <xdr:spPr>
        <a:xfrm flipV="1">
          <a:off x="10654388" y="309203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81505</xdr:colOff>
      <xdr:row>16</xdr:row>
      <xdr:rowOff>158334</xdr:rowOff>
    </xdr:from>
    <xdr:to>
      <xdr:col>20</xdr:col>
      <xdr:colOff>585453</xdr:colOff>
      <xdr:row>16</xdr:row>
      <xdr:rowOff>159491</xdr:rowOff>
    </xdr:to>
    <xdr:cxnSp macro="">
      <xdr:nvCxnSpPr>
        <xdr:cNvPr id="431" name="Straight Connector 430">
          <a:extLst>
            <a:ext uri="{FF2B5EF4-FFF2-40B4-BE49-F238E27FC236}">
              <a16:creationId xmlns:a16="http://schemas.microsoft.com/office/drawing/2014/main" id="{1DEE88EC-5AE8-4DA8-B2EC-92F5A43CA482}"/>
            </a:ext>
          </a:extLst>
        </xdr:cNvPr>
        <xdr:cNvCxnSpPr/>
      </xdr:nvCxnSpPr>
      <xdr:spPr>
        <a:xfrm flipV="1">
          <a:off x="11873455" y="309203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81981</xdr:colOff>
      <xdr:row>18</xdr:row>
      <xdr:rowOff>166215</xdr:rowOff>
    </xdr:from>
    <xdr:to>
      <xdr:col>10</xdr:col>
      <xdr:colOff>585928</xdr:colOff>
      <xdr:row>18</xdr:row>
      <xdr:rowOff>167372</xdr:rowOff>
    </xdr:to>
    <xdr:cxnSp macro="">
      <xdr:nvCxnSpPr>
        <xdr:cNvPr id="432" name="Straight Connector 431">
          <a:extLst>
            <a:ext uri="{FF2B5EF4-FFF2-40B4-BE49-F238E27FC236}">
              <a16:creationId xmlns:a16="http://schemas.microsoft.com/office/drawing/2014/main" id="{F7C6B98C-3EF2-4EA5-8A92-9C79B33A2151}"/>
            </a:ext>
          </a:extLst>
        </xdr:cNvPr>
        <xdr:cNvCxnSpPr/>
      </xdr:nvCxnSpPr>
      <xdr:spPr>
        <a:xfrm flipV="1">
          <a:off x="5777931" y="346821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84473</xdr:colOff>
      <xdr:row>18</xdr:row>
      <xdr:rowOff>166215</xdr:rowOff>
    </xdr:from>
    <xdr:to>
      <xdr:col>12</xdr:col>
      <xdr:colOff>588420</xdr:colOff>
      <xdr:row>18</xdr:row>
      <xdr:rowOff>167372</xdr:rowOff>
    </xdr:to>
    <xdr:cxnSp macro="">
      <xdr:nvCxnSpPr>
        <xdr:cNvPr id="433" name="Straight Connector 432">
          <a:extLst>
            <a:ext uri="{FF2B5EF4-FFF2-40B4-BE49-F238E27FC236}">
              <a16:creationId xmlns:a16="http://schemas.microsoft.com/office/drawing/2014/main" id="{0CF0B753-1091-4547-8E6E-EC80A4819513}"/>
            </a:ext>
          </a:extLst>
        </xdr:cNvPr>
        <xdr:cNvCxnSpPr/>
      </xdr:nvCxnSpPr>
      <xdr:spPr>
        <a:xfrm flipV="1">
          <a:off x="6999623" y="346821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82797</xdr:colOff>
      <xdr:row>18</xdr:row>
      <xdr:rowOff>166215</xdr:rowOff>
    </xdr:from>
    <xdr:to>
      <xdr:col>14</xdr:col>
      <xdr:colOff>586744</xdr:colOff>
      <xdr:row>18</xdr:row>
      <xdr:rowOff>167372</xdr:rowOff>
    </xdr:to>
    <xdr:cxnSp macro="">
      <xdr:nvCxnSpPr>
        <xdr:cNvPr id="434" name="Straight Connector 433">
          <a:extLst>
            <a:ext uri="{FF2B5EF4-FFF2-40B4-BE49-F238E27FC236}">
              <a16:creationId xmlns:a16="http://schemas.microsoft.com/office/drawing/2014/main" id="{23F328E4-C299-4D4B-BCE6-67C748D4A2E8}"/>
            </a:ext>
          </a:extLst>
        </xdr:cNvPr>
        <xdr:cNvCxnSpPr/>
      </xdr:nvCxnSpPr>
      <xdr:spPr>
        <a:xfrm flipV="1">
          <a:off x="8217147" y="346821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92941</xdr:colOff>
      <xdr:row>18</xdr:row>
      <xdr:rowOff>166215</xdr:rowOff>
    </xdr:from>
    <xdr:to>
      <xdr:col>16</xdr:col>
      <xdr:colOff>596889</xdr:colOff>
      <xdr:row>18</xdr:row>
      <xdr:rowOff>167372</xdr:rowOff>
    </xdr:to>
    <xdr:cxnSp macro="">
      <xdr:nvCxnSpPr>
        <xdr:cNvPr id="435" name="Straight Connector 434">
          <a:extLst>
            <a:ext uri="{FF2B5EF4-FFF2-40B4-BE49-F238E27FC236}">
              <a16:creationId xmlns:a16="http://schemas.microsoft.com/office/drawing/2014/main" id="{AED19603-BCF1-4459-9997-ABC5A306E411}"/>
            </a:ext>
          </a:extLst>
        </xdr:cNvPr>
        <xdr:cNvCxnSpPr/>
      </xdr:nvCxnSpPr>
      <xdr:spPr>
        <a:xfrm flipV="1">
          <a:off x="9446491" y="3468215"/>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81638</xdr:colOff>
      <xdr:row>18</xdr:row>
      <xdr:rowOff>166215</xdr:rowOff>
    </xdr:from>
    <xdr:to>
      <xdr:col>18</xdr:col>
      <xdr:colOff>585586</xdr:colOff>
      <xdr:row>18</xdr:row>
      <xdr:rowOff>167372</xdr:rowOff>
    </xdr:to>
    <xdr:cxnSp macro="">
      <xdr:nvCxnSpPr>
        <xdr:cNvPr id="436" name="Straight Connector 435">
          <a:extLst>
            <a:ext uri="{FF2B5EF4-FFF2-40B4-BE49-F238E27FC236}">
              <a16:creationId xmlns:a16="http://schemas.microsoft.com/office/drawing/2014/main" id="{E3F7B527-FC54-42CA-BD67-468A658047BB}"/>
            </a:ext>
          </a:extLst>
        </xdr:cNvPr>
        <xdr:cNvCxnSpPr/>
      </xdr:nvCxnSpPr>
      <xdr:spPr>
        <a:xfrm flipV="1">
          <a:off x="10654388" y="3468215"/>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81505</xdr:colOff>
      <xdr:row>18</xdr:row>
      <xdr:rowOff>166215</xdr:rowOff>
    </xdr:from>
    <xdr:to>
      <xdr:col>20</xdr:col>
      <xdr:colOff>585453</xdr:colOff>
      <xdr:row>18</xdr:row>
      <xdr:rowOff>167372</xdr:rowOff>
    </xdr:to>
    <xdr:cxnSp macro="">
      <xdr:nvCxnSpPr>
        <xdr:cNvPr id="437" name="Straight Connector 436">
          <a:extLst>
            <a:ext uri="{FF2B5EF4-FFF2-40B4-BE49-F238E27FC236}">
              <a16:creationId xmlns:a16="http://schemas.microsoft.com/office/drawing/2014/main" id="{F480F6E0-ABB8-4B4E-8F99-C7F0A5F73659}"/>
            </a:ext>
          </a:extLst>
        </xdr:cNvPr>
        <xdr:cNvCxnSpPr/>
      </xdr:nvCxnSpPr>
      <xdr:spPr>
        <a:xfrm flipV="1">
          <a:off x="11873455" y="3468215"/>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96981</xdr:colOff>
      <xdr:row>23</xdr:row>
      <xdr:rowOff>152197</xdr:rowOff>
    </xdr:from>
    <xdr:to>
      <xdr:col>10</xdr:col>
      <xdr:colOff>600928</xdr:colOff>
      <xdr:row>23</xdr:row>
      <xdr:rowOff>153354</xdr:rowOff>
    </xdr:to>
    <xdr:cxnSp macro="">
      <xdr:nvCxnSpPr>
        <xdr:cNvPr id="438" name="Straight Connector 437">
          <a:extLst>
            <a:ext uri="{FF2B5EF4-FFF2-40B4-BE49-F238E27FC236}">
              <a16:creationId xmlns:a16="http://schemas.microsoft.com/office/drawing/2014/main" id="{A68D06C9-92A0-4F2F-9F5B-57B23913E51F}"/>
            </a:ext>
          </a:extLst>
        </xdr:cNvPr>
        <xdr:cNvCxnSpPr/>
      </xdr:nvCxnSpPr>
      <xdr:spPr>
        <a:xfrm flipV="1">
          <a:off x="5792931" y="424159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99035</xdr:colOff>
      <xdr:row>23</xdr:row>
      <xdr:rowOff>152197</xdr:rowOff>
    </xdr:from>
    <xdr:to>
      <xdr:col>12</xdr:col>
      <xdr:colOff>603858</xdr:colOff>
      <xdr:row>23</xdr:row>
      <xdr:rowOff>153354</xdr:rowOff>
    </xdr:to>
    <xdr:cxnSp macro="">
      <xdr:nvCxnSpPr>
        <xdr:cNvPr id="439" name="Straight Connector 438">
          <a:extLst>
            <a:ext uri="{FF2B5EF4-FFF2-40B4-BE49-F238E27FC236}">
              <a16:creationId xmlns:a16="http://schemas.microsoft.com/office/drawing/2014/main" id="{E18FE711-F111-4DBD-8EAC-6D6A6F515399}"/>
            </a:ext>
          </a:extLst>
        </xdr:cNvPr>
        <xdr:cNvCxnSpPr/>
      </xdr:nvCxnSpPr>
      <xdr:spPr>
        <a:xfrm flipV="1">
          <a:off x="7014185" y="4241597"/>
          <a:ext cx="1114423"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97360</xdr:colOff>
      <xdr:row>23</xdr:row>
      <xdr:rowOff>152197</xdr:rowOff>
    </xdr:from>
    <xdr:to>
      <xdr:col>14</xdr:col>
      <xdr:colOff>602182</xdr:colOff>
      <xdr:row>23</xdr:row>
      <xdr:rowOff>153354</xdr:rowOff>
    </xdr:to>
    <xdr:cxnSp macro="">
      <xdr:nvCxnSpPr>
        <xdr:cNvPr id="440" name="Straight Connector 439">
          <a:extLst>
            <a:ext uri="{FF2B5EF4-FFF2-40B4-BE49-F238E27FC236}">
              <a16:creationId xmlns:a16="http://schemas.microsoft.com/office/drawing/2014/main" id="{8E7FB044-2C36-47DF-8DBF-85F9BDCD9316}"/>
            </a:ext>
          </a:extLst>
        </xdr:cNvPr>
        <xdr:cNvCxnSpPr/>
      </xdr:nvCxnSpPr>
      <xdr:spPr>
        <a:xfrm flipV="1">
          <a:off x="8231710" y="4241597"/>
          <a:ext cx="1114422"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107963</xdr:colOff>
      <xdr:row>23</xdr:row>
      <xdr:rowOff>152197</xdr:rowOff>
    </xdr:from>
    <xdr:to>
      <xdr:col>17</xdr:col>
      <xdr:colOff>1866</xdr:colOff>
      <xdr:row>23</xdr:row>
      <xdr:rowOff>153354</xdr:rowOff>
    </xdr:to>
    <xdr:cxnSp macro="">
      <xdr:nvCxnSpPr>
        <xdr:cNvPr id="441" name="Straight Connector 440">
          <a:extLst>
            <a:ext uri="{FF2B5EF4-FFF2-40B4-BE49-F238E27FC236}">
              <a16:creationId xmlns:a16="http://schemas.microsoft.com/office/drawing/2014/main" id="{A64583FD-0A7C-4BE9-9470-1397CA6C5F34}"/>
            </a:ext>
          </a:extLst>
        </xdr:cNvPr>
        <xdr:cNvCxnSpPr/>
      </xdr:nvCxnSpPr>
      <xdr:spPr>
        <a:xfrm flipV="1">
          <a:off x="9461513" y="4241597"/>
          <a:ext cx="1113103"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96661</xdr:colOff>
      <xdr:row>23</xdr:row>
      <xdr:rowOff>152197</xdr:rowOff>
    </xdr:from>
    <xdr:to>
      <xdr:col>18</xdr:col>
      <xdr:colOff>600563</xdr:colOff>
      <xdr:row>23</xdr:row>
      <xdr:rowOff>153354</xdr:rowOff>
    </xdr:to>
    <xdr:cxnSp macro="">
      <xdr:nvCxnSpPr>
        <xdr:cNvPr id="442" name="Straight Connector 441">
          <a:extLst>
            <a:ext uri="{FF2B5EF4-FFF2-40B4-BE49-F238E27FC236}">
              <a16:creationId xmlns:a16="http://schemas.microsoft.com/office/drawing/2014/main" id="{7B40FF90-2ADA-4DA7-B707-E880478CC656}"/>
            </a:ext>
          </a:extLst>
        </xdr:cNvPr>
        <xdr:cNvCxnSpPr/>
      </xdr:nvCxnSpPr>
      <xdr:spPr>
        <a:xfrm flipV="1">
          <a:off x="10669411" y="4241597"/>
          <a:ext cx="1113502"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81527</xdr:colOff>
      <xdr:row>23</xdr:row>
      <xdr:rowOff>152197</xdr:rowOff>
    </xdr:from>
    <xdr:to>
      <xdr:col>20</xdr:col>
      <xdr:colOff>585430</xdr:colOff>
      <xdr:row>23</xdr:row>
      <xdr:rowOff>153354</xdr:rowOff>
    </xdr:to>
    <xdr:cxnSp macro="">
      <xdr:nvCxnSpPr>
        <xdr:cNvPr id="443" name="Straight Connector 442">
          <a:extLst>
            <a:ext uri="{FF2B5EF4-FFF2-40B4-BE49-F238E27FC236}">
              <a16:creationId xmlns:a16="http://schemas.microsoft.com/office/drawing/2014/main" id="{78A9EAC4-B17A-4E38-AAEC-5402935FCA8F}"/>
            </a:ext>
          </a:extLst>
        </xdr:cNvPr>
        <xdr:cNvCxnSpPr/>
      </xdr:nvCxnSpPr>
      <xdr:spPr>
        <a:xfrm flipV="1">
          <a:off x="11873477" y="4241597"/>
          <a:ext cx="1113503"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81981</xdr:colOff>
      <xdr:row>24</xdr:row>
      <xdr:rowOff>191437</xdr:rowOff>
    </xdr:from>
    <xdr:to>
      <xdr:col>10</xdr:col>
      <xdr:colOff>585928</xdr:colOff>
      <xdr:row>24</xdr:row>
      <xdr:rowOff>192594</xdr:rowOff>
    </xdr:to>
    <xdr:cxnSp macro="">
      <xdr:nvCxnSpPr>
        <xdr:cNvPr id="444" name="Straight Connector 443">
          <a:extLst>
            <a:ext uri="{FF2B5EF4-FFF2-40B4-BE49-F238E27FC236}">
              <a16:creationId xmlns:a16="http://schemas.microsoft.com/office/drawing/2014/main" id="{7CC407C0-B133-421E-BAFC-581736F83439}"/>
            </a:ext>
          </a:extLst>
        </xdr:cNvPr>
        <xdr:cNvCxnSpPr/>
      </xdr:nvCxnSpPr>
      <xdr:spPr>
        <a:xfrm flipV="1">
          <a:off x="5777931" y="445863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84473</xdr:colOff>
      <xdr:row>24</xdr:row>
      <xdr:rowOff>191437</xdr:rowOff>
    </xdr:from>
    <xdr:to>
      <xdr:col>12</xdr:col>
      <xdr:colOff>588420</xdr:colOff>
      <xdr:row>24</xdr:row>
      <xdr:rowOff>192594</xdr:rowOff>
    </xdr:to>
    <xdr:cxnSp macro="">
      <xdr:nvCxnSpPr>
        <xdr:cNvPr id="445" name="Straight Connector 444">
          <a:extLst>
            <a:ext uri="{FF2B5EF4-FFF2-40B4-BE49-F238E27FC236}">
              <a16:creationId xmlns:a16="http://schemas.microsoft.com/office/drawing/2014/main" id="{5C26E08A-69CB-4A1B-B61E-60853B6A9C7A}"/>
            </a:ext>
          </a:extLst>
        </xdr:cNvPr>
        <xdr:cNvCxnSpPr/>
      </xdr:nvCxnSpPr>
      <xdr:spPr>
        <a:xfrm flipV="1">
          <a:off x="6999623" y="445863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82797</xdr:colOff>
      <xdr:row>24</xdr:row>
      <xdr:rowOff>191437</xdr:rowOff>
    </xdr:from>
    <xdr:to>
      <xdr:col>14</xdr:col>
      <xdr:colOff>586744</xdr:colOff>
      <xdr:row>24</xdr:row>
      <xdr:rowOff>192594</xdr:rowOff>
    </xdr:to>
    <xdr:cxnSp macro="">
      <xdr:nvCxnSpPr>
        <xdr:cNvPr id="446" name="Straight Connector 445">
          <a:extLst>
            <a:ext uri="{FF2B5EF4-FFF2-40B4-BE49-F238E27FC236}">
              <a16:creationId xmlns:a16="http://schemas.microsoft.com/office/drawing/2014/main" id="{1C7A5150-999B-444C-A326-2D17C6E08FFA}"/>
            </a:ext>
          </a:extLst>
        </xdr:cNvPr>
        <xdr:cNvCxnSpPr/>
      </xdr:nvCxnSpPr>
      <xdr:spPr>
        <a:xfrm flipV="1">
          <a:off x="8217147" y="445863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92941</xdr:colOff>
      <xdr:row>24</xdr:row>
      <xdr:rowOff>191437</xdr:rowOff>
    </xdr:from>
    <xdr:to>
      <xdr:col>16</xdr:col>
      <xdr:colOff>596889</xdr:colOff>
      <xdr:row>24</xdr:row>
      <xdr:rowOff>192594</xdr:rowOff>
    </xdr:to>
    <xdr:cxnSp macro="">
      <xdr:nvCxnSpPr>
        <xdr:cNvPr id="447" name="Straight Connector 446">
          <a:extLst>
            <a:ext uri="{FF2B5EF4-FFF2-40B4-BE49-F238E27FC236}">
              <a16:creationId xmlns:a16="http://schemas.microsoft.com/office/drawing/2014/main" id="{A58FED71-604E-4AD5-8D49-0113CA9E1114}"/>
            </a:ext>
          </a:extLst>
        </xdr:cNvPr>
        <xdr:cNvCxnSpPr/>
      </xdr:nvCxnSpPr>
      <xdr:spPr>
        <a:xfrm flipV="1">
          <a:off x="9446491" y="4458637"/>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81638</xdr:colOff>
      <xdr:row>24</xdr:row>
      <xdr:rowOff>191437</xdr:rowOff>
    </xdr:from>
    <xdr:to>
      <xdr:col>18</xdr:col>
      <xdr:colOff>585586</xdr:colOff>
      <xdr:row>24</xdr:row>
      <xdr:rowOff>192594</xdr:rowOff>
    </xdr:to>
    <xdr:cxnSp macro="">
      <xdr:nvCxnSpPr>
        <xdr:cNvPr id="448" name="Straight Connector 447">
          <a:extLst>
            <a:ext uri="{FF2B5EF4-FFF2-40B4-BE49-F238E27FC236}">
              <a16:creationId xmlns:a16="http://schemas.microsoft.com/office/drawing/2014/main" id="{12B020DB-4079-4E36-890E-8185B04C8696}"/>
            </a:ext>
          </a:extLst>
        </xdr:cNvPr>
        <xdr:cNvCxnSpPr/>
      </xdr:nvCxnSpPr>
      <xdr:spPr>
        <a:xfrm flipV="1">
          <a:off x="10654388" y="4458637"/>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81505</xdr:colOff>
      <xdr:row>24</xdr:row>
      <xdr:rowOff>191437</xdr:rowOff>
    </xdr:from>
    <xdr:to>
      <xdr:col>20</xdr:col>
      <xdr:colOff>585453</xdr:colOff>
      <xdr:row>24</xdr:row>
      <xdr:rowOff>192594</xdr:rowOff>
    </xdr:to>
    <xdr:cxnSp macro="">
      <xdr:nvCxnSpPr>
        <xdr:cNvPr id="449" name="Straight Connector 448">
          <a:extLst>
            <a:ext uri="{FF2B5EF4-FFF2-40B4-BE49-F238E27FC236}">
              <a16:creationId xmlns:a16="http://schemas.microsoft.com/office/drawing/2014/main" id="{A9882F3C-262C-4B8F-B955-17D8C384A6F8}"/>
            </a:ext>
          </a:extLst>
        </xdr:cNvPr>
        <xdr:cNvCxnSpPr/>
      </xdr:nvCxnSpPr>
      <xdr:spPr>
        <a:xfrm flipV="1">
          <a:off x="11873455" y="4458637"/>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81981</xdr:colOff>
      <xdr:row>25</xdr:row>
      <xdr:rowOff>5545</xdr:rowOff>
    </xdr:from>
    <xdr:to>
      <xdr:col>10</xdr:col>
      <xdr:colOff>585928</xdr:colOff>
      <xdr:row>25</xdr:row>
      <xdr:rowOff>6702</xdr:rowOff>
    </xdr:to>
    <xdr:cxnSp macro="">
      <xdr:nvCxnSpPr>
        <xdr:cNvPr id="450" name="Straight Connector 449">
          <a:extLst>
            <a:ext uri="{FF2B5EF4-FFF2-40B4-BE49-F238E27FC236}">
              <a16:creationId xmlns:a16="http://schemas.microsoft.com/office/drawing/2014/main" id="{150568C2-6E7C-4D0D-9830-510950138CD2}"/>
            </a:ext>
          </a:extLst>
        </xdr:cNvPr>
        <xdr:cNvCxnSpPr/>
      </xdr:nvCxnSpPr>
      <xdr:spPr>
        <a:xfrm flipV="1">
          <a:off x="5777931" y="446324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84473</xdr:colOff>
      <xdr:row>25</xdr:row>
      <xdr:rowOff>5545</xdr:rowOff>
    </xdr:from>
    <xdr:to>
      <xdr:col>12</xdr:col>
      <xdr:colOff>588420</xdr:colOff>
      <xdr:row>25</xdr:row>
      <xdr:rowOff>6702</xdr:rowOff>
    </xdr:to>
    <xdr:cxnSp macro="">
      <xdr:nvCxnSpPr>
        <xdr:cNvPr id="451" name="Straight Connector 450">
          <a:extLst>
            <a:ext uri="{FF2B5EF4-FFF2-40B4-BE49-F238E27FC236}">
              <a16:creationId xmlns:a16="http://schemas.microsoft.com/office/drawing/2014/main" id="{9847752B-9172-4A64-A75B-F5039A68EA2E}"/>
            </a:ext>
          </a:extLst>
        </xdr:cNvPr>
        <xdr:cNvCxnSpPr/>
      </xdr:nvCxnSpPr>
      <xdr:spPr>
        <a:xfrm flipV="1">
          <a:off x="6999623" y="446324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82797</xdr:colOff>
      <xdr:row>25</xdr:row>
      <xdr:rowOff>5545</xdr:rowOff>
    </xdr:from>
    <xdr:to>
      <xdr:col>14</xdr:col>
      <xdr:colOff>586744</xdr:colOff>
      <xdr:row>25</xdr:row>
      <xdr:rowOff>6702</xdr:rowOff>
    </xdr:to>
    <xdr:cxnSp macro="">
      <xdr:nvCxnSpPr>
        <xdr:cNvPr id="452" name="Straight Connector 451">
          <a:extLst>
            <a:ext uri="{FF2B5EF4-FFF2-40B4-BE49-F238E27FC236}">
              <a16:creationId xmlns:a16="http://schemas.microsoft.com/office/drawing/2014/main" id="{D25BDB77-260C-4453-A866-0B21EA8D8DC1}"/>
            </a:ext>
          </a:extLst>
        </xdr:cNvPr>
        <xdr:cNvCxnSpPr/>
      </xdr:nvCxnSpPr>
      <xdr:spPr>
        <a:xfrm flipV="1">
          <a:off x="8217147" y="446324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92941</xdr:colOff>
      <xdr:row>25</xdr:row>
      <xdr:rowOff>5545</xdr:rowOff>
    </xdr:from>
    <xdr:to>
      <xdr:col>16</xdr:col>
      <xdr:colOff>596889</xdr:colOff>
      <xdr:row>25</xdr:row>
      <xdr:rowOff>6702</xdr:rowOff>
    </xdr:to>
    <xdr:cxnSp macro="">
      <xdr:nvCxnSpPr>
        <xdr:cNvPr id="453" name="Straight Connector 452">
          <a:extLst>
            <a:ext uri="{FF2B5EF4-FFF2-40B4-BE49-F238E27FC236}">
              <a16:creationId xmlns:a16="http://schemas.microsoft.com/office/drawing/2014/main" id="{33AC2FAB-C372-4BA1-875A-250751F0C592}"/>
            </a:ext>
          </a:extLst>
        </xdr:cNvPr>
        <xdr:cNvCxnSpPr/>
      </xdr:nvCxnSpPr>
      <xdr:spPr>
        <a:xfrm flipV="1">
          <a:off x="9446491" y="4463245"/>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81638</xdr:colOff>
      <xdr:row>25</xdr:row>
      <xdr:rowOff>5545</xdr:rowOff>
    </xdr:from>
    <xdr:to>
      <xdr:col>18</xdr:col>
      <xdr:colOff>585586</xdr:colOff>
      <xdr:row>25</xdr:row>
      <xdr:rowOff>6702</xdr:rowOff>
    </xdr:to>
    <xdr:cxnSp macro="">
      <xdr:nvCxnSpPr>
        <xdr:cNvPr id="454" name="Straight Connector 453">
          <a:extLst>
            <a:ext uri="{FF2B5EF4-FFF2-40B4-BE49-F238E27FC236}">
              <a16:creationId xmlns:a16="http://schemas.microsoft.com/office/drawing/2014/main" id="{024458E6-C1EF-4068-8CF5-9A44BE0ECC4B}"/>
            </a:ext>
          </a:extLst>
        </xdr:cNvPr>
        <xdr:cNvCxnSpPr/>
      </xdr:nvCxnSpPr>
      <xdr:spPr>
        <a:xfrm flipV="1">
          <a:off x="10654388" y="4463245"/>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81505</xdr:colOff>
      <xdr:row>25</xdr:row>
      <xdr:rowOff>5545</xdr:rowOff>
    </xdr:from>
    <xdr:to>
      <xdr:col>20</xdr:col>
      <xdr:colOff>585453</xdr:colOff>
      <xdr:row>25</xdr:row>
      <xdr:rowOff>6702</xdr:rowOff>
    </xdr:to>
    <xdr:cxnSp macro="">
      <xdr:nvCxnSpPr>
        <xdr:cNvPr id="455" name="Straight Connector 454">
          <a:extLst>
            <a:ext uri="{FF2B5EF4-FFF2-40B4-BE49-F238E27FC236}">
              <a16:creationId xmlns:a16="http://schemas.microsoft.com/office/drawing/2014/main" id="{F0FCB079-1F34-47C9-9F63-D4EB586EA632}"/>
            </a:ext>
          </a:extLst>
        </xdr:cNvPr>
        <xdr:cNvCxnSpPr/>
      </xdr:nvCxnSpPr>
      <xdr:spPr>
        <a:xfrm flipV="1">
          <a:off x="11873455" y="4463245"/>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66609</xdr:colOff>
      <xdr:row>10</xdr:row>
      <xdr:rowOff>179312</xdr:rowOff>
    </xdr:from>
    <xdr:to>
      <xdr:col>14</xdr:col>
      <xdr:colOff>581713</xdr:colOff>
      <xdr:row>10</xdr:row>
      <xdr:rowOff>179312</xdr:rowOff>
    </xdr:to>
    <xdr:cxnSp macro="">
      <xdr:nvCxnSpPr>
        <xdr:cNvPr id="456" name="Straight Connector 455">
          <a:extLst>
            <a:ext uri="{FF2B5EF4-FFF2-40B4-BE49-F238E27FC236}">
              <a16:creationId xmlns:a16="http://schemas.microsoft.com/office/drawing/2014/main" id="{318C6DF7-893D-498A-98A5-07AF744D30B4}"/>
            </a:ext>
          </a:extLst>
        </xdr:cNvPr>
        <xdr:cNvCxnSpPr/>
      </xdr:nvCxnSpPr>
      <xdr:spPr>
        <a:xfrm>
          <a:off x="5762559" y="2001762"/>
          <a:ext cx="3563104"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9641</xdr:colOff>
      <xdr:row>31</xdr:row>
      <xdr:rowOff>163361</xdr:rowOff>
    </xdr:from>
    <xdr:to>
      <xdr:col>21</xdr:col>
      <xdr:colOff>41413</xdr:colOff>
      <xdr:row>31</xdr:row>
      <xdr:rowOff>163361</xdr:rowOff>
    </xdr:to>
    <xdr:cxnSp macro="">
      <xdr:nvCxnSpPr>
        <xdr:cNvPr id="457" name="Straight Connector 456">
          <a:extLst>
            <a:ext uri="{FF2B5EF4-FFF2-40B4-BE49-F238E27FC236}">
              <a16:creationId xmlns:a16="http://schemas.microsoft.com/office/drawing/2014/main" id="{D7BAD6E3-C167-47B0-B022-751770152FEB}"/>
            </a:ext>
          </a:extLst>
        </xdr:cNvPr>
        <xdr:cNvCxnSpPr/>
      </xdr:nvCxnSpPr>
      <xdr:spPr>
        <a:xfrm>
          <a:off x="3876791" y="5732311"/>
          <a:ext cx="9175772" cy="0"/>
        </a:xfrm>
        <a:prstGeom prst="line">
          <a:avLst/>
        </a:prstGeom>
        <a:ln w="12700">
          <a:solidFill>
            <a:schemeClr val="bg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76881</xdr:colOff>
      <xdr:row>33</xdr:row>
      <xdr:rowOff>162327</xdr:rowOff>
    </xdr:from>
    <xdr:to>
      <xdr:col>10</xdr:col>
      <xdr:colOff>580828</xdr:colOff>
      <xdr:row>33</xdr:row>
      <xdr:rowOff>163484</xdr:rowOff>
    </xdr:to>
    <xdr:cxnSp macro="">
      <xdr:nvCxnSpPr>
        <xdr:cNvPr id="458" name="Straight Connector 457">
          <a:extLst>
            <a:ext uri="{FF2B5EF4-FFF2-40B4-BE49-F238E27FC236}">
              <a16:creationId xmlns:a16="http://schemas.microsoft.com/office/drawing/2014/main" id="{1365B677-113D-4E6C-9E54-A90E3D497D43}"/>
            </a:ext>
          </a:extLst>
        </xdr:cNvPr>
        <xdr:cNvCxnSpPr/>
      </xdr:nvCxnSpPr>
      <xdr:spPr>
        <a:xfrm flipV="1">
          <a:off x="5772831" y="610592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78935</xdr:colOff>
      <xdr:row>33</xdr:row>
      <xdr:rowOff>162327</xdr:rowOff>
    </xdr:from>
    <xdr:to>
      <xdr:col>12</xdr:col>
      <xdr:colOff>583758</xdr:colOff>
      <xdr:row>33</xdr:row>
      <xdr:rowOff>163484</xdr:rowOff>
    </xdr:to>
    <xdr:cxnSp macro="">
      <xdr:nvCxnSpPr>
        <xdr:cNvPr id="459" name="Straight Connector 458">
          <a:extLst>
            <a:ext uri="{FF2B5EF4-FFF2-40B4-BE49-F238E27FC236}">
              <a16:creationId xmlns:a16="http://schemas.microsoft.com/office/drawing/2014/main" id="{F3FD9291-D9C0-41BA-AE05-6A12A81A5702}"/>
            </a:ext>
          </a:extLst>
        </xdr:cNvPr>
        <xdr:cNvCxnSpPr/>
      </xdr:nvCxnSpPr>
      <xdr:spPr>
        <a:xfrm flipV="1">
          <a:off x="6994085" y="6105927"/>
          <a:ext cx="1114423"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77260</xdr:colOff>
      <xdr:row>33</xdr:row>
      <xdr:rowOff>162327</xdr:rowOff>
    </xdr:from>
    <xdr:to>
      <xdr:col>14</xdr:col>
      <xdr:colOff>582082</xdr:colOff>
      <xdr:row>33</xdr:row>
      <xdr:rowOff>163484</xdr:rowOff>
    </xdr:to>
    <xdr:cxnSp macro="">
      <xdr:nvCxnSpPr>
        <xdr:cNvPr id="460" name="Straight Connector 459">
          <a:extLst>
            <a:ext uri="{FF2B5EF4-FFF2-40B4-BE49-F238E27FC236}">
              <a16:creationId xmlns:a16="http://schemas.microsoft.com/office/drawing/2014/main" id="{5A54B133-B70A-4D73-9F81-48C1A39606AF}"/>
            </a:ext>
          </a:extLst>
        </xdr:cNvPr>
        <xdr:cNvCxnSpPr/>
      </xdr:nvCxnSpPr>
      <xdr:spPr>
        <a:xfrm flipV="1">
          <a:off x="8211610" y="6105927"/>
          <a:ext cx="1114422"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87863</xdr:colOff>
      <xdr:row>33</xdr:row>
      <xdr:rowOff>162327</xdr:rowOff>
    </xdr:from>
    <xdr:to>
      <xdr:col>16</xdr:col>
      <xdr:colOff>591766</xdr:colOff>
      <xdr:row>33</xdr:row>
      <xdr:rowOff>163484</xdr:rowOff>
    </xdr:to>
    <xdr:cxnSp macro="">
      <xdr:nvCxnSpPr>
        <xdr:cNvPr id="461" name="Straight Connector 460">
          <a:extLst>
            <a:ext uri="{FF2B5EF4-FFF2-40B4-BE49-F238E27FC236}">
              <a16:creationId xmlns:a16="http://schemas.microsoft.com/office/drawing/2014/main" id="{21AFAC32-65AF-4D86-8636-F15FE07A29BE}"/>
            </a:ext>
          </a:extLst>
        </xdr:cNvPr>
        <xdr:cNvCxnSpPr/>
      </xdr:nvCxnSpPr>
      <xdr:spPr>
        <a:xfrm flipV="1">
          <a:off x="9441413" y="6105927"/>
          <a:ext cx="1113503"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76561</xdr:colOff>
      <xdr:row>33</xdr:row>
      <xdr:rowOff>162327</xdr:rowOff>
    </xdr:from>
    <xdr:to>
      <xdr:col>18</xdr:col>
      <xdr:colOff>580463</xdr:colOff>
      <xdr:row>33</xdr:row>
      <xdr:rowOff>163484</xdr:rowOff>
    </xdr:to>
    <xdr:cxnSp macro="">
      <xdr:nvCxnSpPr>
        <xdr:cNvPr id="462" name="Straight Connector 461">
          <a:extLst>
            <a:ext uri="{FF2B5EF4-FFF2-40B4-BE49-F238E27FC236}">
              <a16:creationId xmlns:a16="http://schemas.microsoft.com/office/drawing/2014/main" id="{75E119B7-AF7C-41A8-A16D-C89ABF026424}"/>
            </a:ext>
          </a:extLst>
        </xdr:cNvPr>
        <xdr:cNvCxnSpPr/>
      </xdr:nvCxnSpPr>
      <xdr:spPr>
        <a:xfrm flipV="1">
          <a:off x="10649311" y="6105927"/>
          <a:ext cx="1113502"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61427</xdr:colOff>
      <xdr:row>33</xdr:row>
      <xdr:rowOff>162327</xdr:rowOff>
    </xdr:from>
    <xdr:to>
      <xdr:col>20</xdr:col>
      <xdr:colOff>565330</xdr:colOff>
      <xdr:row>33</xdr:row>
      <xdr:rowOff>163484</xdr:rowOff>
    </xdr:to>
    <xdr:cxnSp macro="">
      <xdr:nvCxnSpPr>
        <xdr:cNvPr id="463" name="Straight Connector 462">
          <a:extLst>
            <a:ext uri="{FF2B5EF4-FFF2-40B4-BE49-F238E27FC236}">
              <a16:creationId xmlns:a16="http://schemas.microsoft.com/office/drawing/2014/main" id="{A6FAF71E-68C2-4885-AE98-6655B78EBA5D}"/>
            </a:ext>
          </a:extLst>
        </xdr:cNvPr>
        <xdr:cNvCxnSpPr/>
      </xdr:nvCxnSpPr>
      <xdr:spPr>
        <a:xfrm flipV="1">
          <a:off x="11853377" y="6105927"/>
          <a:ext cx="1113503"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76881</xdr:colOff>
      <xdr:row>40</xdr:row>
      <xdr:rowOff>159727</xdr:rowOff>
    </xdr:from>
    <xdr:to>
      <xdr:col>10</xdr:col>
      <xdr:colOff>580828</xdr:colOff>
      <xdr:row>40</xdr:row>
      <xdr:rowOff>160884</xdr:rowOff>
    </xdr:to>
    <xdr:cxnSp macro="">
      <xdr:nvCxnSpPr>
        <xdr:cNvPr id="464" name="Straight Connector 463">
          <a:extLst>
            <a:ext uri="{FF2B5EF4-FFF2-40B4-BE49-F238E27FC236}">
              <a16:creationId xmlns:a16="http://schemas.microsoft.com/office/drawing/2014/main" id="{05871E11-FE0A-4826-BD7D-7347EEC3FBA3}"/>
            </a:ext>
          </a:extLst>
        </xdr:cNvPr>
        <xdr:cNvCxnSpPr/>
      </xdr:nvCxnSpPr>
      <xdr:spPr>
        <a:xfrm flipV="1">
          <a:off x="5772831" y="725267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78935</xdr:colOff>
      <xdr:row>40</xdr:row>
      <xdr:rowOff>159727</xdr:rowOff>
    </xdr:from>
    <xdr:to>
      <xdr:col>12</xdr:col>
      <xdr:colOff>583758</xdr:colOff>
      <xdr:row>40</xdr:row>
      <xdr:rowOff>160884</xdr:rowOff>
    </xdr:to>
    <xdr:cxnSp macro="">
      <xdr:nvCxnSpPr>
        <xdr:cNvPr id="465" name="Straight Connector 464">
          <a:extLst>
            <a:ext uri="{FF2B5EF4-FFF2-40B4-BE49-F238E27FC236}">
              <a16:creationId xmlns:a16="http://schemas.microsoft.com/office/drawing/2014/main" id="{378C7563-A4F2-4017-8844-96EB82392A08}"/>
            </a:ext>
          </a:extLst>
        </xdr:cNvPr>
        <xdr:cNvCxnSpPr/>
      </xdr:nvCxnSpPr>
      <xdr:spPr>
        <a:xfrm flipV="1">
          <a:off x="6994085" y="7252677"/>
          <a:ext cx="1114423"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77260</xdr:colOff>
      <xdr:row>40</xdr:row>
      <xdr:rowOff>159727</xdr:rowOff>
    </xdr:from>
    <xdr:to>
      <xdr:col>14</xdr:col>
      <xdr:colOff>582082</xdr:colOff>
      <xdr:row>40</xdr:row>
      <xdr:rowOff>160884</xdr:rowOff>
    </xdr:to>
    <xdr:cxnSp macro="">
      <xdr:nvCxnSpPr>
        <xdr:cNvPr id="466" name="Straight Connector 465">
          <a:extLst>
            <a:ext uri="{FF2B5EF4-FFF2-40B4-BE49-F238E27FC236}">
              <a16:creationId xmlns:a16="http://schemas.microsoft.com/office/drawing/2014/main" id="{1E793E83-1D33-41CB-9A07-91CA2DBDED1C}"/>
            </a:ext>
          </a:extLst>
        </xdr:cNvPr>
        <xdr:cNvCxnSpPr/>
      </xdr:nvCxnSpPr>
      <xdr:spPr>
        <a:xfrm flipV="1">
          <a:off x="8211610" y="7252677"/>
          <a:ext cx="1114422"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87863</xdr:colOff>
      <xdr:row>40</xdr:row>
      <xdr:rowOff>159727</xdr:rowOff>
    </xdr:from>
    <xdr:to>
      <xdr:col>16</xdr:col>
      <xdr:colOff>591766</xdr:colOff>
      <xdr:row>40</xdr:row>
      <xdr:rowOff>160884</xdr:rowOff>
    </xdr:to>
    <xdr:cxnSp macro="">
      <xdr:nvCxnSpPr>
        <xdr:cNvPr id="467" name="Straight Connector 466">
          <a:extLst>
            <a:ext uri="{FF2B5EF4-FFF2-40B4-BE49-F238E27FC236}">
              <a16:creationId xmlns:a16="http://schemas.microsoft.com/office/drawing/2014/main" id="{DCBC2BB4-7AAB-4C88-A87E-8B1D7E663189}"/>
            </a:ext>
          </a:extLst>
        </xdr:cNvPr>
        <xdr:cNvCxnSpPr/>
      </xdr:nvCxnSpPr>
      <xdr:spPr>
        <a:xfrm flipV="1">
          <a:off x="9441413" y="7252677"/>
          <a:ext cx="1113503"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76561</xdr:colOff>
      <xdr:row>40</xdr:row>
      <xdr:rowOff>159727</xdr:rowOff>
    </xdr:from>
    <xdr:to>
      <xdr:col>18</xdr:col>
      <xdr:colOff>580463</xdr:colOff>
      <xdr:row>40</xdr:row>
      <xdr:rowOff>160884</xdr:rowOff>
    </xdr:to>
    <xdr:cxnSp macro="">
      <xdr:nvCxnSpPr>
        <xdr:cNvPr id="468" name="Straight Connector 467">
          <a:extLst>
            <a:ext uri="{FF2B5EF4-FFF2-40B4-BE49-F238E27FC236}">
              <a16:creationId xmlns:a16="http://schemas.microsoft.com/office/drawing/2014/main" id="{3F07D8A4-7E38-48C5-8088-273D80C85ED0}"/>
            </a:ext>
          </a:extLst>
        </xdr:cNvPr>
        <xdr:cNvCxnSpPr/>
      </xdr:nvCxnSpPr>
      <xdr:spPr>
        <a:xfrm flipV="1">
          <a:off x="10649311" y="7252677"/>
          <a:ext cx="1113502"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61427</xdr:colOff>
      <xdr:row>40</xdr:row>
      <xdr:rowOff>159727</xdr:rowOff>
    </xdr:from>
    <xdr:to>
      <xdr:col>20</xdr:col>
      <xdr:colOff>565330</xdr:colOff>
      <xdr:row>40</xdr:row>
      <xdr:rowOff>160884</xdr:rowOff>
    </xdr:to>
    <xdr:cxnSp macro="">
      <xdr:nvCxnSpPr>
        <xdr:cNvPr id="469" name="Straight Connector 468">
          <a:extLst>
            <a:ext uri="{FF2B5EF4-FFF2-40B4-BE49-F238E27FC236}">
              <a16:creationId xmlns:a16="http://schemas.microsoft.com/office/drawing/2014/main" id="{1D7B48E3-B149-4524-A644-728447DD2612}"/>
            </a:ext>
          </a:extLst>
        </xdr:cNvPr>
        <xdr:cNvCxnSpPr/>
      </xdr:nvCxnSpPr>
      <xdr:spPr>
        <a:xfrm flipV="1">
          <a:off x="11853377" y="7252677"/>
          <a:ext cx="1113503"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58081</xdr:colOff>
      <xdr:row>44</xdr:row>
      <xdr:rowOff>162046</xdr:rowOff>
    </xdr:from>
    <xdr:to>
      <xdr:col>10</xdr:col>
      <xdr:colOff>562028</xdr:colOff>
      <xdr:row>44</xdr:row>
      <xdr:rowOff>163364</xdr:rowOff>
    </xdr:to>
    <xdr:cxnSp macro="">
      <xdr:nvCxnSpPr>
        <xdr:cNvPr id="470" name="Straight Connector 469">
          <a:extLst>
            <a:ext uri="{FF2B5EF4-FFF2-40B4-BE49-F238E27FC236}">
              <a16:creationId xmlns:a16="http://schemas.microsoft.com/office/drawing/2014/main" id="{83A96F6C-9A3D-41BF-8DBC-3C3AED942BEB}"/>
            </a:ext>
          </a:extLst>
        </xdr:cNvPr>
        <xdr:cNvCxnSpPr/>
      </xdr:nvCxnSpPr>
      <xdr:spPr>
        <a:xfrm flipV="1">
          <a:off x="5754031" y="79915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60135</xdr:colOff>
      <xdr:row>44</xdr:row>
      <xdr:rowOff>162046</xdr:rowOff>
    </xdr:from>
    <xdr:to>
      <xdr:col>12</xdr:col>
      <xdr:colOff>564958</xdr:colOff>
      <xdr:row>44</xdr:row>
      <xdr:rowOff>163364</xdr:rowOff>
    </xdr:to>
    <xdr:cxnSp macro="">
      <xdr:nvCxnSpPr>
        <xdr:cNvPr id="471" name="Straight Connector 470">
          <a:extLst>
            <a:ext uri="{FF2B5EF4-FFF2-40B4-BE49-F238E27FC236}">
              <a16:creationId xmlns:a16="http://schemas.microsoft.com/office/drawing/2014/main" id="{2053E5BD-ADA0-45E6-BB97-8E92B54FD82A}"/>
            </a:ext>
          </a:extLst>
        </xdr:cNvPr>
        <xdr:cNvCxnSpPr/>
      </xdr:nvCxnSpPr>
      <xdr:spPr>
        <a:xfrm flipV="1">
          <a:off x="6975285" y="7991596"/>
          <a:ext cx="1114423"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58460</xdr:colOff>
      <xdr:row>44</xdr:row>
      <xdr:rowOff>162046</xdr:rowOff>
    </xdr:from>
    <xdr:to>
      <xdr:col>14</xdr:col>
      <xdr:colOff>563282</xdr:colOff>
      <xdr:row>44</xdr:row>
      <xdr:rowOff>163364</xdr:rowOff>
    </xdr:to>
    <xdr:cxnSp macro="">
      <xdr:nvCxnSpPr>
        <xdr:cNvPr id="472" name="Straight Connector 471">
          <a:extLst>
            <a:ext uri="{FF2B5EF4-FFF2-40B4-BE49-F238E27FC236}">
              <a16:creationId xmlns:a16="http://schemas.microsoft.com/office/drawing/2014/main" id="{7947AF15-10F0-47AA-BA0B-BD01A89F65D1}"/>
            </a:ext>
          </a:extLst>
        </xdr:cNvPr>
        <xdr:cNvCxnSpPr/>
      </xdr:nvCxnSpPr>
      <xdr:spPr>
        <a:xfrm flipV="1">
          <a:off x="8192810" y="7991596"/>
          <a:ext cx="1114422"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69063</xdr:colOff>
      <xdr:row>44</xdr:row>
      <xdr:rowOff>162046</xdr:rowOff>
    </xdr:from>
    <xdr:to>
      <xdr:col>16</xdr:col>
      <xdr:colOff>572966</xdr:colOff>
      <xdr:row>44</xdr:row>
      <xdr:rowOff>163364</xdr:rowOff>
    </xdr:to>
    <xdr:cxnSp macro="">
      <xdr:nvCxnSpPr>
        <xdr:cNvPr id="473" name="Straight Connector 472">
          <a:extLst>
            <a:ext uri="{FF2B5EF4-FFF2-40B4-BE49-F238E27FC236}">
              <a16:creationId xmlns:a16="http://schemas.microsoft.com/office/drawing/2014/main" id="{A9E0862A-2066-4CB4-A345-16B97CF60255}"/>
            </a:ext>
          </a:extLst>
        </xdr:cNvPr>
        <xdr:cNvCxnSpPr/>
      </xdr:nvCxnSpPr>
      <xdr:spPr>
        <a:xfrm flipV="1">
          <a:off x="9422613" y="7991596"/>
          <a:ext cx="1113503"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57761</xdr:colOff>
      <xdr:row>44</xdr:row>
      <xdr:rowOff>162046</xdr:rowOff>
    </xdr:from>
    <xdr:to>
      <xdr:col>18</xdr:col>
      <xdr:colOff>561663</xdr:colOff>
      <xdr:row>44</xdr:row>
      <xdr:rowOff>163364</xdr:rowOff>
    </xdr:to>
    <xdr:cxnSp macro="">
      <xdr:nvCxnSpPr>
        <xdr:cNvPr id="474" name="Straight Connector 473">
          <a:extLst>
            <a:ext uri="{FF2B5EF4-FFF2-40B4-BE49-F238E27FC236}">
              <a16:creationId xmlns:a16="http://schemas.microsoft.com/office/drawing/2014/main" id="{E70427F1-3A98-4640-96BA-6039B475681E}"/>
            </a:ext>
          </a:extLst>
        </xdr:cNvPr>
        <xdr:cNvCxnSpPr/>
      </xdr:nvCxnSpPr>
      <xdr:spPr>
        <a:xfrm flipV="1">
          <a:off x="10630511" y="7991596"/>
          <a:ext cx="1113502"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42627</xdr:colOff>
      <xdr:row>44</xdr:row>
      <xdr:rowOff>162046</xdr:rowOff>
    </xdr:from>
    <xdr:to>
      <xdr:col>20</xdr:col>
      <xdr:colOff>546530</xdr:colOff>
      <xdr:row>44</xdr:row>
      <xdr:rowOff>163364</xdr:rowOff>
    </xdr:to>
    <xdr:cxnSp macro="">
      <xdr:nvCxnSpPr>
        <xdr:cNvPr id="475" name="Straight Connector 474">
          <a:extLst>
            <a:ext uri="{FF2B5EF4-FFF2-40B4-BE49-F238E27FC236}">
              <a16:creationId xmlns:a16="http://schemas.microsoft.com/office/drawing/2014/main" id="{30416E2B-C607-4750-86C4-2AEBB400C7DF}"/>
            </a:ext>
          </a:extLst>
        </xdr:cNvPr>
        <xdr:cNvCxnSpPr/>
      </xdr:nvCxnSpPr>
      <xdr:spPr>
        <a:xfrm flipV="1">
          <a:off x="11834577" y="7991596"/>
          <a:ext cx="1113503"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58081</xdr:colOff>
      <xdr:row>53</xdr:row>
      <xdr:rowOff>159446</xdr:rowOff>
    </xdr:from>
    <xdr:to>
      <xdr:col>10</xdr:col>
      <xdr:colOff>562028</xdr:colOff>
      <xdr:row>53</xdr:row>
      <xdr:rowOff>160764</xdr:rowOff>
    </xdr:to>
    <xdr:cxnSp macro="">
      <xdr:nvCxnSpPr>
        <xdr:cNvPr id="476" name="Straight Connector 475">
          <a:extLst>
            <a:ext uri="{FF2B5EF4-FFF2-40B4-BE49-F238E27FC236}">
              <a16:creationId xmlns:a16="http://schemas.microsoft.com/office/drawing/2014/main" id="{CB72D3C4-1A6A-4BB2-AD58-75605DD374BB}"/>
            </a:ext>
          </a:extLst>
        </xdr:cNvPr>
        <xdr:cNvCxnSpPr/>
      </xdr:nvCxnSpPr>
      <xdr:spPr>
        <a:xfrm flipV="1">
          <a:off x="5754031" y="94939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60135</xdr:colOff>
      <xdr:row>53</xdr:row>
      <xdr:rowOff>159446</xdr:rowOff>
    </xdr:from>
    <xdr:to>
      <xdr:col>12</xdr:col>
      <xdr:colOff>564958</xdr:colOff>
      <xdr:row>53</xdr:row>
      <xdr:rowOff>160764</xdr:rowOff>
    </xdr:to>
    <xdr:cxnSp macro="">
      <xdr:nvCxnSpPr>
        <xdr:cNvPr id="477" name="Straight Connector 476">
          <a:extLst>
            <a:ext uri="{FF2B5EF4-FFF2-40B4-BE49-F238E27FC236}">
              <a16:creationId xmlns:a16="http://schemas.microsoft.com/office/drawing/2014/main" id="{DEF130C1-0D3F-4198-82A4-BAAC60D22276}"/>
            </a:ext>
          </a:extLst>
        </xdr:cNvPr>
        <xdr:cNvCxnSpPr/>
      </xdr:nvCxnSpPr>
      <xdr:spPr>
        <a:xfrm flipV="1">
          <a:off x="6975285" y="9493946"/>
          <a:ext cx="1114423"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58460</xdr:colOff>
      <xdr:row>53</xdr:row>
      <xdr:rowOff>159446</xdr:rowOff>
    </xdr:from>
    <xdr:to>
      <xdr:col>14</xdr:col>
      <xdr:colOff>563282</xdr:colOff>
      <xdr:row>53</xdr:row>
      <xdr:rowOff>160764</xdr:rowOff>
    </xdr:to>
    <xdr:cxnSp macro="">
      <xdr:nvCxnSpPr>
        <xdr:cNvPr id="478" name="Straight Connector 477">
          <a:extLst>
            <a:ext uri="{FF2B5EF4-FFF2-40B4-BE49-F238E27FC236}">
              <a16:creationId xmlns:a16="http://schemas.microsoft.com/office/drawing/2014/main" id="{59299C07-7C1A-48ED-942E-11E302FE5E36}"/>
            </a:ext>
          </a:extLst>
        </xdr:cNvPr>
        <xdr:cNvCxnSpPr/>
      </xdr:nvCxnSpPr>
      <xdr:spPr>
        <a:xfrm flipV="1">
          <a:off x="8192810" y="9493946"/>
          <a:ext cx="1114422"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69063</xdr:colOff>
      <xdr:row>53</xdr:row>
      <xdr:rowOff>159446</xdr:rowOff>
    </xdr:from>
    <xdr:to>
      <xdr:col>16</xdr:col>
      <xdr:colOff>572966</xdr:colOff>
      <xdr:row>53</xdr:row>
      <xdr:rowOff>160764</xdr:rowOff>
    </xdr:to>
    <xdr:cxnSp macro="">
      <xdr:nvCxnSpPr>
        <xdr:cNvPr id="479" name="Straight Connector 478">
          <a:extLst>
            <a:ext uri="{FF2B5EF4-FFF2-40B4-BE49-F238E27FC236}">
              <a16:creationId xmlns:a16="http://schemas.microsoft.com/office/drawing/2014/main" id="{DC8849D7-BBB4-444D-A3FE-CAA5C3811B59}"/>
            </a:ext>
          </a:extLst>
        </xdr:cNvPr>
        <xdr:cNvCxnSpPr/>
      </xdr:nvCxnSpPr>
      <xdr:spPr>
        <a:xfrm flipV="1">
          <a:off x="9422613" y="9493946"/>
          <a:ext cx="1113503"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57761</xdr:colOff>
      <xdr:row>53</xdr:row>
      <xdr:rowOff>159446</xdr:rowOff>
    </xdr:from>
    <xdr:to>
      <xdr:col>18</xdr:col>
      <xdr:colOff>561663</xdr:colOff>
      <xdr:row>53</xdr:row>
      <xdr:rowOff>160764</xdr:rowOff>
    </xdr:to>
    <xdr:cxnSp macro="">
      <xdr:nvCxnSpPr>
        <xdr:cNvPr id="480" name="Straight Connector 479">
          <a:extLst>
            <a:ext uri="{FF2B5EF4-FFF2-40B4-BE49-F238E27FC236}">
              <a16:creationId xmlns:a16="http://schemas.microsoft.com/office/drawing/2014/main" id="{A527B249-6094-4207-86CE-93E192E49F9F}"/>
            </a:ext>
          </a:extLst>
        </xdr:cNvPr>
        <xdr:cNvCxnSpPr/>
      </xdr:nvCxnSpPr>
      <xdr:spPr>
        <a:xfrm flipV="1">
          <a:off x="10630511" y="9493946"/>
          <a:ext cx="1113502"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42627</xdr:colOff>
      <xdr:row>53</xdr:row>
      <xdr:rowOff>159446</xdr:rowOff>
    </xdr:from>
    <xdr:to>
      <xdr:col>20</xdr:col>
      <xdr:colOff>546530</xdr:colOff>
      <xdr:row>53</xdr:row>
      <xdr:rowOff>160764</xdr:rowOff>
    </xdr:to>
    <xdr:cxnSp macro="">
      <xdr:nvCxnSpPr>
        <xdr:cNvPr id="481" name="Straight Connector 480">
          <a:extLst>
            <a:ext uri="{FF2B5EF4-FFF2-40B4-BE49-F238E27FC236}">
              <a16:creationId xmlns:a16="http://schemas.microsoft.com/office/drawing/2014/main" id="{38982E4E-5E25-4499-936B-C7AD1708C50A}"/>
            </a:ext>
          </a:extLst>
        </xdr:cNvPr>
        <xdr:cNvCxnSpPr/>
      </xdr:nvCxnSpPr>
      <xdr:spPr>
        <a:xfrm flipV="1">
          <a:off x="11834577" y="9493946"/>
          <a:ext cx="1113503"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58081</xdr:colOff>
      <xdr:row>54</xdr:row>
      <xdr:rowOff>161846</xdr:rowOff>
    </xdr:from>
    <xdr:to>
      <xdr:col>10</xdr:col>
      <xdr:colOff>562028</xdr:colOff>
      <xdr:row>54</xdr:row>
      <xdr:rowOff>163164</xdr:rowOff>
    </xdr:to>
    <xdr:cxnSp macro="">
      <xdr:nvCxnSpPr>
        <xdr:cNvPr id="482" name="Straight Connector 481">
          <a:extLst>
            <a:ext uri="{FF2B5EF4-FFF2-40B4-BE49-F238E27FC236}">
              <a16:creationId xmlns:a16="http://schemas.microsoft.com/office/drawing/2014/main" id="{E3AFE2E3-F23B-420B-9AF3-6F9B11369934}"/>
            </a:ext>
          </a:extLst>
        </xdr:cNvPr>
        <xdr:cNvCxnSpPr/>
      </xdr:nvCxnSpPr>
      <xdr:spPr>
        <a:xfrm flipV="1">
          <a:off x="5754031" y="96804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60135</xdr:colOff>
      <xdr:row>54</xdr:row>
      <xdr:rowOff>161846</xdr:rowOff>
    </xdr:from>
    <xdr:to>
      <xdr:col>12</xdr:col>
      <xdr:colOff>564958</xdr:colOff>
      <xdr:row>54</xdr:row>
      <xdr:rowOff>163164</xdr:rowOff>
    </xdr:to>
    <xdr:cxnSp macro="">
      <xdr:nvCxnSpPr>
        <xdr:cNvPr id="483" name="Straight Connector 482">
          <a:extLst>
            <a:ext uri="{FF2B5EF4-FFF2-40B4-BE49-F238E27FC236}">
              <a16:creationId xmlns:a16="http://schemas.microsoft.com/office/drawing/2014/main" id="{334F9333-3186-496B-88D8-3BFCA7110E32}"/>
            </a:ext>
          </a:extLst>
        </xdr:cNvPr>
        <xdr:cNvCxnSpPr/>
      </xdr:nvCxnSpPr>
      <xdr:spPr>
        <a:xfrm flipV="1">
          <a:off x="6975285" y="9680496"/>
          <a:ext cx="1114423"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58460</xdr:colOff>
      <xdr:row>54</xdr:row>
      <xdr:rowOff>161846</xdr:rowOff>
    </xdr:from>
    <xdr:to>
      <xdr:col>14</xdr:col>
      <xdr:colOff>563282</xdr:colOff>
      <xdr:row>54</xdr:row>
      <xdr:rowOff>163164</xdr:rowOff>
    </xdr:to>
    <xdr:cxnSp macro="">
      <xdr:nvCxnSpPr>
        <xdr:cNvPr id="484" name="Straight Connector 483">
          <a:extLst>
            <a:ext uri="{FF2B5EF4-FFF2-40B4-BE49-F238E27FC236}">
              <a16:creationId xmlns:a16="http://schemas.microsoft.com/office/drawing/2014/main" id="{60FD7307-C5AD-4B1F-858F-B86576B659F3}"/>
            </a:ext>
          </a:extLst>
        </xdr:cNvPr>
        <xdr:cNvCxnSpPr/>
      </xdr:nvCxnSpPr>
      <xdr:spPr>
        <a:xfrm flipV="1">
          <a:off x="8192810" y="9680496"/>
          <a:ext cx="1114422"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69063</xdr:colOff>
      <xdr:row>54</xdr:row>
      <xdr:rowOff>161846</xdr:rowOff>
    </xdr:from>
    <xdr:to>
      <xdr:col>16</xdr:col>
      <xdr:colOff>572966</xdr:colOff>
      <xdr:row>54</xdr:row>
      <xdr:rowOff>163164</xdr:rowOff>
    </xdr:to>
    <xdr:cxnSp macro="">
      <xdr:nvCxnSpPr>
        <xdr:cNvPr id="485" name="Straight Connector 484">
          <a:extLst>
            <a:ext uri="{FF2B5EF4-FFF2-40B4-BE49-F238E27FC236}">
              <a16:creationId xmlns:a16="http://schemas.microsoft.com/office/drawing/2014/main" id="{B2F03496-F9B3-4E76-B675-AC686B57CF65}"/>
            </a:ext>
          </a:extLst>
        </xdr:cNvPr>
        <xdr:cNvCxnSpPr/>
      </xdr:nvCxnSpPr>
      <xdr:spPr>
        <a:xfrm flipV="1">
          <a:off x="9422613" y="9680496"/>
          <a:ext cx="1113503"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57761</xdr:colOff>
      <xdr:row>54</xdr:row>
      <xdr:rowOff>161846</xdr:rowOff>
    </xdr:from>
    <xdr:to>
      <xdr:col>18</xdr:col>
      <xdr:colOff>561663</xdr:colOff>
      <xdr:row>54</xdr:row>
      <xdr:rowOff>163164</xdr:rowOff>
    </xdr:to>
    <xdr:cxnSp macro="">
      <xdr:nvCxnSpPr>
        <xdr:cNvPr id="486" name="Straight Connector 485">
          <a:extLst>
            <a:ext uri="{FF2B5EF4-FFF2-40B4-BE49-F238E27FC236}">
              <a16:creationId xmlns:a16="http://schemas.microsoft.com/office/drawing/2014/main" id="{4FC1CF9E-13F4-4783-8DEB-CA03E47C6730}"/>
            </a:ext>
          </a:extLst>
        </xdr:cNvPr>
        <xdr:cNvCxnSpPr/>
      </xdr:nvCxnSpPr>
      <xdr:spPr>
        <a:xfrm flipV="1">
          <a:off x="10630511" y="9680496"/>
          <a:ext cx="1113502"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42627</xdr:colOff>
      <xdr:row>54</xdr:row>
      <xdr:rowOff>161846</xdr:rowOff>
    </xdr:from>
    <xdr:to>
      <xdr:col>20</xdr:col>
      <xdr:colOff>546530</xdr:colOff>
      <xdr:row>54</xdr:row>
      <xdr:rowOff>163164</xdr:rowOff>
    </xdr:to>
    <xdr:cxnSp macro="">
      <xdr:nvCxnSpPr>
        <xdr:cNvPr id="487" name="Straight Connector 486">
          <a:extLst>
            <a:ext uri="{FF2B5EF4-FFF2-40B4-BE49-F238E27FC236}">
              <a16:creationId xmlns:a16="http://schemas.microsoft.com/office/drawing/2014/main" id="{9904DF13-E658-46F3-88F8-87DE7A7D3810}"/>
            </a:ext>
          </a:extLst>
        </xdr:cNvPr>
        <xdr:cNvCxnSpPr/>
      </xdr:nvCxnSpPr>
      <xdr:spPr>
        <a:xfrm flipV="1">
          <a:off x="11834577" y="9680496"/>
          <a:ext cx="1113503"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58081</xdr:colOff>
      <xdr:row>55</xdr:row>
      <xdr:rowOff>4246</xdr:rowOff>
    </xdr:from>
    <xdr:to>
      <xdr:col>10</xdr:col>
      <xdr:colOff>562028</xdr:colOff>
      <xdr:row>55</xdr:row>
      <xdr:rowOff>5564</xdr:rowOff>
    </xdr:to>
    <xdr:cxnSp macro="">
      <xdr:nvCxnSpPr>
        <xdr:cNvPr id="488" name="Straight Connector 487">
          <a:extLst>
            <a:ext uri="{FF2B5EF4-FFF2-40B4-BE49-F238E27FC236}">
              <a16:creationId xmlns:a16="http://schemas.microsoft.com/office/drawing/2014/main" id="{758AF29E-A5AF-4033-BC06-1193FAACEAF3}"/>
            </a:ext>
          </a:extLst>
        </xdr:cNvPr>
        <xdr:cNvCxnSpPr/>
      </xdr:nvCxnSpPr>
      <xdr:spPr>
        <a:xfrm flipV="1">
          <a:off x="5754031" y="97070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60135</xdr:colOff>
      <xdr:row>55</xdr:row>
      <xdr:rowOff>4246</xdr:rowOff>
    </xdr:from>
    <xdr:to>
      <xdr:col>12</xdr:col>
      <xdr:colOff>564958</xdr:colOff>
      <xdr:row>55</xdr:row>
      <xdr:rowOff>5564</xdr:rowOff>
    </xdr:to>
    <xdr:cxnSp macro="">
      <xdr:nvCxnSpPr>
        <xdr:cNvPr id="489" name="Straight Connector 488">
          <a:extLst>
            <a:ext uri="{FF2B5EF4-FFF2-40B4-BE49-F238E27FC236}">
              <a16:creationId xmlns:a16="http://schemas.microsoft.com/office/drawing/2014/main" id="{87F84AAA-AAA7-45A4-BD57-988049C93D8E}"/>
            </a:ext>
          </a:extLst>
        </xdr:cNvPr>
        <xdr:cNvCxnSpPr/>
      </xdr:nvCxnSpPr>
      <xdr:spPr>
        <a:xfrm flipV="1">
          <a:off x="6975285" y="9707046"/>
          <a:ext cx="1114423"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58460</xdr:colOff>
      <xdr:row>55</xdr:row>
      <xdr:rowOff>4246</xdr:rowOff>
    </xdr:from>
    <xdr:to>
      <xdr:col>14</xdr:col>
      <xdr:colOff>563282</xdr:colOff>
      <xdr:row>55</xdr:row>
      <xdr:rowOff>5564</xdr:rowOff>
    </xdr:to>
    <xdr:cxnSp macro="">
      <xdr:nvCxnSpPr>
        <xdr:cNvPr id="490" name="Straight Connector 489">
          <a:extLst>
            <a:ext uri="{FF2B5EF4-FFF2-40B4-BE49-F238E27FC236}">
              <a16:creationId xmlns:a16="http://schemas.microsoft.com/office/drawing/2014/main" id="{7868A4C0-5538-46A4-A06A-BBC4C135718D}"/>
            </a:ext>
          </a:extLst>
        </xdr:cNvPr>
        <xdr:cNvCxnSpPr/>
      </xdr:nvCxnSpPr>
      <xdr:spPr>
        <a:xfrm flipV="1">
          <a:off x="8192810" y="9707046"/>
          <a:ext cx="1114422"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69063</xdr:colOff>
      <xdr:row>55</xdr:row>
      <xdr:rowOff>4246</xdr:rowOff>
    </xdr:from>
    <xdr:to>
      <xdr:col>16</xdr:col>
      <xdr:colOff>572966</xdr:colOff>
      <xdr:row>55</xdr:row>
      <xdr:rowOff>5564</xdr:rowOff>
    </xdr:to>
    <xdr:cxnSp macro="">
      <xdr:nvCxnSpPr>
        <xdr:cNvPr id="491" name="Straight Connector 490">
          <a:extLst>
            <a:ext uri="{FF2B5EF4-FFF2-40B4-BE49-F238E27FC236}">
              <a16:creationId xmlns:a16="http://schemas.microsoft.com/office/drawing/2014/main" id="{05AFCD8C-BE44-4579-8FB1-1F89189EFE89}"/>
            </a:ext>
          </a:extLst>
        </xdr:cNvPr>
        <xdr:cNvCxnSpPr/>
      </xdr:nvCxnSpPr>
      <xdr:spPr>
        <a:xfrm flipV="1">
          <a:off x="9422613" y="9707046"/>
          <a:ext cx="1113503"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57761</xdr:colOff>
      <xdr:row>55</xdr:row>
      <xdr:rowOff>4246</xdr:rowOff>
    </xdr:from>
    <xdr:to>
      <xdr:col>18</xdr:col>
      <xdr:colOff>561663</xdr:colOff>
      <xdr:row>55</xdr:row>
      <xdr:rowOff>5564</xdr:rowOff>
    </xdr:to>
    <xdr:cxnSp macro="">
      <xdr:nvCxnSpPr>
        <xdr:cNvPr id="492" name="Straight Connector 491">
          <a:extLst>
            <a:ext uri="{FF2B5EF4-FFF2-40B4-BE49-F238E27FC236}">
              <a16:creationId xmlns:a16="http://schemas.microsoft.com/office/drawing/2014/main" id="{5D8947F9-0719-4579-B634-2445D05FC288}"/>
            </a:ext>
          </a:extLst>
        </xdr:cNvPr>
        <xdr:cNvCxnSpPr/>
      </xdr:nvCxnSpPr>
      <xdr:spPr>
        <a:xfrm flipV="1">
          <a:off x="10630511" y="9707046"/>
          <a:ext cx="1113502"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42627</xdr:colOff>
      <xdr:row>55</xdr:row>
      <xdr:rowOff>4246</xdr:rowOff>
    </xdr:from>
    <xdr:to>
      <xdr:col>20</xdr:col>
      <xdr:colOff>546530</xdr:colOff>
      <xdr:row>55</xdr:row>
      <xdr:rowOff>5564</xdr:rowOff>
    </xdr:to>
    <xdr:cxnSp macro="">
      <xdr:nvCxnSpPr>
        <xdr:cNvPr id="493" name="Straight Connector 492">
          <a:extLst>
            <a:ext uri="{FF2B5EF4-FFF2-40B4-BE49-F238E27FC236}">
              <a16:creationId xmlns:a16="http://schemas.microsoft.com/office/drawing/2014/main" id="{AD5CA218-7EFE-47E1-ADDB-B23151CE9647}"/>
            </a:ext>
          </a:extLst>
        </xdr:cNvPr>
        <xdr:cNvCxnSpPr/>
      </xdr:nvCxnSpPr>
      <xdr:spPr>
        <a:xfrm flipV="1">
          <a:off x="11834577" y="9707046"/>
          <a:ext cx="1113503"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9641</xdr:colOff>
      <xdr:row>61</xdr:row>
      <xdr:rowOff>152722</xdr:rowOff>
    </xdr:from>
    <xdr:to>
      <xdr:col>21</xdr:col>
      <xdr:colOff>41413</xdr:colOff>
      <xdr:row>61</xdr:row>
      <xdr:rowOff>152722</xdr:rowOff>
    </xdr:to>
    <xdr:cxnSp macro="">
      <xdr:nvCxnSpPr>
        <xdr:cNvPr id="494" name="Straight Connector 493">
          <a:extLst>
            <a:ext uri="{FF2B5EF4-FFF2-40B4-BE49-F238E27FC236}">
              <a16:creationId xmlns:a16="http://schemas.microsoft.com/office/drawing/2014/main" id="{A6FCF6C9-9015-4EBC-908B-B1C3B395A105}"/>
            </a:ext>
          </a:extLst>
        </xdr:cNvPr>
        <xdr:cNvCxnSpPr/>
      </xdr:nvCxnSpPr>
      <xdr:spPr>
        <a:xfrm>
          <a:off x="3876791" y="10833422"/>
          <a:ext cx="9175772" cy="0"/>
        </a:xfrm>
        <a:prstGeom prst="line">
          <a:avLst/>
        </a:prstGeom>
        <a:ln w="12700">
          <a:solidFill>
            <a:schemeClr val="bg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0</xdr:colOff>
      <xdr:row>64</xdr:row>
      <xdr:rowOff>155963</xdr:rowOff>
    </xdr:from>
    <xdr:to>
      <xdr:col>5</xdr:col>
      <xdr:colOff>0</xdr:colOff>
      <xdr:row>64</xdr:row>
      <xdr:rowOff>163262</xdr:rowOff>
    </xdr:to>
    <xdr:cxnSp macro="">
      <xdr:nvCxnSpPr>
        <xdr:cNvPr id="495" name="Straight Connector 494">
          <a:extLst>
            <a:ext uri="{FF2B5EF4-FFF2-40B4-BE49-F238E27FC236}">
              <a16:creationId xmlns:a16="http://schemas.microsoft.com/office/drawing/2014/main" id="{A15424CC-1FBC-4728-AB8F-BB17C8EA1143}"/>
            </a:ext>
          </a:extLst>
        </xdr:cNvPr>
        <xdr:cNvCxnSpPr/>
      </xdr:nvCxnSpPr>
      <xdr:spPr>
        <a:xfrm>
          <a:off x="609600" y="11395463"/>
          <a:ext cx="2647950" cy="7299"/>
        </a:xfrm>
        <a:prstGeom prst="line">
          <a:avLst/>
        </a:prstGeom>
        <a:ln w="12700">
          <a:solidFill>
            <a:schemeClr val="bg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604796</xdr:colOff>
      <xdr:row>68</xdr:row>
      <xdr:rowOff>154145</xdr:rowOff>
    </xdr:from>
    <xdr:to>
      <xdr:col>27</xdr:col>
      <xdr:colOff>0</xdr:colOff>
      <xdr:row>68</xdr:row>
      <xdr:rowOff>157534</xdr:rowOff>
    </xdr:to>
    <xdr:cxnSp macro="">
      <xdr:nvCxnSpPr>
        <xdr:cNvPr id="496" name="Straight Connector 495">
          <a:extLst>
            <a:ext uri="{FF2B5EF4-FFF2-40B4-BE49-F238E27FC236}">
              <a16:creationId xmlns:a16="http://schemas.microsoft.com/office/drawing/2014/main" id="{2F3D84CB-570D-4825-B37B-3C7229139874}"/>
            </a:ext>
          </a:extLst>
        </xdr:cNvPr>
        <xdr:cNvCxnSpPr/>
      </xdr:nvCxnSpPr>
      <xdr:spPr>
        <a:xfrm flipV="1">
          <a:off x="3862346" y="12136595"/>
          <a:ext cx="13454104" cy="3389"/>
        </a:xfrm>
        <a:prstGeom prst="line">
          <a:avLst/>
        </a:prstGeom>
        <a:ln w="12700">
          <a:solidFill>
            <a:schemeClr val="bg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0</xdr:colOff>
      <xdr:row>38</xdr:row>
      <xdr:rowOff>155032</xdr:rowOff>
    </xdr:from>
    <xdr:to>
      <xdr:col>27</xdr:col>
      <xdr:colOff>0</xdr:colOff>
      <xdr:row>38</xdr:row>
      <xdr:rowOff>155124</xdr:rowOff>
    </xdr:to>
    <xdr:cxnSp macro="">
      <xdr:nvCxnSpPr>
        <xdr:cNvPr id="497" name="Straight Connector 496">
          <a:extLst>
            <a:ext uri="{FF2B5EF4-FFF2-40B4-BE49-F238E27FC236}">
              <a16:creationId xmlns:a16="http://schemas.microsoft.com/office/drawing/2014/main" id="{D0F2F281-92B9-4FFF-B75E-52CA05F6C241}"/>
            </a:ext>
          </a:extLst>
        </xdr:cNvPr>
        <xdr:cNvCxnSpPr/>
      </xdr:nvCxnSpPr>
      <xdr:spPr>
        <a:xfrm flipV="1">
          <a:off x="13620750" y="6879682"/>
          <a:ext cx="3695700" cy="92"/>
        </a:xfrm>
        <a:prstGeom prst="line">
          <a:avLst/>
        </a:prstGeom>
        <a:ln w="12700">
          <a:solidFill>
            <a:schemeClr val="bg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62365</xdr:colOff>
      <xdr:row>9</xdr:row>
      <xdr:rowOff>159148</xdr:rowOff>
    </xdr:from>
    <xdr:to>
      <xdr:col>25</xdr:col>
      <xdr:colOff>702445</xdr:colOff>
      <xdr:row>9</xdr:row>
      <xdr:rowOff>159148</xdr:rowOff>
    </xdr:to>
    <xdr:cxnSp macro="">
      <xdr:nvCxnSpPr>
        <xdr:cNvPr id="498" name="Straight Connector 497">
          <a:extLst>
            <a:ext uri="{FF2B5EF4-FFF2-40B4-BE49-F238E27FC236}">
              <a16:creationId xmlns:a16="http://schemas.microsoft.com/office/drawing/2014/main" id="{D828BA57-F2D2-426F-96C5-15F2D9A05285}"/>
            </a:ext>
          </a:extLst>
        </xdr:cNvPr>
        <xdr:cNvCxnSpPr/>
      </xdr:nvCxnSpPr>
      <xdr:spPr>
        <a:xfrm>
          <a:off x="15969115" y="1797448"/>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58251</xdr:colOff>
      <xdr:row>9</xdr:row>
      <xdr:rowOff>159148</xdr:rowOff>
    </xdr:from>
    <xdr:to>
      <xdr:col>26</xdr:col>
      <xdr:colOff>698331</xdr:colOff>
      <xdr:row>9</xdr:row>
      <xdr:rowOff>159148</xdr:rowOff>
    </xdr:to>
    <xdr:cxnSp macro="">
      <xdr:nvCxnSpPr>
        <xdr:cNvPr id="499" name="Straight Connector 498">
          <a:extLst>
            <a:ext uri="{FF2B5EF4-FFF2-40B4-BE49-F238E27FC236}">
              <a16:creationId xmlns:a16="http://schemas.microsoft.com/office/drawing/2014/main" id="{39E2F0DC-86A2-4247-89FC-7021364BC5A8}"/>
            </a:ext>
          </a:extLst>
        </xdr:cNvPr>
        <xdr:cNvCxnSpPr/>
      </xdr:nvCxnSpPr>
      <xdr:spPr>
        <a:xfrm>
          <a:off x="16727001" y="1797448"/>
          <a:ext cx="5892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67196</xdr:colOff>
      <xdr:row>13</xdr:row>
      <xdr:rowOff>159506</xdr:rowOff>
    </xdr:from>
    <xdr:to>
      <xdr:col>25</xdr:col>
      <xdr:colOff>707276</xdr:colOff>
      <xdr:row>13</xdr:row>
      <xdr:rowOff>159506</xdr:rowOff>
    </xdr:to>
    <xdr:cxnSp macro="">
      <xdr:nvCxnSpPr>
        <xdr:cNvPr id="500" name="Straight Connector 499">
          <a:extLst>
            <a:ext uri="{FF2B5EF4-FFF2-40B4-BE49-F238E27FC236}">
              <a16:creationId xmlns:a16="http://schemas.microsoft.com/office/drawing/2014/main" id="{ED573B34-16EE-417F-A40D-938E90852222}"/>
            </a:ext>
          </a:extLst>
        </xdr:cNvPr>
        <xdr:cNvCxnSpPr/>
      </xdr:nvCxnSpPr>
      <xdr:spPr>
        <a:xfrm>
          <a:off x="15973946" y="2540756"/>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63082</xdr:colOff>
      <xdr:row>13</xdr:row>
      <xdr:rowOff>159506</xdr:rowOff>
    </xdr:from>
    <xdr:to>
      <xdr:col>26</xdr:col>
      <xdr:colOff>703162</xdr:colOff>
      <xdr:row>13</xdr:row>
      <xdr:rowOff>159506</xdr:rowOff>
    </xdr:to>
    <xdr:cxnSp macro="">
      <xdr:nvCxnSpPr>
        <xdr:cNvPr id="501" name="Straight Connector 500">
          <a:extLst>
            <a:ext uri="{FF2B5EF4-FFF2-40B4-BE49-F238E27FC236}">
              <a16:creationId xmlns:a16="http://schemas.microsoft.com/office/drawing/2014/main" id="{362E9DBB-9E79-4FE1-98FE-73394EE8B893}"/>
            </a:ext>
          </a:extLst>
        </xdr:cNvPr>
        <xdr:cNvCxnSpPr/>
      </xdr:nvCxnSpPr>
      <xdr:spPr>
        <a:xfrm>
          <a:off x="16731832" y="2540756"/>
          <a:ext cx="58293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68004</xdr:colOff>
      <xdr:row>18</xdr:row>
      <xdr:rowOff>171282</xdr:rowOff>
    </xdr:from>
    <xdr:to>
      <xdr:col>25</xdr:col>
      <xdr:colOff>708084</xdr:colOff>
      <xdr:row>18</xdr:row>
      <xdr:rowOff>171282</xdr:rowOff>
    </xdr:to>
    <xdr:cxnSp macro="">
      <xdr:nvCxnSpPr>
        <xdr:cNvPr id="502" name="Straight Connector 501">
          <a:extLst>
            <a:ext uri="{FF2B5EF4-FFF2-40B4-BE49-F238E27FC236}">
              <a16:creationId xmlns:a16="http://schemas.microsoft.com/office/drawing/2014/main" id="{A17E28FF-5766-4E03-8686-56DC531F256F}"/>
            </a:ext>
          </a:extLst>
        </xdr:cNvPr>
        <xdr:cNvCxnSpPr/>
      </xdr:nvCxnSpPr>
      <xdr:spPr>
        <a:xfrm>
          <a:off x="15974754" y="3473282"/>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63890</xdr:colOff>
      <xdr:row>18</xdr:row>
      <xdr:rowOff>171282</xdr:rowOff>
    </xdr:from>
    <xdr:to>
      <xdr:col>26</xdr:col>
      <xdr:colOff>703970</xdr:colOff>
      <xdr:row>18</xdr:row>
      <xdr:rowOff>171282</xdr:rowOff>
    </xdr:to>
    <xdr:cxnSp macro="">
      <xdr:nvCxnSpPr>
        <xdr:cNvPr id="503" name="Straight Connector 502">
          <a:extLst>
            <a:ext uri="{FF2B5EF4-FFF2-40B4-BE49-F238E27FC236}">
              <a16:creationId xmlns:a16="http://schemas.microsoft.com/office/drawing/2014/main" id="{14083700-EF2E-41F3-8C60-9FA417E113AB}"/>
            </a:ext>
          </a:extLst>
        </xdr:cNvPr>
        <xdr:cNvCxnSpPr/>
      </xdr:nvCxnSpPr>
      <xdr:spPr>
        <a:xfrm>
          <a:off x="16732640" y="3473282"/>
          <a:ext cx="58293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69448</xdr:colOff>
      <xdr:row>20</xdr:row>
      <xdr:rowOff>166161</xdr:rowOff>
    </xdr:from>
    <xdr:to>
      <xdr:col>25</xdr:col>
      <xdr:colOff>709528</xdr:colOff>
      <xdr:row>20</xdr:row>
      <xdr:rowOff>166161</xdr:rowOff>
    </xdr:to>
    <xdr:cxnSp macro="">
      <xdr:nvCxnSpPr>
        <xdr:cNvPr id="504" name="Straight Connector 503">
          <a:extLst>
            <a:ext uri="{FF2B5EF4-FFF2-40B4-BE49-F238E27FC236}">
              <a16:creationId xmlns:a16="http://schemas.microsoft.com/office/drawing/2014/main" id="{B6B1FAC9-3AB5-4D77-9559-48E601469184}"/>
            </a:ext>
          </a:extLst>
        </xdr:cNvPr>
        <xdr:cNvCxnSpPr/>
      </xdr:nvCxnSpPr>
      <xdr:spPr>
        <a:xfrm>
          <a:off x="15976198" y="3703111"/>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65334</xdr:colOff>
      <xdr:row>20</xdr:row>
      <xdr:rowOff>166161</xdr:rowOff>
    </xdr:from>
    <xdr:to>
      <xdr:col>26</xdr:col>
      <xdr:colOff>705414</xdr:colOff>
      <xdr:row>20</xdr:row>
      <xdr:rowOff>166161</xdr:rowOff>
    </xdr:to>
    <xdr:cxnSp macro="">
      <xdr:nvCxnSpPr>
        <xdr:cNvPr id="505" name="Straight Connector 504">
          <a:extLst>
            <a:ext uri="{FF2B5EF4-FFF2-40B4-BE49-F238E27FC236}">
              <a16:creationId xmlns:a16="http://schemas.microsoft.com/office/drawing/2014/main" id="{F5283EDA-DC04-4C98-A7A8-F4DA625D71E9}"/>
            </a:ext>
          </a:extLst>
        </xdr:cNvPr>
        <xdr:cNvCxnSpPr/>
      </xdr:nvCxnSpPr>
      <xdr:spPr>
        <a:xfrm>
          <a:off x="16734084" y="3703111"/>
          <a:ext cx="58293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74167</xdr:colOff>
      <xdr:row>24</xdr:row>
      <xdr:rowOff>159033</xdr:rowOff>
    </xdr:from>
    <xdr:to>
      <xdr:col>25</xdr:col>
      <xdr:colOff>714247</xdr:colOff>
      <xdr:row>24</xdr:row>
      <xdr:rowOff>159033</xdr:rowOff>
    </xdr:to>
    <xdr:cxnSp macro="">
      <xdr:nvCxnSpPr>
        <xdr:cNvPr id="506" name="Straight Connector 505">
          <a:extLst>
            <a:ext uri="{FF2B5EF4-FFF2-40B4-BE49-F238E27FC236}">
              <a16:creationId xmlns:a16="http://schemas.microsoft.com/office/drawing/2014/main" id="{9522AA34-6361-4C9D-AEB6-E1283BD0A03F}"/>
            </a:ext>
          </a:extLst>
        </xdr:cNvPr>
        <xdr:cNvCxnSpPr/>
      </xdr:nvCxnSpPr>
      <xdr:spPr>
        <a:xfrm>
          <a:off x="15980917" y="4432583"/>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70053</xdr:colOff>
      <xdr:row>24</xdr:row>
      <xdr:rowOff>159033</xdr:rowOff>
    </xdr:from>
    <xdr:to>
      <xdr:col>26</xdr:col>
      <xdr:colOff>710133</xdr:colOff>
      <xdr:row>24</xdr:row>
      <xdr:rowOff>159033</xdr:rowOff>
    </xdr:to>
    <xdr:cxnSp macro="">
      <xdr:nvCxnSpPr>
        <xdr:cNvPr id="507" name="Straight Connector 506">
          <a:extLst>
            <a:ext uri="{FF2B5EF4-FFF2-40B4-BE49-F238E27FC236}">
              <a16:creationId xmlns:a16="http://schemas.microsoft.com/office/drawing/2014/main" id="{D2DDB7A8-D4B4-4122-BD6A-02B8A8920E26}"/>
            </a:ext>
          </a:extLst>
        </xdr:cNvPr>
        <xdr:cNvCxnSpPr/>
      </xdr:nvCxnSpPr>
      <xdr:spPr>
        <a:xfrm>
          <a:off x="16738803" y="4432583"/>
          <a:ext cx="5765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74167</xdr:colOff>
      <xdr:row>28</xdr:row>
      <xdr:rowOff>166653</xdr:rowOff>
    </xdr:from>
    <xdr:to>
      <xdr:col>25</xdr:col>
      <xdr:colOff>714247</xdr:colOff>
      <xdr:row>28</xdr:row>
      <xdr:rowOff>166653</xdr:rowOff>
    </xdr:to>
    <xdr:cxnSp macro="">
      <xdr:nvCxnSpPr>
        <xdr:cNvPr id="508" name="Straight Connector 507">
          <a:extLst>
            <a:ext uri="{FF2B5EF4-FFF2-40B4-BE49-F238E27FC236}">
              <a16:creationId xmlns:a16="http://schemas.microsoft.com/office/drawing/2014/main" id="{0F71CF95-6948-423B-9568-95F4E79B910C}"/>
            </a:ext>
          </a:extLst>
        </xdr:cNvPr>
        <xdr:cNvCxnSpPr/>
      </xdr:nvCxnSpPr>
      <xdr:spPr>
        <a:xfrm>
          <a:off x="15980917" y="5176803"/>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70053</xdr:colOff>
      <xdr:row>28</xdr:row>
      <xdr:rowOff>166653</xdr:rowOff>
    </xdr:from>
    <xdr:to>
      <xdr:col>26</xdr:col>
      <xdr:colOff>710133</xdr:colOff>
      <xdr:row>28</xdr:row>
      <xdr:rowOff>166653</xdr:rowOff>
    </xdr:to>
    <xdr:cxnSp macro="">
      <xdr:nvCxnSpPr>
        <xdr:cNvPr id="509" name="Straight Connector 508">
          <a:extLst>
            <a:ext uri="{FF2B5EF4-FFF2-40B4-BE49-F238E27FC236}">
              <a16:creationId xmlns:a16="http://schemas.microsoft.com/office/drawing/2014/main" id="{E762CBDD-A057-4780-B83F-A03401821FD2}"/>
            </a:ext>
          </a:extLst>
        </xdr:cNvPr>
        <xdr:cNvCxnSpPr/>
      </xdr:nvCxnSpPr>
      <xdr:spPr>
        <a:xfrm>
          <a:off x="16738803" y="5176803"/>
          <a:ext cx="5765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74167</xdr:colOff>
      <xdr:row>33</xdr:row>
      <xdr:rowOff>161573</xdr:rowOff>
    </xdr:from>
    <xdr:to>
      <xdr:col>25</xdr:col>
      <xdr:colOff>714247</xdr:colOff>
      <xdr:row>33</xdr:row>
      <xdr:rowOff>161573</xdr:rowOff>
    </xdr:to>
    <xdr:cxnSp macro="">
      <xdr:nvCxnSpPr>
        <xdr:cNvPr id="510" name="Straight Connector 509">
          <a:extLst>
            <a:ext uri="{FF2B5EF4-FFF2-40B4-BE49-F238E27FC236}">
              <a16:creationId xmlns:a16="http://schemas.microsoft.com/office/drawing/2014/main" id="{F24AAA02-7E8A-4B1C-AF9D-4118FA91D1E9}"/>
            </a:ext>
          </a:extLst>
        </xdr:cNvPr>
        <xdr:cNvCxnSpPr/>
      </xdr:nvCxnSpPr>
      <xdr:spPr>
        <a:xfrm>
          <a:off x="15980917" y="6105173"/>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70053</xdr:colOff>
      <xdr:row>33</xdr:row>
      <xdr:rowOff>161573</xdr:rowOff>
    </xdr:from>
    <xdr:to>
      <xdr:col>26</xdr:col>
      <xdr:colOff>710133</xdr:colOff>
      <xdr:row>33</xdr:row>
      <xdr:rowOff>161573</xdr:rowOff>
    </xdr:to>
    <xdr:cxnSp macro="">
      <xdr:nvCxnSpPr>
        <xdr:cNvPr id="511" name="Straight Connector 510">
          <a:extLst>
            <a:ext uri="{FF2B5EF4-FFF2-40B4-BE49-F238E27FC236}">
              <a16:creationId xmlns:a16="http://schemas.microsoft.com/office/drawing/2014/main" id="{1C7F19E7-E18E-4277-84F0-9928163F9A65}"/>
            </a:ext>
          </a:extLst>
        </xdr:cNvPr>
        <xdr:cNvCxnSpPr/>
      </xdr:nvCxnSpPr>
      <xdr:spPr>
        <a:xfrm>
          <a:off x="16738803" y="6105173"/>
          <a:ext cx="5765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71627</xdr:colOff>
      <xdr:row>34</xdr:row>
      <xdr:rowOff>164113</xdr:rowOff>
    </xdr:from>
    <xdr:to>
      <xdr:col>25</xdr:col>
      <xdr:colOff>711707</xdr:colOff>
      <xdr:row>34</xdr:row>
      <xdr:rowOff>164113</xdr:rowOff>
    </xdr:to>
    <xdr:cxnSp macro="">
      <xdr:nvCxnSpPr>
        <xdr:cNvPr id="512" name="Straight Connector 511">
          <a:extLst>
            <a:ext uri="{FF2B5EF4-FFF2-40B4-BE49-F238E27FC236}">
              <a16:creationId xmlns:a16="http://schemas.microsoft.com/office/drawing/2014/main" id="{45E78C3D-6686-421E-8461-646EE5433969}"/>
            </a:ext>
          </a:extLst>
        </xdr:cNvPr>
        <xdr:cNvCxnSpPr/>
      </xdr:nvCxnSpPr>
      <xdr:spPr>
        <a:xfrm>
          <a:off x="15978377" y="6291863"/>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67513</xdr:colOff>
      <xdr:row>34</xdr:row>
      <xdr:rowOff>164113</xdr:rowOff>
    </xdr:from>
    <xdr:to>
      <xdr:col>26</xdr:col>
      <xdr:colOff>707593</xdr:colOff>
      <xdr:row>34</xdr:row>
      <xdr:rowOff>164113</xdr:rowOff>
    </xdr:to>
    <xdr:cxnSp macro="">
      <xdr:nvCxnSpPr>
        <xdr:cNvPr id="513" name="Straight Connector 512">
          <a:extLst>
            <a:ext uri="{FF2B5EF4-FFF2-40B4-BE49-F238E27FC236}">
              <a16:creationId xmlns:a16="http://schemas.microsoft.com/office/drawing/2014/main" id="{09372977-6C99-43D9-97E4-772634D9FE58}"/>
            </a:ext>
          </a:extLst>
        </xdr:cNvPr>
        <xdr:cNvCxnSpPr/>
      </xdr:nvCxnSpPr>
      <xdr:spPr>
        <a:xfrm>
          <a:off x="16736263" y="6291863"/>
          <a:ext cx="58293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67221</xdr:colOff>
      <xdr:row>41</xdr:row>
      <xdr:rowOff>164521</xdr:rowOff>
    </xdr:from>
    <xdr:to>
      <xdr:col>26</xdr:col>
      <xdr:colOff>707301</xdr:colOff>
      <xdr:row>41</xdr:row>
      <xdr:rowOff>164521</xdr:rowOff>
    </xdr:to>
    <xdr:cxnSp macro="">
      <xdr:nvCxnSpPr>
        <xdr:cNvPr id="514" name="Straight Connector 513">
          <a:extLst>
            <a:ext uri="{FF2B5EF4-FFF2-40B4-BE49-F238E27FC236}">
              <a16:creationId xmlns:a16="http://schemas.microsoft.com/office/drawing/2014/main" id="{013778B8-4B80-462C-B61A-4955EDF074E9}"/>
            </a:ext>
          </a:extLst>
        </xdr:cNvPr>
        <xdr:cNvCxnSpPr/>
      </xdr:nvCxnSpPr>
      <xdr:spPr>
        <a:xfrm>
          <a:off x="16735971" y="7441621"/>
          <a:ext cx="58293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67221</xdr:colOff>
      <xdr:row>43</xdr:row>
      <xdr:rowOff>165008</xdr:rowOff>
    </xdr:from>
    <xdr:to>
      <xdr:col>26</xdr:col>
      <xdr:colOff>707301</xdr:colOff>
      <xdr:row>43</xdr:row>
      <xdr:rowOff>165008</xdr:rowOff>
    </xdr:to>
    <xdr:cxnSp macro="">
      <xdr:nvCxnSpPr>
        <xdr:cNvPr id="515" name="Straight Connector 514">
          <a:extLst>
            <a:ext uri="{FF2B5EF4-FFF2-40B4-BE49-F238E27FC236}">
              <a16:creationId xmlns:a16="http://schemas.microsoft.com/office/drawing/2014/main" id="{D272A4B7-C662-4869-A46B-D5081EF7CF5A}"/>
            </a:ext>
          </a:extLst>
        </xdr:cNvPr>
        <xdr:cNvCxnSpPr/>
      </xdr:nvCxnSpPr>
      <xdr:spPr>
        <a:xfrm>
          <a:off x="16735971" y="7810408"/>
          <a:ext cx="58293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64183</xdr:colOff>
      <xdr:row>48</xdr:row>
      <xdr:rowOff>167497</xdr:rowOff>
    </xdr:from>
    <xdr:to>
      <xdr:col>22</xdr:col>
      <xdr:colOff>704263</xdr:colOff>
      <xdr:row>48</xdr:row>
      <xdr:rowOff>167497</xdr:rowOff>
    </xdr:to>
    <xdr:cxnSp macro="">
      <xdr:nvCxnSpPr>
        <xdr:cNvPr id="516" name="Straight Connector 515">
          <a:extLst>
            <a:ext uri="{FF2B5EF4-FFF2-40B4-BE49-F238E27FC236}">
              <a16:creationId xmlns:a16="http://schemas.microsoft.com/office/drawing/2014/main" id="{6747BF9C-A8FB-434E-840C-8D090AC9374E}"/>
            </a:ext>
          </a:extLst>
        </xdr:cNvPr>
        <xdr:cNvCxnSpPr/>
      </xdr:nvCxnSpPr>
      <xdr:spPr>
        <a:xfrm>
          <a:off x="13684933" y="8733647"/>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606525</xdr:colOff>
      <xdr:row>46</xdr:row>
      <xdr:rowOff>139367</xdr:rowOff>
    </xdr:from>
    <xdr:to>
      <xdr:col>27</xdr:col>
      <xdr:colOff>0</xdr:colOff>
      <xdr:row>46</xdr:row>
      <xdr:rowOff>139367</xdr:rowOff>
    </xdr:to>
    <xdr:cxnSp macro="">
      <xdr:nvCxnSpPr>
        <xdr:cNvPr id="517" name="Straight Connector 516">
          <a:extLst>
            <a:ext uri="{FF2B5EF4-FFF2-40B4-BE49-F238E27FC236}">
              <a16:creationId xmlns:a16="http://schemas.microsoft.com/office/drawing/2014/main" id="{3CA16BE9-11FD-4057-AF0F-BC457F477469}"/>
            </a:ext>
          </a:extLst>
        </xdr:cNvPr>
        <xdr:cNvCxnSpPr/>
      </xdr:nvCxnSpPr>
      <xdr:spPr>
        <a:xfrm>
          <a:off x="13617675" y="8337217"/>
          <a:ext cx="3698775"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61632</xdr:colOff>
      <xdr:row>48</xdr:row>
      <xdr:rowOff>167497</xdr:rowOff>
    </xdr:from>
    <xdr:to>
      <xdr:col>23</xdr:col>
      <xdr:colOff>701712</xdr:colOff>
      <xdr:row>48</xdr:row>
      <xdr:rowOff>167497</xdr:rowOff>
    </xdr:to>
    <xdr:cxnSp macro="">
      <xdr:nvCxnSpPr>
        <xdr:cNvPr id="518" name="Straight Connector 517">
          <a:extLst>
            <a:ext uri="{FF2B5EF4-FFF2-40B4-BE49-F238E27FC236}">
              <a16:creationId xmlns:a16="http://schemas.microsoft.com/office/drawing/2014/main" id="{D5190F9B-FCBE-4418-A251-FCACD583AE77}"/>
            </a:ext>
          </a:extLst>
        </xdr:cNvPr>
        <xdr:cNvCxnSpPr/>
      </xdr:nvCxnSpPr>
      <xdr:spPr>
        <a:xfrm>
          <a:off x="14444382" y="8733647"/>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24</xdr:col>
      <xdr:colOff>59079</xdr:colOff>
      <xdr:row>48</xdr:row>
      <xdr:rowOff>167497</xdr:rowOff>
    </xdr:from>
    <xdr:to>
      <xdr:col>24</xdr:col>
      <xdr:colOff>699159</xdr:colOff>
      <xdr:row>48</xdr:row>
      <xdr:rowOff>167497</xdr:rowOff>
    </xdr:to>
    <xdr:cxnSp macro="">
      <xdr:nvCxnSpPr>
        <xdr:cNvPr id="519" name="Straight Connector 518">
          <a:extLst>
            <a:ext uri="{FF2B5EF4-FFF2-40B4-BE49-F238E27FC236}">
              <a16:creationId xmlns:a16="http://schemas.microsoft.com/office/drawing/2014/main" id="{610EB7A9-F965-4C20-9D66-D206F15F0250}"/>
            </a:ext>
          </a:extLst>
        </xdr:cNvPr>
        <xdr:cNvCxnSpPr/>
      </xdr:nvCxnSpPr>
      <xdr:spPr>
        <a:xfrm>
          <a:off x="15203829" y="8733647"/>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68679</xdr:colOff>
      <xdr:row>48</xdr:row>
      <xdr:rowOff>167497</xdr:rowOff>
    </xdr:from>
    <xdr:to>
      <xdr:col>25</xdr:col>
      <xdr:colOff>708759</xdr:colOff>
      <xdr:row>48</xdr:row>
      <xdr:rowOff>167497</xdr:rowOff>
    </xdr:to>
    <xdr:cxnSp macro="">
      <xdr:nvCxnSpPr>
        <xdr:cNvPr id="520" name="Straight Connector 519">
          <a:extLst>
            <a:ext uri="{FF2B5EF4-FFF2-40B4-BE49-F238E27FC236}">
              <a16:creationId xmlns:a16="http://schemas.microsoft.com/office/drawing/2014/main" id="{03FFB24B-9310-46BD-A73F-D2206BE71BEE}"/>
            </a:ext>
          </a:extLst>
        </xdr:cNvPr>
        <xdr:cNvCxnSpPr/>
      </xdr:nvCxnSpPr>
      <xdr:spPr>
        <a:xfrm>
          <a:off x="15975429" y="8733647"/>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63090</xdr:colOff>
      <xdr:row>48</xdr:row>
      <xdr:rowOff>167497</xdr:rowOff>
    </xdr:from>
    <xdr:to>
      <xdr:col>26</xdr:col>
      <xdr:colOff>703170</xdr:colOff>
      <xdr:row>48</xdr:row>
      <xdr:rowOff>167497</xdr:rowOff>
    </xdr:to>
    <xdr:cxnSp macro="">
      <xdr:nvCxnSpPr>
        <xdr:cNvPr id="521" name="Straight Connector 520">
          <a:extLst>
            <a:ext uri="{FF2B5EF4-FFF2-40B4-BE49-F238E27FC236}">
              <a16:creationId xmlns:a16="http://schemas.microsoft.com/office/drawing/2014/main" id="{F281C897-EE5D-4B5A-87B9-01D5ED25E02B}"/>
            </a:ext>
          </a:extLst>
        </xdr:cNvPr>
        <xdr:cNvCxnSpPr/>
      </xdr:nvCxnSpPr>
      <xdr:spPr>
        <a:xfrm>
          <a:off x="16731840" y="8733647"/>
          <a:ext cx="58293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61274</xdr:colOff>
      <xdr:row>54</xdr:row>
      <xdr:rowOff>154333</xdr:rowOff>
    </xdr:from>
    <xdr:to>
      <xdr:col>23</xdr:col>
      <xdr:colOff>701354</xdr:colOff>
      <xdr:row>54</xdr:row>
      <xdr:rowOff>154333</xdr:rowOff>
    </xdr:to>
    <xdr:cxnSp macro="">
      <xdr:nvCxnSpPr>
        <xdr:cNvPr id="522" name="Straight Connector 521">
          <a:extLst>
            <a:ext uri="{FF2B5EF4-FFF2-40B4-BE49-F238E27FC236}">
              <a16:creationId xmlns:a16="http://schemas.microsoft.com/office/drawing/2014/main" id="{539F1FC6-27AF-473E-8CAF-8DBAC3D63D35}"/>
            </a:ext>
          </a:extLst>
        </xdr:cNvPr>
        <xdr:cNvCxnSpPr/>
      </xdr:nvCxnSpPr>
      <xdr:spPr>
        <a:xfrm>
          <a:off x="14444024" y="9672983"/>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24</xdr:col>
      <xdr:colOff>58721</xdr:colOff>
      <xdr:row>54</xdr:row>
      <xdr:rowOff>154333</xdr:rowOff>
    </xdr:from>
    <xdr:to>
      <xdr:col>24</xdr:col>
      <xdr:colOff>698801</xdr:colOff>
      <xdr:row>54</xdr:row>
      <xdr:rowOff>154333</xdr:rowOff>
    </xdr:to>
    <xdr:cxnSp macro="">
      <xdr:nvCxnSpPr>
        <xdr:cNvPr id="523" name="Straight Connector 522">
          <a:extLst>
            <a:ext uri="{FF2B5EF4-FFF2-40B4-BE49-F238E27FC236}">
              <a16:creationId xmlns:a16="http://schemas.microsoft.com/office/drawing/2014/main" id="{5AF769A3-559D-4C67-97DC-BCBCE9403967}"/>
            </a:ext>
          </a:extLst>
        </xdr:cNvPr>
        <xdr:cNvCxnSpPr/>
      </xdr:nvCxnSpPr>
      <xdr:spPr>
        <a:xfrm>
          <a:off x="15203471" y="9672983"/>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14238</xdr:colOff>
      <xdr:row>57</xdr:row>
      <xdr:rowOff>155953</xdr:rowOff>
    </xdr:from>
    <xdr:to>
      <xdr:col>27</xdr:col>
      <xdr:colOff>0</xdr:colOff>
      <xdr:row>57</xdr:row>
      <xdr:rowOff>156614</xdr:rowOff>
    </xdr:to>
    <xdr:cxnSp macro="">
      <xdr:nvCxnSpPr>
        <xdr:cNvPr id="524" name="Straight Connector 523">
          <a:extLst>
            <a:ext uri="{FF2B5EF4-FFF2-40B4-BE49-F238E27FC236}">
              <a16:creationId xmlns:a16="http://schemas.microsoft.com/office/drawing/2014/main" id="{F4282AB3-BA03-4ED0-ADA9-C24B6275C234}"/>
            </a:ext>
          </a:extLst>
        </xdr:cNvPr>
        <xdr:cNvCxnSpPr/>
      </xdr:nvCxnSpPr>
      <xdr:spPr>
        <a:xfrm flipV="1">
          <a:off x="13634988" y="10093703"/>
          <a:ext cx="3681462" cy="661"/>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73838</xdr:colOff>
      <xdr:row>59</xdr:row>
      <xdr:rowOff>155229</xdr:rowOff>
    </xdr:from>
    <xdr:to>
      <xdr:col>23</xdr:col>
      <xdr:colOff>713918</xdr:colOff>
      <xdr:row>59</xdr:row>
      <xdr:rowOff>155229</xdr:rowOff>
    </xdr:to>
    <xdr:cxnSp macro="">
      <xdr:nvCxnSpPr>
        <xdr:cNvPr id="525" name="Straight Connector 524">
          <a:extLst>
            <a:ext uri="{FF2B5EF4-FFF2-40B4-BE49-F238E27FC236}">
              <a16:creationId xmlns:a16="http://schemas.microsoft.com/office/drawing/2014/main" id="{2D4D4822-8D0C-464C-89AC-B872CFC24D57}"/>
            </a:ext>
          </a:extLst>
        </xdr:cNvPr>
        <xdr:cNvCxnSpPr/>
      </xdr:nvCxnSpPr>
      <xdr:spPr>
        <a:xfrm>
          <a:off x="14456588" y="10467629"/>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24</xdr:col>
      <xdr:colOff>71285</xdr:colOff>
      <xdr:row>59</xdr:row>
      <xdr:rowOff>155229</xdr:rowOff>
    </xdr:from>
    <xdr:to>
      <xdr:col>24</xdr:col>
      <xdr:colOff>711365</xdr:colOff>
      <xdr:row>59</xdr:row>
      <xdr:rowOff>155229</xdr:rowOff>
    </xdr:to>
    <xdr:cxnSp macro="">
      <xdr:nvCxnSpPr>
        <xdr:cNvPr id="526" name="Straight Connector 525">
          <a:extLst>
            <a:ext uri="{FF2B5EF4-FFF2-40B4-BE49-F238E27FC236}">
              <a16:creationId xmlns:a16="http://schemas.microsoft.com/office/drawing/2014/main" id="{EC9F6B49-4847-485C-B792-CA038243934A}"/>
            </a:ext>
          </a:extLst>
        </xdr:cNvPr>
        <xdr:cNvCxnSpPr/>
      </xdr:nvCxnSpPr>
      <xdr:spPr>
        <a:xfrm>
          <a:off x="15216035" y="10467629"/>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80885</xdr:colOff>
      <xdr:row>59</xdr:row>
      <xdr:rowOff>155229</xdr:rowOff>
    </xdr:from>
    <xdr:to>
      <xdr:col>25</xdr:col>
      <xdr:colOff>720965</xdr:colOff>
      <xdr:row>59</xdr:row>
      <xdr:rowOff>155229</xdr:rowOff>
    </xdr:to>
    <xdr:cxnSp macro="">
      <xdr:nvCxnSpPr>
        <xdr:cNvPr id="527" name="Straight Connector 526">
          <a:extLst>
            <a:ext uri="{FF2B5EF4-FFF2-40B4-BE49-F238E27FC236}">
              <a16:creationId xmlns:a16="http://schemas.microsoft.com/office/drawing/2014/main" id="{3B931FF6-3B78-49EE-86DC-6E5EE92717C7}"/>
            </a:ext>
          </a:extLst>
        </xdr:cNvPr>
        <xdr:cNvCxnSpPr/>
      </xdr:nvCxnSpPr>
      <xdr:spPr>
        <a:xfrm>
          <a:off x="15987635" y="10467629"/>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75296</xdr:colOff>
      <xdr:row>59</xdr:row>
      <xdr:rowOff>155229</xdr:rowOff>
    </xdr:from>
    <xdr:to>
      <xdr:col>26</xdr:col>
      <xdr:colOff>715376</xdr:colOff>
      <xdr:row>59</xdr:row>
      <xdr:rowOff>155229</xdr:rowOff>
    </xdr:to>
    <xdr:cxnSp macro="">
      <xdr:nvCxnSpPr>
        <xdr:cNvPr id="528" name="Straight Connector 527">
          <a:extLst>
            <a:ext uri="{FF2B5EF4-FFF2-40B4-BE49-F238E27FC236}">
              <a16:creationId xmlns:a16="http://schemas.microsoft.com/office/drawing/2014/main" id="{7974DCF1-4883-4ED6-AE2B-504EB8F6E434}"/>
            </a:ext>
          </a:extLst>
        </xdr:cNvPr>
        <xdr:cNvCxnSpPr/>
      </xdr:nvCxnSpPr>
      <xdr:spPr>
        <a:xfrm>
          <a:off x="16744046" y="10467629"/>
          <a:ext cx="57023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76885</xdr:colOff>
      <xdr:row>64</xdr:row>
      <xdr:rowOff>159393</xdr:rowOff>
    </xdr:from>
    <xdr:to>
      <xdr:col>23</xdr:col>
      <xdr:colOff>716965</xdr:colOff>
      <xdr:row>64</xdr:row>
      <xdr:rowOff>159393</xdr:rowOff>
    </xdr:to>
    <xdr:cxnSp macro="">
      <xdr:nvCxnSpPr>
        <xdr:cNvPr id="529" name="Straight Connector 528">
          <a:extLst>
            <a:ext uri="{FF2B5EF4-FFF2-40B4-BE49-F238E27FC236}">
              <a16:creationId xmlns:a16="http://schemas.microsoft.com/office/drawing/2014/main" id="{F1456B72-4D29-4A2E-A0C4-B9A7ACEBCEB5}"/>
            </a:ext>
          </a:extLst>
        </xdr:cNvPr>
        <xdr:cNvCxnSpPr/>
      </xdr:nvCxnSpPr>
      <xdr:spPr>
        <a:xfrm>
          <a:off x="14459635" y="11398893"/>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24</xdr:col>
      <xdr:colOff>74332</xdr:colOff>
      <xdr:row>64</xdr:row>
      <xdr:rowOff>159393</xdr:rowOff>
    </xdr:from>
    <xdr:to>
      <xdr:col>24</xdr:col>
      <xdr:colOff>714412</xdr:colOff>
      <xdr:row>64</xdr:row>
      <xdr:rowOff>159393</xdr:rowOff>
    </xdr:to>
    <xdr:cxnSp macro="">
      <xdr:nvCxnSpPr>
        <xdr:cNvPr id="530" name="Straight Connector 529">
          <a:extLst>
            <a:ext uri="{FF2B5EF4-FFF2-40B4-BE49-F238E27FC236}">
              <a16:creationId xmlns:a16="http://schemas.microsoft.com/office/drawing/2014/main" id="{BF815999-4E3E-4D95-AAC5-3853BAD26B7B}"/>
            </a:ext>
          </a:extLst>
        </xdr:cNvPr>
        <xdr:cNvCxnSpPr/>
      </xdr:nvCxnSpPr>
      <xdr:spPr>
        <a:xfrm>
          <a:off x="15219082" y="11398893"/>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83932</xdr:colOff>
      <xdr:row>64</xdr:row>
      <xdr:rowOff>159393</xdr:rowOff>
    </xdr:from>
    <xdr:to>
      <xdr:col>25</xdr:col>
      <xdr:colOff>724012</xdr:colOff>
      <xdr:row>64</xdr:row>
      <xdr:rowOff>159393</xdr:rowOff>
    </xdr:to>
    <xdr:cxnSp macro="">
      <xdr:nvCxnSpPr>
        <xdr:cNvPr id="531" name="Straight Connector 530">
          <a:extLst>
            <a:ext uri="{FF2B5EF4-FFF2-40B4-BE49-F238E27FC236}">
              <a16:creationId xmlns:a16="http://schemas.microsoft.com/office/drawing/2014/main" id="{A3C80B8F-17EB-4446-B25B-52919679A569}"/>
            </a:ext>
          </a:extLst>
        </xdr:cNvPr>
        <xdr:cNvCxnSpPr/>
      </xdr:nvCxnSpPr>
      <xdr:spPr>
        <a:xfrm>
          <a:off x="15990682" y="11398893"/>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78343</xdr:colOff>
      <xdr:row>64</xdr:row>
      <xdr:rowOff>159393</xdr:rowOff>
    </xdr:from>
    <xdr:to>
      <xdr:col>26</xdr:col>
      <xdr:colOff>718423</xdr:colOff>
      <xdr:row>64</xdr:row>
      <xdr:rowOff>159393</xdr:rowOff>
    </xdr:to>
    <xdr:cxnSp macro="">
      <xdr:nvCxnSpPr>
        <xdr:cNvPr id="532" name="Straight Connector 531">
          <a:extLst>
            <a:ext uri="{FF2B5EF4-FFF2-40B4-BE49-F238E27FC236}">
              <a16:creationId xmlns:a16="http://schemas.microsoft.com/office/drawing/2014/main" id="{C01D8916-A995-4F0C-AE26-E48886FE6B50}"/>
            </a:ext>
          </a:extLst>
        </xdr:cNvPr>
        <xdr:cNvCxnSpPr/>
      </xdr:nvCxnSpPr>
      <xdr:spPr>
        <a:xfrm>
          <a:off x="16747093" y="11398893"/>
          <a:ext cx="57023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81638</xdr:colOff>
      <xdr:row>11</xdr:row>
      <xdr:rowOff>169534</xdr:rowOff>
    </xdr:from>
    <xdr:to>
      <xdr:col>20</xdr:col>
      <xdr:colOff>585586</xdr:colOff>
      <xdr:row>11</xdr:row>
      <xdr:rowOff>170691</xdr:rowOff>
    </xdr:to>
    <xdr:cxnSp macro="">
      <xdr:nvCxnSpPr>
        <xdr:cNvPr id="533" name="Straight Connector 532">
          <a:extLst>
            <a:ext uri="{FF2B5EF4-FFF2-40B4-BE49-F238E27FC236}">
              <a16:creationId xmlns:a16="http://schemas.microsoft.com/office/drawing/2014/main" id="{34CDB365-E136-4488-BE53-31BEB30E89C6}"/>
            </a:ext>
          </a:extLst>
        </xdr:cNvPr>
        <xdr:cNvCxnSpPr/>
      </xdr:nvCxnSpPr>
      <xdr:spPr>
        <a:xfrm flipV="1">
          <a:off x="11873588" y="217613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81981</xdr:colOff>
      <xdr:row>16</xdr:row>
      <xdr:rowOff>154837</xdr:rowOff>
    </xdr:from>
    <xdr:to>
      <xdr:col>10</xdr:col>
      <xdr:colOff>585928</xdr:colOff>
      <xdr:row>16</xdr:row>
      <xdr:rowOff>155994</xdr:rowOff>
    </xdr:to>
    <xdr:cxnSp macro="">
      <xdr:nvCxnSpPr>
        <xdr:cNvPr id="534" name="Straight Connector 533">
          <a:extLst>
            <a:ext uri="{FF2B5EF4-FFF2-40B4-BE49-F238E27FC236}">
              <a16:creationId xmlns:a16="http://schemas.microsoft.com/office/drawing/2014/main" id="{21433213-E6E2-4858-95C9-71F79C85BA15}"/>
            </a:ext>
          </a:extLst>
        </xdr:cNvPr>
        <xdr:cNvCxnSpPr/>
      </xdr:nvCxnSpPr>
      <xdr:spPr>
        <a:xfrm flipV="1">
          <a:off x="5777931" y="308853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84473</xdr:colOff>
      <xdr:row>16</xdr:row>
      <xdr:rowOff>154837</xdr:rowOff>
    </xdr:from>
    <xdr:to>
      <xdr:col>12</xdr:col>
      <xdr:colOff>588420</xdr:colOff>
      <xdr:row>16</xdr:row>
      <xdr:rowOff>155994</xdr:rowOff>
    </xdr:to>
    <xdr:cxnSp macro="">
      <xdr:nvCxnSpPr>
        <xdr:cNvPr id="535" name="Straight Connector 534">
          <a:extLst>
            <a:ext uri="{FF2B5EF4-FFF2-40B4-BE49-F238E27FC236}">
              <a16:creationId xmlns:a16="http://schemas.microsoft.com/office/drawing/2014/main" id="{435035E0-1A1C-4B03-9DF0-4D13B63B15BD}"/>
            </a:ext>
          </a:extLst>
        </xdr:cNvPr>
        <xdr:cNvCxnSpPr/>
      </xdr:nvCxnSpPr>
      <xdr:spPr>
        <a:xfrm flipV="1">
          <a:off x="6999623" y="308853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82797</xdr:colOff>
      <xdr:row>16</xdr:row>
      <xdr:rowOff>154837</xdr:rowOff>
    </xdr:from>
    <xdr:to>
      <xdr:col>14</xdr:col>
      <xdr:colOff>586744</xdr:colOff>
      <xdr:row>16</xdr:row>
      <xdr:rowOff>155994</xdr:rowOff>
    </xdr:to>
    <xdr:cxnSp macro="">
      <xdr:nvCxnSpPr>
        <xdr:cNvPr id="536" name="Straight Connector 535">
          <a:extLst>
            <a:ext uri="{FF2B5EF4-FFF2-40B4-BE49-F238E27FC236}">
              <a16:creationId xmlns:a16="http://schemas.microsoft.com/office/drawing/2014/main" id="{B6E20CDB-B1A4-41AE-89AE-372925877854}"/>
            </a:ext>
          </a:extLst>
        </xdr:cNvPr>
        <xdr:cNvCxnSpPr/>
      </xdr:nvCxnSpPr>
      <xdr:spPr>
        <a:xfrm flipV="1">
          <a:off x="8217147" y="308853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92541</xdr:colOff>
      <xdr:row>16</xdr:row>
      <xdr:rowOff>154837</xdr:rowOff>
    </xdr:from>
    <xdr:to>
      <xdr:col>16</xdr:col>
      <xdr:colOff>596489</xdr:colOff>
      <xdr:row>16</xdr:row>
      <xdr:rowOff>155994</xdr:rowOff>
    </xdr:to>
    <xdr:cxnSp macro="">
      <xdr:nvCxnSpPr>
        <xdr:cNvPr id="537" name="Straight Connector 536">
          <a:extLst>
            <a:ext uri="{FF2B5EF4-FFF2-40B4-BE49-F238E27FC236}">
              <a16:creationId xmlns:a16="http://schemas.microsoft.com/office/drawing/2014/main" id="{0C179335-941A-405F-B0C8-57280E43B95B}"/>
            </a:ext>
          </a:extLst>
        </xdr:cNvPr>
        <xdr:cNvCxnSpPr/>
      </xdr:nvCxnSpPr>
      <xdr:spPr>
        <a:xfrm flipV="1">
          <a:off x="9446091" y="3088537"/>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81638</xdr:colOff>
      <xdr:row>16</xdr:row>
      <xdr:rowOff>154837</xdr:rowOff>
    </xdr:from>
    <xdr:to>
      <xdr:col>18</xdr:col>
      <xdr:colOff>585586</xdr:colOff>
      <xdr:row>16</xdr:row>
      <xdr:rowOff>155994</xdr:rowOff>
    </xdr:to>
    <xdr:cxnSp macro="">
      <xdr:nvCxnSpPr>
        <xdr:cNvPr id="538" name="Straight Connector 537">
          <a:extLst>
            <a:ext uri="{FF2B5EF4-FFF2-40B4-BE49-F238E27FC236}">
              <a16:creationId xmlns:a16="http://schemas.microsoft.com/office/drawing/2014/main" id="{DF79B6B6-FE99-4AE6-BD54-73BD73CE4C09}"/>
            </a:ext>
          </a:extLst>
        </xdr:cNvPr>
        <xdr:cNvCxnSpPr/>
      </xdr:nvCxnSpPr>
      <xdr:spPr>
        <a:xfrm flipV="1">
          <a:off x="10654388" y="3088537"/>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81638</xdr:colOff>
      <xdr:row>11</xdr:row>
      <xdr:rowOff>169534</xdr:rowOff>
    </xdr:from>
    <xdr:to>
      <xdr:col>20</xdr:col>
      <xdr:colOff>585586</xdr:colOff>
      <xdr:row>11</xdr:row>
      <xdr:rowOff>170691</xdr:rowOff>
    </xdr:to>
    <xdr:cxnSp macro="">
      <xdr:nvCxnSpPr>
        <xdr:cNvPr id="539" name="Straight Connector 538">
          <a:extLst>
            <a:ext uri="{FF2B5EF4-FFF2-40B4-BE49-F238E27FC236}">
              <a16:creationId xmlns:a16="http://schemas.microsoft.com/office/drawing/2014/main" id="{D44B7061-837F-4E3E-B62B-11D7951CAE3F}"/>
            </a:ext>
          </a:extLst>
        </xdr:cNvPr>
        <xdr:cNvCxnSpPr/>
      </xdr:nvCxnSpPr>
      <xdr:spPr>
        <a:xfrm flipV="1">
          <a:off x="11873588" y="217613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81638</xdr:colOff>
      <xdr:row>13</xdr:row>
      <xdr:rowOff>154837</xdr:rowOff>
    </xdr:from>
    <xdr:to>
      <xdr:col>20</xdr:col>
      <xdr:colOff>585586</xdr:colOff>
      <xdr:row>13</xdr:row>
      <xdr:rowOff>155994</xdr:rowOff>
    </xdr:to>
    <xdr:cxnSp macro="">
      <xdr:nvCxnSpPr>
        <xdr:cNvPr id="540" name="Straight Connector 539">
          <a:extLst>
            <a:ext uri="{FF2B5EF4-FFF2-40B4-BE49-F238E27FC236}">
              <a16:creationId xmlns:a16="http://schemas.microsoft.com/office/drawing/2014/main" id="{49FA8667-92E3-480C-A2B7-BD752547B48D}"/>
            </a:ext>
          </a:extLst>
        </xdr:cNvPr>
        <xdr:cNvCxnSpPr/>
      </xdr:nvCxnSpPr>
      <xdr:spPr>
        <a:xfrm flipV="1">
          <a:off x="11873588" y="2536087"/>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81638</xdr:colOff>
      <xdr:row>16</xdr:row>
      <xdr:rowOff>158334</xdr:rowOff>
    </xdr:from>
    <xdr:to>
      <xdr:col>20</xdr:col>
      <xdr:colOff>585586</xdr:colOff>
      <xdr:row>16</xdr:row>
      <xdr:rowOff>159491</xdr:rowOff>
    </xdr:to>
    <xdr:cxnSp macro="">
      <xdr:nvCxnSpPr>
        <xdr:cNvPr id="541" name="Straight Connector 540">
          <a:extLst>
            <a:ext uri="{FF2B5EF4-FFF2-40B4-BE49-F238E27FC236}">
              <a16:creationId xmlns:a16="http://schemas.microsoft.com/office/drawing/2014/main" id="{89D987B5-ABC7-424A-9E20-EEB4248884F9}"/>
            </a:ext>
          </a:extLst>
        </xdr:cNvPr>
        <xdr:cNvCxnSpPr/>
      </xdr:nvCxnSpPr>
      <xdr:spPr>
        <a:xfrm flipV="1">
          <a:off x="11873588" y="309203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81638</xdr:colOff>
      <xdr:row>18</xdr:row>
      <xdr:rowOff>166215</xdr:rowOff>
    </xdr:from>
    <xdr:to>
      <xdr:col>20</xdr:col>
      <xdr:colOff>585586</xdr:colOff>
      <xdr:row>18</xdr:row>
      <xdr:rowOff>167372</xdr:rowOff>
    </xdr:to>
    <xdr:cxnSp macro="">
      <xdr:nvCxnSpPr>
        <xdr:cNvPr id="542" name="Straight Connector 541">
          <a:extLst>
            <a:ext uri="{FF2B5EF4-FFF2-40B4-BE49-F238E27FC236}">
              <a16:creationId xmlns:a16="http://schemas.microsoft.com/office/drawing/2014/main" id="{C54AC4C8-4BE2-478F-94E3-8CF8D45DFB75}"/>
            </a:ext>
          </a:extLst>
        </xdr:cNvPr>
        <xdr:cNvCxnSpPr/>
      </xdr:nvCxnSpPr>
      <xdr:spPr>
        <a:xfrm flipV="1">
          <a:off x="11873588" y="3468215"/>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96661</xdr:colOff>
      <xdr:row>23</xdr:row>
      <xdr:rowOff>152197</xdr:rowOff>
    </xdr:from>
    <xdr:to>
      <xdr:col>20</xdr:col>
      <xdr:colOff>600563</xdr:colOff>
      <xdr:row>23</xdr:row>
      <xdr:rowOff>153354</xdr:rowOff>
    </xdr:to>
    <xdr:cxnSp macro="">
      <xdr:nvCxnSpPr>
        <xdr:cNvPr id="543" name="Straight Connector 542">
          <a:extLst>
            <a:ext uri="{FF2B5EF4-FFF2-40B4-BE49-F238E27FC236}">
              <a16:creationId xmlns:a16="http://schemas.microsoft.com/office/drawing/2014/main" id="{378907EA-2E53-475D-8DFD-92986916942D}"/>
            </a:ext>
          </a:extLst>
        </xdr:cNvPr>
        <xdr:cNvCxnSpPr/>
      </xdr:nvCxnSpPr>
      <xdr:spPr>
        <a:xfrm flipV="1">
          <a:off x="11888611" y="4241597"/>
          <a:ext cx="1113502"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81638</xdr:colOff>
      <xdr:row>24</xdr:row>
      <xdr:rowOff>191437</xdr:rowOff>
    </xdr:from>
    <xdr:to>
      <xdr:col>20</xdr:col>
      <xdr:colOff>585586</xdr:colOff>
      <xdr:row>24</xdr:row>
      <xdr:rowOff>192594</xdr:rowOff>
    </xdr:to>
    <xdr:cxnSp macro="">
      <xdr:nvCxnSpPr>
        <xdr:cNvPr id="544" name="Straight Connector 543">
          <a:extLst>
            <a:ext uri="{FF2B5EF4-FFF2-40B4-BE49-F238E27FC236}">
              <a16:creationId xmlns:a16="http://schemas.microsoft.com/office/drawing/2014/main" id="{947144B9-9597-4AA7-8C41-A0CFD9ED1E9A}"/>
            </a:ext>
          </a:extLst>
        </xdr:cNvPr>
        <xdr:cNvCxnSpPr/>
      </xdr:nvCxnSpPr>
      <xdr:spPr>
        <a:xfrm flipV="1">
          <a:off x="11873588" y="4458637"/>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81638</xdr:colOff>
      <xdr:row>25</xdr:row>
      <xdr:rowOff>5545</xdr:rowOff>
    </xdr:from>
    <xdr:to>
      <xdr:col>20</xdr:col>
      <xdr:colOff>585586</xdr:colOff>
      <xdr:row>25</xdr:row>
      <xdr:rowOff>6702</xdr:rowOff>
    </xdr:to>
    <xdr:cxnSp macro="">
      <xdr:nvCxnSpPr>
        <xdr:cNvPr id="545" name="Straight Connector 544">
          <a:extLst>
            <a:ext uri="{FF2B5EF4-FFF2-40B4-BE49-F238E27FC236}">
              <a16:creationId xmlns:a16="http://schemas.microsoft.com/office/drawing/2014/main" id="{3957BBB9-4AE8-4639-8F10-B70BFCBCBD72}"/>
            </a:ext>
          </a:extLst>
        </xdr:cNvPr>
        <xdr:cNvCxnSpPr/>
      </xdr:nvCxnSpPr>
      <xdr:spPr>
        <a:xfrm flipV="1">
          <a:off x="11873588" y="4463245"/>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76561</xdr:colOff>
      <xdr:row>33</xdr:row>
      <xdr:rowOff>162327</xdr:rowOff>
    </xdr:from>
    <xdr:to>
      <xdr:col>20</xdr:col>
      <xdr:colOff>580463</xdr:colOff>
      <xdr:row>33</xdr:row>
      <xdr:rowOff>163484</xdr:rowOff>
    </xdr:to>
    <xdr:cxnSp macro="">
      <xdr:nvCxnSpPr>
        <xdr:cNvPr id="546" name="Straight Connector 545">
          <a:extLst>
            <a:ext uri="{FF2B5EF4-FFF2-40B4-BE49-F238E27FC236}">
              <a16:creationId xmlns:a16="http://schemas.microsoft.com/office/drawing/2014/main" id="{B99880D1-73A2-487E-8BC7-73313AC9F1D8}"/>
            </a:ext>
          </a:extLst>
        </xdr:cNvPr>
        <xdr:cNvCxnSpPr/>
      </xdr:nvCxnSpPr>
      <xdr:spPr>
        <a:xfrm flipV="1">
          <a:off x="11868511" y="6105927"/>
          <a:ext cx="1113502"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76561</xdr:colOff>
      <xdr:row>40</xdr:row>
      <xdr:rowOff>159727</xdr:rowOff>
    </xdr:from>
    <xdr:to>
      <xdr:col>20</xdr:col>
      <xdr:colOff>580463</xdr:colOff>
      <xdr:row>40</xdr:row>
      <xdr:rowOff>160884</xdr:rowOff>
    </xdr:to>
    <xdr:cxnSp macro="">
      <xdr:nvCxnSpPr>
        <xdr:cNvPr id="547" name="Straight Connector 546">
          <a:extLst>
            <a:ext uri="{FF2B5EF4-FFF2-40B4-BE49-F238E27FC236}">
              <a16:creationId xmlns:a16="http://schemas.microsoft.com/office/drawing/2014/main" id="{48E84893-B752-4A44-9B13-BB203101730E}"/>
            </a:ext>
          </a:extLst>
        </xdr:cNvPr>
        <xdr:cNvCxnSpPr/>
      </xdr:nvCxnSpPr>
      <xdr:spPr>
        <a:xfrm flipV="1">
          <a:off x="11868511" y="7252677"/>
          <a:ext cx="1113502"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57761</xdr:colOff>
      <xdr:row>44</xdr:row>
      <xdr:rowOff>162046</xdr:rowOff>
    </xdr:from>
    <xdr:to>
      <xdr:col>20</xdr:col>
      <xdr:colOff>561663</xdr:colOff>
      <xdr:row>44</xdr:row>
      <xdr:rowOff>163364</xdr:rowOff>
    </xdr:to>
    <xdr:cxnSp macro="">
      <xdr:nvCxnSpPr>
        <xdr:cNvPr id="548" name="Straight Connector 547">
          <a:extLst>
            <a:ext uri="{FF2B5EF4-FFF2-40B4-BE49-F238E27FC236}">
              <a16:creationId xmlns:a16="http://schemas.microsoft.com/office/drawing/2014/main" id="{41DEC015-4909-4A59-BF45-B2C644A189F8}"/>
            </a:ext>
          </a:extLst>
        </xdr:cNvPr>
        <xdr:cNvCxnSpPr/>
      </xdr:nvCxnSpPr>
      <xdr:spPr>
        <a:xfrm flipV="1">
          <a:off x="11849711" y="7991596"/>
          <a:ext cx="1113502"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57761</xdr:colOff>
      <xdr:row>53</xdr:row>
      <xdr:rowOff>159446</xdr:rowOff>
    </xdr:from>
    <xdr:to>
      <xdr:col>20</xdr:col>
      <xdr:colOff>561663</xdr:colOff>
      <xdr:row>53</xdr:row>
      <xdr:rowOff>160764</xdr:rowOff>
    </xdr:to>
    <xdr:cxnSp macro="">
      <xdr:nvCxnSpPr>
        <xdr:cNvPr id="549" name="Straight Connector 548">
          <a:extLst>
            <a:ext uri="{FF2B5EF4-FFF2-40B4-BE49-F238E27FC236}">
              <a16:creationId xmlns:a16="http://schemas.microsoft.com/office/drawing/2014/main" id="{63B3BDD1-0D55-4138-81EC-C3C10A833112}"/>
            </a:ext>
          </a:extLst>
        </xdr:cNvPr>
        <xdr:cNvCxnSpPr/>
      </xdr:nvCxnSpPr>
      <xdr:spPr>
        <a:xfrm flipV="1">
          <a:off x="11849711" y="9493946"/>
          <a:ext cx="1113502"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57761</xdr:colOff>
      <xdr:row>54</xdr:row>
      <xdr:rowOff>161846</xdr:rowOff>
    </xdr:from>
    <xdr:to>
      <xdr:col>20</xdr:col>
      <xdr:colOff>561663</xdr:colOff>
      <xdr:row>54</xdr:row>
      <xdr:rowOff>163164</xdr:rowOff>
    </xdr:to>
    <xdr:cxnSp macro="">
      <xdr:nvCxnSpPr>
        <xdr:cNvPr id="550" name="Straight Connector 549">
          <a:extLst>
            <a:ext uri="{FF2B5EF4-FFF2-40B4-BE49-F238E27FC236}">
              <a16:creationId xmlns:a16="http://schemas.microsoft.com/office/drawing/2014/main" id="{277B31ED-86E5-4BC4-BCE8-7800C35E752F}"/>
            </a:ext>
          </a:extLst>
        </xdr:cNvPr>
        <xdr:cNvCxnSpPr/>
      </xdr:nvCxnSpPr>
      <xdr:spPr>
        <a:xfrm flipV="1">
          <a:off x="11849711" y="9680496"/>
          <a:ext cx="1113502"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57761</xdr:colOff>
      <xdr:row>55</xdr:row>
      <xdr:rowOff>4246</xdr:rowOff>
    </xdr:from>
    <xdr:to>
      <xdr:col>20</xdr:col>
      <xdr:colOff>561663</xdr:colOff>
      <xdr:row>55</xdr:row>
      <xdr:rowOff>5564</xdr:rowOff>
    </xdr:to>
    <xdr:cxnSp macro="">
      <xdr:nvCxnSpPr>
        <xdr:cNvPr id="551" name="Straight Connector 550">
          <a:extLst>
            <a:ext uri="{FF2B5EF4-FFF2-40B4-BE49-F238E27FC236}">
              <a16:creationId xmlns:a16="http://schemas.microsoft.com/office/drawing/2014/main" id="{D3355651-AE75-4FDD-8A1C-D1C2821AD34F}"/>
            </a:ext>
          </a:extLst>
        </xdr:cNvPr>
        <xdr:cNvCxnSpPr/>
      </xdr:nvCxnSpPr>
      <xdr:spPr>
        <a:xfrm flipV="1">
          <a:off x="11849711" y="9707046"/>
          <a:ext cx="1113502"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81638</xdr:colOff>
      <xdr:row>16</xdr:row>
      <xdr:rowOff>154837</xdr:rowOff>
    </xdr:from>
    <xdr:to>
      <xdr:col>20</xdr:col>
      <xdr:colOff>585586</xdr:colOff>
      <xdr:row>16</xdr:row>
      <xdr:rowOff>155994</xdr:rowOff>
    </xdr:to>
    <xdr:cxnSp macro="">
      <xdr:nvCxnSpPr>
        <xdr:cNvPr id="552" name="Straight Connector 551">
          <a:extLst>
            <a:ext uri="{FF2B5EF4-FFF2-40B4-BE49-F238E27FC236}">
              <a16:creationId xmlns:a16="http://schemas.microsoft.com/office/drawing/2014/main" id="{D546440F-F377-4E19-B1A6-6DACB7773B65}"/>
            </a:ext>
          </a:extLst>
        </xdr:cNvPr>
        <xdr:cNvCxnSpPr/>
      </xdr:nvCxnSpPr>
      <xdr:spPr>
        <a:xfrm flipV="1">
          <a:off x="11873588" y="3088537"/>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81981</xdr:colOff>
      <xdr:row>24</xdr:row>
      <xdr:rowOff>191437</xdr:rowOff>
    </xdr:from>
    <xdr:to>
      <xdr:col>12</xdr:col>
      <xdr:colOff>585928</xdr:colOff>
      <xdr:row>24</xdr:row>
      <xdr:rowOff>192594</xdr:rowOff>
    </xdr:to>
    <xdr:cxnSp macro="">
      <xdr:nvCxnSpPr>
        <xdr:cNvPr id="553" name="Straight Connector 552">
          <a:extLst>
            <a:ext uri="{FF2B5EF4-FFF2-40B4-BE49-F238E27FC236}">
              <a16:creationId xmlns:a16="http://schemas.microsoft.com/office/drawing/2014/main" id="{8E0E39C6-67E8-4BC5-9926-B539D3F9C02C}"/>
            </a:ext>
          </a:extLst>
        </xdr:cNvPr>
        <xdr:cNvCxnSpPr/>
      </xdr:nvCxnSpPr>
      <xdr:spPr>
        <a:xfrm flipV="1">
          <a:off x="6997131" y="445863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81981</xdr:colOff>
      <xdr:row>25</xdr:row>
      <xdr:rowOff>5545</xdr:rowOff>
    </xdr:from>
    <xdr:to>
      <xdr:col>12</xdr:col>
      <xdr:colOff>585928</xdr:colOff>
      <xdr:row>25</xdr:row>
      <xdr:rowOff>6702</xdr:rowOff>
    </xdr:to>
    <xdr:cxnSp macro="">
      <xdr:nvCxnSpPr>
        <xdr:cNvPr id="554" name="Straight Connector 553">
          <a:extLst>
            <a:ext uri="{FF2B5EF4-FFF2-40B4-BE49-F238E27FC236}">
              <a16:creationId xmlns:a16="http://schemas.microsoft.com/office/drawing/2014/main" id="{72296548-61D6-4054-AD91-FEBF9203E6C8}"/>
            </a:ext>
          </a:extLst>
        </xdr:cNvPr>
        <xdr:cNvCxnSpPr/>
      </xdr:nvCxnSpPr>
      <xdr:spPr>
        <a:xfrm flipV="1">
          <a:off x="6997131" y="446324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81981</xdr:colOff>
      <xdr:row>24</xdr:row>
      <xdr:rowOff>191437</xdr:rowOff>
    </xdr:from>
    <xdr:to>
      <xdr:col>14</xdr:col>
      <xdr:colOff>585928</xdr:colOff>
      <xdr:row>24</xdr:row>
      <xdr:rowOff>192594</xdr:rowOff>
    </xdr:to>
    <xdr:cxnSp macro="">
      <xdr:nvCxnSpPr>
        <xdr:cNvPr id="555" name="Straight Connector 554">
          <a:extLst>
            <a:ext uri="{FF2B5EF4-FFF2-40B4-BE49-F238E27FC236}">
              <a16:creationId xmlns:a16="http://schemas.microsoft.com/office/drawing/2014/main" id="{F6C8DCF0-C493-4764-A8A1-E00ADFE2C339}"/>
            </a:ext>
          </a:extLst>
        </xdr:cNvPr>
        <xdr:cNvCxnSpPr/>
      </xdr:nvCxnSpPr>
      <xdr:spPr>
        <a:xfrm flipV="1">
          <a:off x="8216331" y="445863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81981</xdr:colOff>
      <xdr:row>25</xdr:row>
      <xdr:rowOff>5545</xdr:rowOff>
    </xdr:from>
    <xdr:to>
      <xdr:col>14</xdr:col>
      <xdr:colOff>585928</xdr:colOff>
      <xdr:row>25</xdr:row>
      <xdr:rowOff>6702</xdr:rowOff>
    </xdr:to>
    <xdr:cxnSp macro="">
      <xdr:nvCxnSpPr>
        <xdr:cNvPr id="556" name="Straight Connector 555">
          <a:extLst>
            <a:ext uri="{FF2B5EF4-FFF2-40B4-BE49-F238E27FC236}">
              <a16:creationId xmlns:a16="http://schemas.microsoft.com/office/drawing/2014/main" id="{181F8EE7-4BB3-4547-80D1-7DEC8C6B119D}"/>
            </a:ext>
          </a:extLst>
        </xdr:cNvPr>
        <xdr:cNvCxnSpPr/>
      </xdr:nvCxnSpPr>
      <xdr:spPr>
        <a:xfrm flipV="1">
          <a:off x="8216331" y="446324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81981</xdr:colOff>
      <xdr:row>24</xdr:row>
      <xdr:rowOff>191437</xdr:rowOff>
    </xdr:from>
    <xdr:to>
      <xdr:col>16</xdr:col>
      <xdr:colOff>585928</xdr:colOff>
      <xdr:row>24</xdr:row>
      <xdr:rowOff>192594</xdr:rowOff>
    </xdr:to>
    <xdr:cxnSp macro="">
      <xdr:nvCxnSpPr>
        <xdr:cNvPr id="557" name="Straight Connector 556">
          <a:extLst>
            <a:ext uri="{FF2B5EF4-FFF2-40B4-BE49-F238E27FC236}">
              <a16:creationId xmlns:a16="http://schemas.microsoft.com/office/drawing/2014/main" id="{A7FD7420-9DC4-493D-AB29-7C0BD911374D}"/>
            </a:ext>
          </a:extLst>
        </xdr:cNvPr>
        <xdr:cNvCxnSpPr/>
      </xdr:nvCxnSpPr>
      <xdr:spPr>
        <a:xfrm flipV="1">
          <a:off x="9435531" y="445863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81981</xdr:colOff>
      <xdr:row>25</xdr:row>
      <xdr:rowOff>5545</xdr:rowOff>
    </xdr:from>
    <xdr:to>
      <xdr:col>16</xdr:col>
      <xdr:colOff>585928</xdr:colOff>
      <xdr:row>25</xdr:row>
      <xdr:rowOff>6702</xdr:rowOff>
    </xdr:to>
    <xdr:cxnSp macro="">
      <xdr:nvCxnSpPr>
        <xdr:cNvPr id="558" name="Straight Connector 557">
          <a:extLst>
            <a:ext uri="{FF2B5EF4-FFF2-40B4-BE49-F238E27FC236}">
              <a16:creationId xmlns:a16="http://schemas.microsoft.com/office/drawing/2014/main" id="{5C63C0D4-894C-4596-AF71-B8C8FBDDD10A}"/>
            </a:ext>
          </a:extLst>
        </xdr:cNvPr>
        <xdr:cNvCxnSpPr/>
      </xdr:nvCxnSpPr>
      <xdr:spPr>
        <a:xfrm flipV="1">
          <a:off x="9435531" y="446324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81981</xdr:colOff>
      <xdr:row>24</xdr:row>
      <xdr:rowOff>191437</xdr:rowOff>
    </xdr:from>
    <xdr:to>
      <xdr:col>18</xdr:col>
      <xdr:colOff>585928</xdr:colOff>
      <xdr:row>24</xdr:row>
      <xdr:rowOff>192594</xdr:rowOff>
    </xdr:to>
    <xdr:cxnSp macro="">
      <xdr:nvCxnSpPr>
        <xdr:cNvPr id="559" name="Straight Connector 558">
          <a:extLst>
            <a:ext uri="{FF2B5EF4-FFF2-40B4-BE49-F238E27FC236}">
              <a16:creationId xmlns:a16="http://schemas.microsoft.com/office/drawing/2014/main" id="{A8F0FE96-EFA0-4947-81E7-2DE823576693}"/>
            </a:ext>
          </a:extLst>
        </xdr:cNvPr>
        <xdr:cNvCxnSpPr/>
      </xdr:nvCxnSpPr>
      <xdr:spPr>
        <a:xfrm flipV="1">
          <a:off x="10654731" y="445863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81981</xdr:colOff>
      <xdr:row>25</xdr:row>
      <xdr:rowOff>5545</xdr:rowOff>
    </xdr:from>
    <xdr:to>
      <xdr:col>18</xdr:col>
      <xdr:colOff>585928</xdr:colOff>
      <xdr:row>25</xdr:row>
      <xdr:rowOff>6702</xdr:rowOff>
    </xdr:to>
    <xdr:cxnSp macro="">
      <xdr:nvCxnSpPr>
        <xdr:cNvPr id="560" name="Straight Connector 559">
          <a:extLst>
            <a:ext uri="{FF2B5EF4-FFF2-40B4-BE49-F238E27FC236}">
              <a16:creationId xmlns:a16="http://schemas.microsoft.com/office/drawing/2014/main" id="{E3288205-596E-4EFA-8DC2-93DA4A841C56}"/>
            </a:ext>
          </a:extLst>
        </xdr:cNvPr>
        <xdr:cNvCxnSpPr/>
      </xdr:nvCxnSpPr>
      <xdr:spPr>
        <a:xfrm flipV="1">
          <a:off x="10654731" y="446324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81981</xdr:colOff>
      <xdr:row>24</xdr:row>
      <xdr:rowOff>191437</xdr:rowOff>
    </xdr:from>
    <xdr:to>
      <xdr:col>20</xdr:col>
      <xdr:colOff>585928</xdr:colOff>
      <xdr:row>24</xdr:row>
      <xdr:rowOff>192594</xdr:rowOff>
    </xdr:to>
    <xdr:cxnSp macro="">
      <xdr:nvCxnSpPr>
        <xdr:cNvPr id="561" name="Straight Connector 560">
          <a:extLst>
            <a:ext uri="{FF2B5EF4-FFF2-40B4-BE49-F238E27FC236}">
              <a16:creationId xmlns:a16="http://schemas.microsoft.com/office/drawing/2014/main" id="{8F5EC01E-E65B-45EC-84F4-FD8181922BC5}"/>
            </a:ext>
          </a:extLst>
        </xdr:cNvPr>
        <xdr:cNvCxnSpPr/>
      </xdr:nvCxnSpPr>
      <xdr:spPr>
        <a:xfrm flipV="1">
          <a:off x="11873931" y="445863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81981</xdr:colOff>
      <xdr:row>25</xdr:row>
      <xdr:rowOff>5545</xdr:rowOff>
    </xdr:from>
    <xdr:to>
      <xdr:col>20</xdr:col>
      <xdr:colOff>585928</xdr:colOff>
      <xdr:row>25</xdr:row>
      <xdr:rowOff>6702</xdr:rowOff>
    </xdr:to>
    <xdr:cxnSp macro="">
      <xdr:nvCxnSpPr>
        <xdr:cNvPr id="562" name="Straight Connector 561">
          <a:extLst>
            <a:ext uri="{FF2B5EF4-FFF2-40B4-BE49-F238E27FC236}">
              <a16:creationId xmlns:a16="http://schemas.microsoft.com/office/drawing/2014/main" id="{F335C96B-7101-461D-9930-DF382CEE4D46}"/>
            </a:ext>
          </a:extLst>
        </xdr:cNvPr>
        <xdr:cNvCxnSpPr/>
      </xdr:nvCxnSpPr>
      <xdr:spPr>
        <a:xfrm flipV="1">
          <a:off x="11873931" y="446324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81981</xdr:colOff>
      <xdr:row>27</xdr:row>
      <xdr:rowOff>191437</xdr:rowOff>
    </xdr:from>
    <xdr:to>
      <xdr:col>10</xdr:col>
      <xdr:colOff>585928</xdr:colOff>
      <xdr:row>27</xdr:row>
      <xdr:rowOff>192594</xdr:rowOff>
    </xdr:to>
    <xdr:cxnSp macro="">
      <xdr:nvCxnSpPr>
        <xdr:cNvPr id="563" name="Straight Connector 562">
          <a:extLst>
            <a:ext uri="{FF2B5EF4-FFF2-40B4-BE49-F238E27FC236}">
              <a16:creationId xmlns:a16="http://schemas.microsoft.com/office/drawing/2014/main" id="{3ABB848E-50B6-4746-B340-9281FCC98D3D}"/>
            </a:ext>
          </a:extLst>
        </xdr:cNvPr>
        <xdr:cNvCxnSpPr/>
      </xdr:nvCxnSpPr>
      <xdr:spPr>
        <a:xfrm flipV="1">
          <a:off x="5777931" y="501108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81981</xdr:colOff>
      <xdr:row>28</xdr:row>
      <xdr:rowOff>5545</xdr:rowOff>
    </xdr:from>
    <xdr:to>
      <xdr:col>10</xdr:col>
      <xdr:colOff>585928</xdr:colOff>
      <xdr:row>28</xdr:row>
      <xdr:rowOff>6702</xdr:rowOff>
    </xdr:to>
    <xdr:cxnSp macro="">
      <xdr:nvCxnSpPr>
        <xdr:cNvPr id="564" name="Straight Connector 563">
          <a:extLst>
            <a:ext uri="{FF2B5EF4-FFF2-40B4-BE49-F238E27FC236}">
              <a16:creationId xmlns:a16="http://schemas.microsoft.com/office/drawing/2014/main" id="{9B3946CB-63FC-4C07-8E99-F34A05631433}"/>
            </a:ext>
          </a:extLst>
        </xdr:cNvPr>
        <xdr:cNvCxnSpPr/>
      </xdr:nvCxnSpPr>
      <xdr:spPr>
        <a:xfrm flipV="1">
          <a:off x="5777931" y="501569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81981</xdr:colOff>
      <xdr:row>27</xdr:row>
      <xdr:rowOff>191437</xdr:rowOff>
    </xdr:from>
    <xdr:to>
      <xdr:col>12</xdr:col>
      <xdr:colOff>585928</xdr:colOff>
      <xdr:row>27</xdr:row>
      <xdr:rowOff>192594</xdr:rowOff>
    </xdr:to>
    <xdr:cxnSp macro="">
      <xdr:nvCxnSpPr>
        <xdr:cNvPr id="565" name="Straight Connector 564">
          <a:extLst>
            <a:ext uri="{FF2B5EF4-FFF2-40B4-BE49-F238E27FC236}">
              <a16:creationId xmlns:a16="http://schemas.microsoft.com/office/drawing/2014/main" id="{8C642E5B-4950-4CC3-8E02-05292D75E22B}"/>
            </a:ext>
          </a:extLst>
        </xdr:cNvPr>
        <xdr:cNvCxnSpPr/>
      </xdr:nvCxnSpPr>
      <xdr:spPr>
        <a:xfrm flipV="1">
          <a:off x="6997131" y="501108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81981</xdr:colOff>
      <xdr:row>28</xdr:row>
      <xdr:rowOff>5545</xdr:rowOff>
    </xdr:from>
    <xdr:to>
      <xdr:col>12</xdr:col>
      <xdr:colOff>585928</xdr:colOff>
      <xdr:row>28</xdr:row>
      <xdr:rowOff>6702</xdr:rowOff>
    </xdr:to>
    <xdr:cxnSp macro="">
      <xdr:nvCxnSpPr>
        <xdr:cNvPr id="566" name="Straight Connector 565">
          <a:extLst>
            <a:ext uri="{FF2B5EF4-FFF2-40B4-BE49-F238E27FC236}">
              <a16:creationId xmlns:a16="http://schemas.microsoft.com/office/drawing/2014/main" id="{1E9F3D1C-E862-4605-8E0A-180A298C3DC2}"/>
            </a:ext>
          </a:extLst>
        </xdr:cNvPr>
        <xdr:cNvCxnSpPr/>
      </xdr:nvCxnSpPr>
      <xdr:spPr>
        <a:xfrm flipV="1">
          <a:off x="6997131" y="501569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81981</xdr:colOff>
      <xdr:row>27</xdr:row>
      <xdr:rowOff>191437</xdr:rowOff>
    </xdr:from>
    <xdr:to>
      <xdr:col>14</xdr:col>
      <xdr:colOff>585928</xdr:colOff>
      <xdr:row>27</xdr:row>
      <xdr:rowOff>192594</xdr:rowOff>
    </xdr:to>
    <xdr:cxnSp macro="">
      <xdr:nvCxnSpPr>
        <xdr:cNvPr id="567" name="Straight Connector 566">
          <a:extLst>
            <a:ext uri="{FF2B5EF4-FFF2-40B4-BE49-F238E27FC236}">
              <a16:creationId xmlns:a16="http://schemas.microsoft.com/office/drawing/2014/main" id="{9A14797E-E982-4FF3-8FDA-6AE1D0A9FC7A}"/>
            </a:ext>
          </a:extLst>
        </xdr:cNvPr>
        <xdr:cNvCxnSpPr/>
      </xdr:nvCxnSpPr>
      <xdr:spPr>
        <a:xfrm flipV="1">
          <a:off x="8216331" y="501108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81981</xdr:colOff>
      <xdr:row>28</xdr:row>
      <xdr:rowOff>5545</xdr:rowOff>
    </xdr:from>
    <xdr:to>
      <xdr:col>14</xdr:col>
      <xdr:colOff>585928</xdr:colOff>
      <xdr:row>28</xdr:row>
      <xdr:rowOff>6702</xdr:rowOff>
    </xdr:to>
    <xdr:cxnSp macro="">
      <xdr:nvCxnSpPr>
        <xdr:cNvPr id="568" name="Straight Connector 567">
          <a:extLst>
            <a:ext uri="{FF2B5EF4-FFF2-40B4-BE49-F238E27FC236}">
              <a16:creationId xmlns:a16="http://schemas.microsoft.com/office/drawing/2014/main" id="{80715A61-8E43-4669-AC7D-617A32583AF9}"/>
            </a:ext>
          </a:extLst>
        </xdr:cNvPr>
        <xdr:cNvCxnSpPr/>
      </xdr:nvCxnSpPr>
      <xdr:spPr>
        <a:xfrm flipV="1">
          <a:off x="8216331" y="501569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81981</xdr:colOff>
      <xdr:row>27</xdr:row>
      <xdr:rowOff>191437</xdr:rowOff>
    </xdr:from>
    <xdr:to>
      <xdr:col>16</xdr:col>
      <xdr:colOff>585928</xdr:colOff>
      <xdr:row>27</xdr:row>
      <xdr:rowOff>192594</xdr:rowOff>
    </xdr:to>
    <xdr:cxnSp macro="">
      <xdr:nvCxnSpPr>
        <xdr:cNvPr id="569" name="Straight Connector 568">
          <a:extLst>
            <a:ext uri="{FF2B5EF4-FFF2-40B4-BE49-F238E27FC236}">
              <a16:creationId xmlns:a16="http://schemas.microsoft.com/office/drawing/2014/main" id="{5773AD60-4B1C-4FE9-809C-96E2113C7CA0}"/>
            </a:ext>
          </a:extLst>
        </xdr:cNvPr>
        <xdr:cNvCxnSpPr/>
      </xdr:nvCxnSpPr>
      <xdr:spPr>
        <a:xfrm flipV="1">
          <a:off x="9435531" y="501108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81981</xdr:colOff>
      <xdr:row>28</xdr:row>
      <xdr:rowOff>5545</xdr:rowOff>
    </xdr:from>
    <xdr:to>
      <xdr:col>16</xdr:col>
      <xdr:colOff>585928</xdr:colOff>
      <xdr:row>28</xdr:row>
      <xdr:rowOff>6702</xdr:rowOff>
    </xdr:to>
    <xdr:cxnSp macro="">
      <xdr:nvCxnSpPr>
        <xdr:cNvPr id="570" name="Straight Connector 569">
          <a:extLst>
            <a:ext uri="{FF2B5EF4-FFF2-40B4-BE49-F238E27FC236}">
              <a16:creationId xmlns:a16="http://schemas.microsoft.com/office/drawing/2014/main" id="{38CCDA96-79DD-4A85-94E7-190CACF3EC4F}"/>
            </a:ext>
          </a:extLst>
        </xdr:cNvPr>
        <xdr:cNvCxnSpPr/>
      </xdr:nvCxnSpPr>
      <xdr:spPr>
        <a:xfrm flipV="1">
          <a:off x="9435531" y="501569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81981</xdr:colOff>
      <xdr:row>27</xdr:row>
      <xdr:rowOff>191437</xdr:rowOff>
    </xdr:from>
    <xdr:to>
      <xdr:col>18</xdr:col>
      <xdr:colOff>585928</xdr:colOff>
      <xdr:row>27</xdr:row>
      <xdr:rowOff>192594</xdr:rowOff>
    </xdr:to>
    <xdr:cxnSp macro="">
      <xdr:nvCxnSpPr>
        <xdr:cNvPr id="571" name="Straight Connector 570">
          <a:extLst>
            <a:ext uri="{FF2B5EF4-FFF2-40B4-BE49-F238E27FC236}">
              <a16:creationId xmlns:a16="http://schemas.microsoft.com/office/drawing/2014/main" id="{ECD86D57-E1AA-41DC-9CE3-87AE4501466C}"/>
            </a:ext>
          </a:extLst>
        </xdr:cNvPr>
        <xdr:cNvCxnSpPr/>
      </xdr:nvCxnSpPr>
      <xdr:spPr>
        <a:xfrm flipV="1">
          <a:off x="10654731" y="501108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81981</xdr:colOff>
      <xdr:row>28</xdr:row>
      <xdr:rowOff>5545</xdr:rowOff>
    </xdr:from>
    <xdr:to>
      <xdr:col>18</xdr:col>
      <xdr:colOff>585928</xdr:colOff>
      <xdr:row>28</xdr:row>
      <xdr:rowOff>6702</xdr:rowOff>
    </xdr:to>
    <xdr:cxnSp macro="">
      <xdr:nvCxnSpPr>
        <xdr:cNvPr id="572" name="Straight Connector 571">
          <a:extLst>
            <a:ext uri="{FF2B5EF4-FFF2-40B4-BE49-F238E27FC236}">
              <a16:creationId xmlns:a16="http://schemas.microsoft.com/office/drawing/2014/main" id="{A478F2EE-65E2-40D8-837E-096DF3D37FB9}"/>
            </a:ext>
          </a:extLst>
        </xdr:cNvPr>
        <xdr:cNvCxnSpPr/>
      </xdr:nvCxnSpPr>
      <xdr:spPr>
        <a:xfrm flipV="1">
          <a:off x="10654731" y="501569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81981</xdr:colOff>
      <xdr:row>27</xdr:row>
      <xdr:rowOff>191437</xdr:rowOff>
    </xdr:from>
    <xdr:to>
      <xdr:col>20</xdr:col>
      <xdr:colOff>585928</xdr:colOff>
      <xdr:row>27</xdr:row>
      <xdr:rowOff>192594</xdr:rowOff>
    </xdr:to>
    <xdr:cxnSp macro="">
      <xdr:nvCxnSpPr>
        <xdr:cNvPr id="573" name="Straight Connector 572">
          <a:extLst>
            <a:ext uri="{FF2B5EF4-FFF2-40B4-BE49-F238E27FC236}">
              <a16:creationId xmlns:a16="http://schemas.microsoft.com/office/drawing/2014/main" id="{C3A79E73-07FE-48B5-8579-9DEF63015303}"/>
            </a:ext>
          </a:extLst>
        </xdr:cNvPr>
        <xdr:cNvCxnSpPr/>
      </xdr:nvCxnSpPr>
      <xdr:spPr>
        <a:xfrm flipV="1">
          <a:off x="11873931" y="501108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81981</xdr:colOff>
      <xdr:row>28</xdr:row>
      <xdr:rowOff>5545</xdr:rowOff>
    </xdr:from>
    <xdr:to>
      <xdr:col>20</xdr:col>
      <xdr:colOff>585928</xdr:colOff>
      <xdr:row>28</xdr:row>
      <xdr:rowOff>6702</xdr:rowOff>
    </xdr:to>
    <xdr:cxnSp macro="">
      <xdr:nvCxnSpPr>
        <xdr:cNvPr id="574" name="Straight Connector 573">
          <a:extLst>
            <a:ext uri="{FF2B5EF4-FFF2-40B4-BE49-F238E27FC236}">
              <a16:creationId xmlns:a16="http://schemas.microsoft.com/office/drawing/2014/main" id="{361BFBD8-F5B3-4E7B-B8B1-A02436747E0C}"/>
            </a:ext>
          </a:extLst>
        </xdr:cNvPr>
        <xdr:cNvCxnSpPr/>
      </xdr:nvCxnSpPr>
      <xdr:spPr>
        <a:xfrm flipV="1">
          <a:off x="11873931" y="501569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58081</xdr:colOff>
      <xdr:row>44</xdr:row>
      <xdr:rowOff>162046</xdr:rowOff>
    </xdr:from>
    <xdr:to>
      <xdr:col>12</xdr:col>
      <xdr:colOff>562028</xdr:colOff>
      <xdr:row>44</xdr:row>
      <xdr:rowOff>163364</xdr:rowOff>
    </xdr:to>
    <xdr:cxnSp macro="">
      <xdr:nvCxnSpPr>
        <xdr:cNvPr id="575" name="Straight Connector 574">
          <a:extLst>
            <a:ext uri="{FF2B5EF4-FFF2-40B4-BE49-F238E27FC236}">
              <a16:creationId xmlns:a16="http://schemas.microsoft.com/office/drawing/2014/main" id="{4B979349-4BB6-4D5A-A082-F66A3499E7FB}"/>
            </a:ext>
          </a:extLst>
        </xdr:cNvPr>
        <xdr:cNvCxnSpPr/>
      </xdr:nvCxnSpPr>
      <xdr:spPr>
        <a:xfrm flipV="1">
          <a:off x="6973231" y="79915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58081</xdr:colOff>
      <xdr:row>44</xdr:row>
      <xdr:rowOff>162046</xdr:rowOff>
    </xdr:from>
    <xdr:to>
      <xdr:col>14</xdr:col>
      <xdr:colOff>562028</xdr:colOff>
      <xdr:row>44</xdr:row>
      <xdr:rowOff>163364</xdr:rowOff>
    </xdr:to>
    <xdr:cxnSp macro="">
      <xdr:nvCxnSpPr>
        <xdr:cNvPr id="576" name="Straight Connector 575">
          <a:extLst>
            <a:ext uri="{FF2B5EF4-FFF2-40B4-BE49-F238E27FC236}">
              <a16:creationId xmlns:a16="http://schemas.microsoft.com/office/drawing/2014/main" id="{CBAA7DEF-1A7E-47CC-A391-DAD5400E1ED5}"/>
            </a:ext>
          </a:extLst>
        </xdr:cNvPr>
        <xdr:cNvCxnSpPr/>
      </xdr:nvCxnSpPr>
      <xdr:spPr>
        <a:xfrm flipV="1">
          <a:off x="8192431" y="79915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58081</xdr:colOff>
      <xdr:row>44</xdr:row>
      <xdr:rowOff>162046</xdr:rowOff>
    </xdr:from>
    <xdr:to>
      <xdr:col>16</xdr:col>
      <xdr:colOff>562028</xdr:colOff>
      <xdr:row>44</xdr:row>
      <xdr:rowOff>163364</xdr:rowOff>
    </xdr:to>
    <xdr:cxnSp macro="">
      <xdr:nvCxnSpPr>
        <xdr:cNvPr id="577" name="Straight Connector 576">
          <a:extLst>
            <a:ext uri="{FF2B5EF4-FFF2-40B4-BE49-F238E27FC236}">
              <a16:creationId xmlns:a16="http://schemas.microsoft.com/office/drawing/2014/main" id="{6390BF56-00DD-4262-B53C-5D93DE142A0B}"/>
            </a:ext>
          </a:extLst>
        </xdr:cNvPr>
        <xdr:cNvCxnSpPr/>
      </xdr:nvCxnSpPr>
      <xdr:spPr>
        <a:xfrm flipV="1">
          <a:off x="9411631" y="79915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58081</xdr:colOff>
      <xdr:row>44</xdr:row>
      <xdr:rowOff>162046</xdr:rowOff>
    </xdr:from>
    <xdr:to>
      <xdr:col>18</xdr:col>
      <xdr:colOff>562028</xdr:colOff>
      <xdr:row>44</xdr:row>
      <xdr:rowOff>163364</xdr:rowOff>
    </xdr:to>
    <xdr:cxnSp macro="">
      <xdr:nvCxnSpPr>
        <xdr:cNvPr id="578" name="Straight Connector 577">
          <a:extLst>
            <a:ext uri="{FF2B5EF4-FFF2-40B4-BE49-F238E27FC236}">
              <a16:creationId xmlns:a16="http://schemas.microsoft.com/office/drawing/2014/main" id="{F9679B10-5339-47F2-982C-6C56FE7B0073}"/>
            </a:ext>
          </a:extLst>
        </xdr:cNvPr>
        <xdr:cNvCxnSpPr/>
      </xdr:nvCxnSpPr>
      <xdr:spPr>
        <a:xfrm flipV="1">
          <a:off x="10630831" y="79915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58081</xdr:colOff>
      <xdr:row>44</xdr:row>
      <xdr:rowOff>162046</xdr:rowOff>
    </xdr:from>
    <xdr:to>
      <xdr:col>20</xdr:col>
      <xdr:colOff>562028</xdr:colOff>
      <xdr:row>44</xdr:row>
      <xdr:rowOff>163364</xdr:rowOff>
    </xdr:to>
    <xdr:cxnSp macro="">
      <xdr:nvCxnSpPr>
        <xdr:cNvPr id="579" name="Straight Connector 578">
          <a:extLst>
            <a:ext uri="{FF2B5EF4-FFF2-40B4-BE49-F238E27FC236}">
              <a16:creationId xmlns:a16="http://schemas.microsoft.com/office/drawing/2014/main" id="{E42A90D3-0AD5-4EC5-8112-75CD9E91C08E}"/>
            </a:ext>
          </a:extLst>
        </xdr:cNvPr>
        <xdr:cNvCxnSpPr/>
      </xdr:nvCxnSpPr>
      <xdr:spPr>
        <a:xfrm flipV="1">
          <a:off x="11850031" y="79915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58081</xdr:colOff>
      <xdr:row>53</xdr:row>
      <xdr:rowOff>159446</xdr:rowOff>
    </xdr:from>
    <xdr:to>
      <xdr:col>12</xdr:col>
      <xdr:colOff>562028</xdr:colOff>
      <xdr:row>53</xdr:row>
      <xdr:rowOff>160764</xdr:rowOff>
    </xdr:to>
    <xdr:cxnSp macro="">
      <xdr:nvCxnSpPr>
        <xdr:cNvPr id="580" name="Straight Connector 579">
          <a:extLst>
            <a:ext uri="{FF2B5EF4-FFF2-40B4-BE49-F238E27FC236}">
              <a16:creationId xmlns:a16="http://schemas.microsoft.com/office/drawing/2014/main" id="{13D7C3DA-B51F-4C61-80F8-04C07CD1F84E}"/>
            </a:ext>
          </a:extLst>
        </xdr:cNvPr>
        <xdr:cNvCxnSpPr/>
      </xdr:nvCxnSpPr>
      <xdr:spPr>
        <a:xfrm flipV="1">
          <a:off x="6973231" y="94939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58081</xdr:colOff>
      <xdr:row>53</xdr:row>
      <xdr:rowOff>159446</xdr:rowOff>
    </xdr:from>
    <xdr:to>
      <xdr:col>14</xdr:col>
      <xdr:colOff>562028</xdr:colOff>
      <xdr:row>53</xdr:row>
      <xdr:rowOff>160764</xdr:rowOff>
    </xdr:to>
    <xdr:cxnSp macro="">
      <xdr:nvCxnSpPr>
        <xdr:cNvPr id="581" name="Straight Connector 580">
          <a:extLst>
            <a:ext uri="{FF2B5EF4-FFF2-40B4-BE49-F238E27FC236}">
              <a16:creationId xmlns:a16="http://schemas.microsoft.com/office/drawing/2014/main" id="{69BED5DA-94B5-4545-BDB3-D432B86DA07F}"/>
            </a:ext>
          </a:extLst>
        </xdr:cNvPr>
        <xdr:cNvCxnSpPr/>
      </xdr:nvCxnSpPr>
      <xdr:spPr>
        <a:xfrm flipV="1">
          <a:off x="8192431" y="94939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58081</xdr:colOff>
      <xdr:row>53</xdr:row>
      <xdr:rowOff>159446</xdr:rowOff>
    </xdr:from>
    <xdr:to>
      <xdr:col>16</xdr:col>
      <xdr:colOff>562028</xdr:colOff>
      <xdr:row>53</xdr:row>
      <xdr:rowOff>160764</xdr:rowOff>
    </xdr:to>
    <xdr:cxnSp macro="">
      <xdr:nvCxnSpPr>
        <xdr:cNvPr id="582" name="Straight Connector 581">
          <a:extLst>
            <a:ext uri="{FF2B5EF4-FFF2-40B4-BE49-F238E27FC236}">
              <a16:creationId xmlns:a16="http://schemas.microsoft.com/office/drawing/2014/main" id="{93746326-90E7-4C37-B4D5-02315E00CB4B}"/>
            </a:ext>
          </a:extLst>
        </xdr:cNvPr>
        <xdr:cNvCxnSpPr/>
      </xdr:nvCxnSpPr>
      <xdr:spPr>
        <a:xfrm flipV="1">
          <a:off x="9411631" y="94939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58081</xdr:colOff>
      <xdr:row>53</xdr:row>
      <xdr:rowOff>159446</xdr:rowOff>
    </xdr:from>
    <xdr:to>
      <xdr:col>18</xdr:col>
      <xdr:colOff>562028</xdr:colOff>
      <xdr:row>53</xdr:row>
      <xdr:rowOff>160764</xdr:rowOff>
    </xdr:to>
    <xdr:cxnSp macro="">
      <xdr:nvCxnSpPr>
        <xdr:cNvPr id="583" name="Straight Connector 582">
          <a:extLst>
            <a:ext uri="{FF2B5EF4-FFF2-40B4-BE49-F238E27FC236}">
              <a16:creationId xmlns:a16="http://schemas.microsoft.com/office/drawing/2014/main" id="{761C45F7-9B2F-45B5-803E-1660233A942E}"/>
            </a:ext>
          </a:extLst>
        </xdr:cNvPr>
        <xdr:cNvCxnSpPr/>
      </xdr:nvCxnSpPr>
      <xdr:spPr>
        <a:xfrm flipV="1">
          <a:off x="10630831" y="94939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58081</xdr:colOff>
      <xdr:row>53</xdr:row>
      <xdr:rowOff>159446</xdr:rowOff>
    </xdr:from>
    <xdr:to>
      <xdr:col>20</xdr:col>
      <xdr:colOff>562028</xdr:colOff>
      <xdr:row>53</xdr:row>
      <xdr:rowOff>160764</xdr:rowOff>
    </xdr:to>
    <xdr:cxnSp macro="">
      <xdr:nvCxnSpPr>
        <xdr:cNvPr id="584" name="Straight Connector 583">
          <a:extLst>
            <a:ext uri="{FF2B5EF4-FFF2-40B4-BE49-F238E27FC236}">
              <a16:creationId xmlns:a16="http://schemas.microsoft.com/office/drawing/2014/main" id="{803ADEE3-3CBD-47D4-8DDE-9541C51C83C4}"/>
            </a:ext>
          </a:extLst>
        </xdr:cNvPr>
        <xdr:cNvCxnSpPr/>
      </xdr:nvCxnSpPr>
      <xdr:spPr>
        <a:xfrm flipV="1">
          <a:off x="11850031" y="94939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58081</xdr:colOff>
      <xdr:row>54</xdr:row>
      <xdr:rowOff>159446</xdr:rowOff>
    </xdr:from>
    <xdr:to>
      <xdr:col>10</xdr:col>
      <xdr:colOff>562028</xdr:colOff>
      <xdr:row>54</xdr:row>
      <xdr:rowOff>160764</xdr:rowOff>
    </xdr:to>
    <xdr:cxnSp macro="">
      <xdr:nvCxnSpPr>
        <xdr:cNvPr id="585" name="Straight Connector 584">
          <a:extLst>
            <a:ext uri="{FF2B5EF4-FFF2-40B4-BE49-F238E27FC236}">
              <a16:creationId xmlns:a16="http://schemas.microsoft.com/office/drawing/2014/main" id="{F43687A7-CFD0-42E4-8BE5-A692604738A0}"/>
            </a:ext>
          </a:extLst>
        </xdr:cNvPr>
        <xdr:cNvCxnSpPr/>
      </xdr:nvCxnSpPr>
      <xdr:spPr>
        <a:xfrm flipV="1">
          <a:off x="5754031" y="96780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58081</xdr:colOff>
      <xdr:row>54</xdr:row>
      <xdr:rowOff>161846</xdr:rowOff>
    </xdr:from>
    <xdr:to>
      <xdr:col>12</xdr:col>
      <xdr:colOff>562028</xdr:colOff>
      <xdr:row>54</xdr:row>
      <xdr:rowOff>163164</xdr:rowOff>
    </xdr:to>
    <xdr:cxnSp macro="">
      <xdr:nvCxnSpPr>
        <xdr:cNvPr id="586" name="Straight Connector 585">
          <a:extLst>
            <a:ext uri="{FF2B5EF4-FFF2-40B4-BE49-F238E27FC236}">
              <a16:creationId xmlns:a16="http://schemas.microsoft.com/office/drawing/2014/main" id="{DDAA9926-3757-4693-B5FD-0A1DBB57B39E}"/>
            </a:ext>
          </a:extLst>
        </xdr:cNvPr>
        <xdr:cNvCxnSpPr/>
      </xdr:nvCxnSpPr>
      <xdr:spPr>
        <a:xfrm flipV="1">
          <a:off x="6973231" y="96804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58081</xdr:colOff>
      <xdr:row>54</xdr:row>
      <xdr:rowOff>159446</xdr:rowOff>
    </xdr:from>
    <xdr:to>
      <xdr:col>12</xdr:col>
      <xdr:colOff>562028</xdr:colOff>
      <xdr:row>54</xdr:row>
      <xdr:rowOff>160764</xdr:rowOff>
    </xdr:to>
    <xdr:cxnSp macro="">
      <xdr:nvCxnSpPr>
        <xdr:cNvPr id="587" name="Straight Connector 586">
          <a:extLst>
            <a:ext uri="{FF2B5EF4-FFF2-40B4-BE49-F238E27FC236}">
              <a16:creationId xmlns:a16="http://schemas.microsoft.com/office/drawing/2014/main" id="{9F953209-EF2C-40DE-9647-BC5B5ECD0332}"/>
            </a:ext>
          </a:extLst>
        </xdr:cNvPr>
        <xdr:cNvCxnSpPr/>
      </xdr:nvCxnSpPr>
      <xdr:spPr>
        <a:xfrm flipV="1">
          <a:off x="6973231" y="96780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58081</xdr:colOff>
      <xdr:row>54</xdr:row>
      <xdr:rowOff>161846</xdr:rowOff>
    </xdr:from>
    <xdr:to>
      <xdr:col>14</xdr:col>
      <xdr:colOff>562028</xdr:colOff>
      <xdr:row>54</xdr:row>
      <xdr:rowOff>163164</xdr:rowOff>
    </xdr:to>
    <xdr:cxnSp macro="">
      <xdr:nvCxnSpPr>
        <xdr:cNvPr id="588" name="Straight Connector 587">
          <a:extLst>
            <a:ext uri="{FF2B5EF4-FFF2-40B4-BE49-F238E27FC236}">
              <a16:creationId xmlns:a16="http://schemas.microsoft.com/office/drawing/2014/main" id="{C90F4CFD-7714-4437-BEC0-FA0A6816AB5E}"/>
            </a:ext>
          </a:extLst>
        </xdr:cNvPr>
        <xdr:cNvCxnSpPr/>
      </xdr:nvCxnSpPr>
      <xdr:spPr>
        <a:xfrm flipV="1">
          <a:off x="8192431" y="96804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58081</xdr:colOff>
      <xdr:row>54</xdr:row>
      <xdr:rowOff>159446</xdr:rowOff>
    </xdr:from>
    <xdr:to>
      <xdr:col>14</xdr:col>
      <xdr:colOff>562028</xdr:colOff>
      <xdr:row>54</xdr:row>
      <xdr:rowOff>160764</xdr:rowOff>
    </xdr:to>
    <xdr:cxnSp macro="">
      <xdr:nvCxnSpPr>
        <xdr:cNvPr id="589" name="Straight Connector 588">
          <a:extLst>
            <a:ext uri="{FF2B5EF4-FFF2-40B4-BE49-F238E27FC236}">
              <a16:creationId xmlns:a16="http://schemas.microsoft.com/office/drawing/2014/main" id="{AEEE93DC-6681-4021-B144-800192E892B3}"/>
            </a:ext>
          </a:extLst>
        </xdr:cNvPr>
        <xdr:cNvCxnSpPr/>
      </xdr:nvCxnSpPr>
      <xdr:spPr>
        <a:xfrm flipV="1">
          <a:off x="8192431" y="96780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58081</xdr:colOff>
      <xdr:row>54</xdr:row>
      <xdr:rowOff>161846</xdr:rowOff>
    </xdr:from>
    <xdr:to>
      <xdr:col>16</xdr:col>
      <xdr:colOff>562028</xdr:colOff>
      <xdr:row>54</xdr:row>
      <xdr:rowOff>163164</xdr:rowOff>
    </xdr:to>
    <xdr:cxnSp macro="">
      <xdr:nvCxnSpPr>
        <xdr:cNvPr id="590" name="Straight Connector 589">
          <a:extLst>
            <a:ext uri="{FF2B5EF4-FFF2-40B4-BE49-F238E27FC236}">
              <a16:creationId xmlns:a16="http://schemas.microsoft.com/office/drawing/2014/main" id="{3759AAF1-F33D-4CA3-B834-5135AECD1B71}"/>
            </a:ext>
          </a:extLst>
        </xdr:cNvPr>
        <xdr:cNvCxnSpPr/>
      </xdr:nvCxnSpPr>
      <xdr:spPr>
        <a:xfrm flipV="1">
          <a:off x="9411631" y="96804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58081</xdr:colOff>
      <xdr:row>54</xdr:row>
      <xdr:rowOff>159446</xdr:rowOff>
    </xdr:from>
    <xdr:to>
      <xdr:col>16</xdr:col>
      <xdr:colOff>562028</xdr:colOff>
      <xdr:row>54</xdr:row>
      <xdr:rowOff>160764</xdr:rowOff>
    </xdr:to>
    <xdr:cxnSp macro="">
      <xdr:nvCxnSpPr>
        <xdr:cNvPr id="591" name="Straight Connector 590">
          <a:extLst>
            <a:ext uri="{FF2B5EF4-FFF2-40B4-BE49-F238E27FC236}">
              <a16:creationId xmlns:a16="http://schemas.microsoft.com/office/drawing/2014/main" id="{635136CD-A74C-4153-AEF6-A21EB21408BE}"/>
            </a:ext>
          </a:extLst>
        </xdr:cNvPr>
        <xdr:cNvCxnSpPr/>
      </xdr:nvCxnSpPr>
      <xdr:spPr>
        <a:xfrm flipV="1">
          <a:off x="9411631" y="96780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58081</xdr:colOff>
      <xdr:row>54</xdr:row>
      <xdr:rowOff>161846</xdr:rowOff>
    </xdr:from>
    <xdr:to>
      <xdr:col>18</xdr:col>
      <xdr:colOff>562028</xdr:colOff>
      <xdr:row>54</xdr:row>
      <xdr:rowOff>163164</xdr:rowOff>
    </xdr:to>
    <xdr:cxnSp macro="">
      <xdr:nvCxnSpPr>
        <xdr:cNvPr id="592" name="Straight Connector 591">
          <a:extLst>
            <a:ext uri="{FF2B5EF4-FFF2-40B4-BE49-F238E27FC236}">
              <a16:creationId xmlns:a16="http://schemas.microsoft.com/office/drawing/2014/main" id="{DEF69461-277E-463A-A282-D7603B4609F4}"/>
            </a:ext>
          </a:extLst>
        </xdr:cNvPr>
        <xdr:cNvCxnSpPr/>
      </xdr:nvCxnSpPr>
      <xdr:spPr>
        <a:xfrm flipV="1">
          <a:off x="10630831" y="96804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58081</xdr:colOff>
      <xdr:row>54</xdr:row>
      <xdr:rowOff>159446</xdr:rowOff>
    </xdr:from>
    <xdr:to>
      <xdr:col>18</xdr:col>
      <xdr:colOff>562028</xdr:colOff>
      <xdr:row>54</xdr:row>
      <xdr:rowOff>160764</xdr:rowOff>
    </xdr:to>
    <xdr:cxnSp macro="">
      <xdr:nvCxnSpPr>
        <xdr:cNvPr id="593" name="Straight Connector 592">
          <a:extLst>
            <a:ext uri="{FF2B5EF4-FFF2-40B4-BE49-F238E27FC236}">
              <a16:creationId xmlns:a16="http://schemas.microsoft.com/office/drawing/2014/main" id="{AC944348-59BC-4541-AD10-1ECFAFB998BE}"/>
            </a:ext>
          </a:extLst>
        </xdr:cNvPr>
        <xdr:cNvCxnSpPr/>
      </xdr:nvCxnSpPr>
      <xdr:spPr>
        <a:xfrm flipV="1">
          <a:off x="10630831" y="96780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58081</xdr:colOff>
      <xdr:row>54</xdr:row>
      <xdr:rowOff>161846</xdr:rowOff>
    </xdr:from>
    <xdr:to>
      <xdr:col>20</xdr:col>
      <xdr:colOff>562028</xdr:colOff>
      <xdr:row>54</xdr:row>
      <xdr:rowOff>163164</xdr:rowOff>
    </xdr:to>
    <xdr:cxnSp macro="">
      <xdr:nvCxnSpPr>
        <xdr:cNvPr id="594" name="Straight Connector 593">
          <a:extLst>
            <a:ext uri="{FF2B5EF4-FFF2-40B4-BE49-F238E27FC236}">
              <a16:creationId xmlns:a16="http://schemas.microsoft.com/office/drawing/2014/main" id="{FA322DA9-CA5F-489A-8103-C7E5EFA5B086}"/>
            </a:ext>
          </a:extLst>
        </xdr:cNvPr>
        <xdr:cNvCxnSpPr/>
      </xdr:nvCxnSpPr>
      <xdr:spPr>
        <a:xfrm flipV="1">
          <a:off x="11850031" y="96804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58081</xdr:colOff>
      <xdr:row>54</xdr:row>
      <xdr:rowOff>159446</xdr:rowOff>
    </xdr:from>
    <xdr:to>
      <xdr:col>20</xdr:col>
      <xdr:colOff>562028</xdr:colOff>
      <xdr:row>54</xdr:row>
      <xdr:rowOff>160764</xdr:rowOff>
    </xdr:to>
    <xdr:cxnSp macro="">
      <xdr:nvCxnSpPr>
        <xdr:cNvPr id="595" name="Straight Connector 594">
          <a:extLst>
            <a:ext uri="{FF2B5EF4-FFF2-40B4-BE49-F238E27FC236}">
              <a16:creationId xmlns:a16="http://schemas.microsoft.com/office/drawing/2014/main" id="{08D6330B-7088-4039-AF2F-2B35CC3F18A5}"/>
            </a:ext>
          </a:extLst>
        </xdr:cNvPr>
        <xdr:cNvCxnSpPr/>
      </xdr:nvCxnSpPr>
      <xdr:spPr>
        <a:xfrm flipV="1">
          <a:off x="11850031" y="96780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58081</xdr:colOff>
      <xdr:row>55</xdr:row>
      <xdr:rowOff>4246</xdr:rowOff>
    </xdr:from>
    <xdr:to>
      <xdr:col>12</xdr:col>
      <xdr:colOff>562028</xdr:colOff>
      <xdr:row>55</xdr:row>
      <xdr:rowOff>5564</xdr:rowOff>
    </xdr:to>
    <xdr:cxnSp macro="">
      <xdr:nvCxnSpPr>
        <xdr:cNvPr id="596" name="Straight Connector 595">
          <a:extLst>
            <a:ext uri="{FF2B5EF4-FFF2-40B4-BE49-F238E27FC236}">
              <a16:creationId xmlns:a16="http://schemas.microsoft.com/office/drawing/2014/main" id="{796ADCB5-1002-4AF8-AEFE-C73F6934C169}"/>
            </a:ext>
          </a:extLst>
        </xdr:cNvPr>
        <xdr:cNvCxnSpPr/>
      </xdr:nvCxnSpPr>
      <xdr:spPr>
        <a:xfrm flipV="1">
          <a:off x="6973231" y="97070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58081</xdr:colOff>
      <xdr:row>55</xdr:row>
      <xdr:rowOff>4246</xdr:rowOff>
    </xdr:from>
    <xdr:to>
      <xdr:col>14</xdr:col>
      <xdr:colOff>562028</xdr:colOff>
      <xdr:row>55</xdr:row>
      <xdr:rowOff>5564</xdr:rowOff>
    </xdr:to>
    <xdr:cxnSp macro="">
      <xdr:nvCxnSpPr>
        <xdr:cNvPr id="597" name="Straight Connector 596">
          <a:extLst>
            <a:ext uri="{FF2B5EF4-FFF2-40B4-BE49-F238E27FC236}">
              <a16:creationId xmlns:a16="http://schemas.microsoft.com/office/drawing/2014/main" id="{D7BA492F-0F97-48B9-A65A-5B9E88AE28F5}"/>
            </a:ext>
          </a:extLst>
        </xdr:cNvPr>
        <xdr:cNvCxnSpPr/>
      </xdr:nvCxnSpPr>
      <xdr:spPr>
        <a:xfrm flipV="1">
          <a:off x="8192431" y="97070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58081</xdr:colOff>
      <xdr:row>55</xdr:row>
      <xdr:rowOff>4246</xdr:rowOff>
    </xdr:from>
    <xdr:to>
      <xdr:col>16</xdr:col>
      <xdr:colOff>562028</xdr:colOff>
      <xdr:row>55</xdr:row>
      <xdr:rowOff>5564</xdr:rowOff>
    </xdr:to>
    <xdr:cxnSp macro="">
      <xdr:nvCxnSpPr>
        <xdr:cNvPr id="598" name="Straight Connector 597">
          <a:extLst>
            <a:ext uri="{FF2B5EF4-FFF2-40B4-BE49-F238E27FC236}">
              <a16:creationId xmlns:a16="http://schemas.microsoft.com/office/drawing/2014/main" id="{6A05BF45-72BE-4B88-829A-23F422A982A1}"/>
            </a:ext>
          </a:extLst>
        </xdr:cNvPr>
        <xdr:cNvCxnSpPr/>
      </xdr:nvCxnSpPr>
      <xdr:spPr>
        <a:xfrm flipV="1">
          <a:off x="9411631" y="97070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58081</xdr:colOff>
      <xdr:row>55</xdr:row>
      <xdr:rowOff>4246</xdr:rowOff>
    </xdr:from>
    <xdr:to>
      <xdr:col>18</xdr:col>
      <xdr:colOff>562028</xdr:colOff>
      <xdr:row>55</xdr:row>
      <xdr:rowOff>5564</xdr:rowOff>
    </xdr:to>
    <xdr:cxnSp macro="">
      <xdr:nvCxnSpPr>
        <xdr:cNvPr id="599" name="Straight Connector 598">
          <a:extLst>
            <a:ext uri="{FF2B5EF4-FFF2-40B4-BE49-F238E27FC236}">
              <a16:creationId xmlns:a16="http://schemas.microsoft.com/office/drawing/2014/main" id="{80E4BD7C-D733-4A8B-AAA3-82396BF6124A}"/>
            </a:ext>
          </a:extLst>
        </xdr:cNvPr>
        <xdr:cNvCxnSpPr/>
      </xdr:nvCxnSpPr>
      <xdr:spPr>
        <a:xfrm flipV="1">
          <a:off x="10630831" y="97070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58081</xdr:colOff>
      <xdr:row>55</xdr:row>
      <xdr:rowOff>4246</xdr:rowOff>
    </xdr:from>
    <xdr:to>
      <xdr:col>20</xdr:col>
      <xdr:colOff>562028</xdr:colOff>
      <xdr:row>55</xdr:row>
      <xdr:rowOff>5564</xdr:rowOff>
    </xdr:to>
    <xdr:cxnSp macro="">
      <xdr:nvCxnSpPr>
        <xdr:cNvPr id="600" name="Straight Connector 599">
          <a:extLst>
            <a:ext uri="{FF2B5EF4-FFF2-40B4-BE49-F238E27FC236}">
              <a16:creationId xmlns:a16="http://schemas.microsoft.com/office/drawing/2014/main" id="{D14EF889-C55A-4D79-8FA0-F1C57C1AD1FC}"/>
            </a:ext>
          </a:extLst>
        </xdr:cNvPr>
        <xdr:cNvCxnSpPr/>
      </xdr:nvCxnSpPr>
      <xdr:spPr>
        <a:xfrm flipV="1">
          <a:off x="11850031" y="97070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69448</xdr:colOff>
      <xdr:row>20</xdr:row>
      <xdr:rowOff>166161</xdr:rowOff>
    </xdr:from>
    <xdr:to>
      <xdr:col>26</xdr:col>
      <xdr:colOff>709528</xdr:colOff>
      <xdr:row>20</xdr:row>
      <xdr:rowOff>166161</xdr:rowOff>
    </xdr:to>
    <xdr:cxnSp macro="">
      <xdr:nvCxnSpPr>
        <xdr:cNvPr id="601" name="Straight Connector 600">
          <a:extLst>
            <a:ext uri="{FF2B5EF4-FFF2-40B4-BE49-F238E27FC236}">
              <a16:creationId xmlns:a16="http://schemas.microsoft.com/office/drawing/2014/main" id="{F40EAAC6-7401-498A-AC37-7693489D6010}"/>
            </a:ext>
          </a:extLst>
        </xdr:cNvPr>
        <xdr:cNvCxnSpPr/>
      </xdr:nvCxnSpPr>
      <xdr:spPr>
        <a:xfrm>
          <a:off x="16738198" y="3703111"/>
          <a:ext cx="5765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69448</xdr:colOff>
      <xdr:row>20</xdr:row>
      <xdr:rowOff>166161</xdr:rowOff>
    </xdr:from>
    <xdr:to>
      <xdr:col>26</xdr:col>
      <xdr:colOff>709528</xdr:colOff>
      <xdr:row>20</xdr:row>
      <xdr:rowOff>166161</xdr:rowOff>
    </xdr:to>
    <xdr:cxnSp macro="">
      <xdr:nvCxnSpPr>
        <xdr:cNvPr id="602" name="Straight Connector 601">
          <a:extLst>
            <a:ext uri="{FF2B5EF4-FFF2-40B4-BE49-F238E27FC236}">
              <a16:creationId xmlns:a16="http://schemas.microsoft.com/office/drawing/2014/main" id="{F9EB4257-C88E-43D0-B7C7-F6B4F9AFD215}"/>
            </a:ext>
          </a:extLst>
        </xdr:cNvPr>
        <xdr:cNvCxnSpPr/>
      </xdr:nvCxnSpPr>
      <xdr:spPr>
        <a:xfrm>
          <a:off x="16738198" y="3703111"/>
          <a:ext cx="5765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71627</xdr:colOff>
      <xdr:row>34</xdr:row>
      <xdr:rowOff>164113</xdr:rowOff>
    </xdr:from>
    <xdr:to>
      <xdr:col>26</xdr:col>
      <xdr:colOff>711707</xdr:colOff>
      <xdr:row>34</xdr:row>
      <xdr:rowOff>164113</xdr:rowOff>
    </xdr:to>
    <xdr:cxnSp macro="">
      <xdr:nvCxnSpPr>
        <xdr:cNvPr id="603" name="Straight Connector 602">
          <a:extLst>
            <a:ext uri="{FF2B5EF4-FFF2-40B4-BE49-F238E27FC236}">
              <a16:creationId xmlns:a16="http://schemas.microsoft.com/office/drawing/2014/main" id="{4614D35C-449B-4DF9-AFA7-E5550ED56F95}"/>
            </a:ext>
          </a:extLst>
        </xdr:cNvPr>
        <xdr:cNvCxnSpPr/>
      </xdr:nvCxnSpPr>
      <xdr:spPr>
        <a:xfrm>
          <a:off x="16740377" y="6291863"/>
          <a:ext cx="5765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81638</xdr:colOff>
      <xdr:row>11</xdr:row>
      <xdr:rowOff>169534</xdr:rowOff>
    </xdr:from>
    <xdr:to>
      <xdr:col>20</xdr:col>
      <xdr:colOff>585586</xdr:colOff>
      <xdr:row>11</xdr:row>
      <xdr:rowOff>170691</xdr:rowOff>
    </xdr:to>
    <xdr:cxnSp macro="">
      <xdr:nvCxnSpPr>
        <xdr:cNvPr id="604" name="Straight Connector 603">
          <a:extLst>
            <a:ext uri="{FF2B5EF4-FFF2-40B4-BE49-F238E27FC236}">
              <a16:creationId xmlns:a16="http://schemas.microsoft.com/office/drawing/2014/main" id="{828EEECD-2340-4DA9-A749-F22B43B3EA29}"/>
            </a:ext>
          </a:extLst>
        </xdr:cNvPr>
        <xdr:cNvCxnSpPr/>
      </xdr:nvCxnSpPr>
      <xdr:spPr>
        <a:xfrm flipV="1">
          <a:off x="11873588" y="217613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74332</xdr:colOff>
      <xdr:row>64</xdr:row>
      <xdr:rowOff>159393</xdr:rowOff>
    </xdr:from>
    <xdr:to>
      <xdr:col>25</xdr:col>
      <xdr:colOff>714412</xdr:colOff>
      <xdr:row>64</xdr:row>
      <xdr:rowOff>159393</xdr:rowOff>
    </xdr:to>
    <xdr:cxnSp macro="">
      <xdr:nvCxnSpPr>
        <xdr:cNvPr id="605" name="Straight Connector 604">
          <a:extLst>
            <a:ext uri="{FF2B5EF4-FFF2-40B4-BE49-F238E27FC236}">
              <a16:creationId xmlns:a16="http://schemas.microsoft.com/office/drawing/2014/main" id="{C088EAD7-2FF1-4E40-9271-225B71F271AE}"/>
            </a:ext>
          </a:extLst>
        </xdr:cNvPr>
        <xdr:cNvCxnSpPr/>
      </xdr:nvCxnSpPr>
      <xdr:spPr>
        <a:xfrm>
          <a:off x="15981082" y="11398893"/>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55843</xdr:colOff>
      <xdr:row>26</xdr:row>
      <xdr:rowOff>139492</xdr:rowOff>
    </xdr:from>
    <xdr:to>
      <xdr:col>4</xdr:col>
      <xdr:colOff>541946</xdr:colOff>
      <xdr:row>26</xdr:row>
      <xdr:rowOff>139492</xdr:rowOff>
    </xdr:to>
    <xdr:cxnSp macro="">
      <xdr:nvCxnSpPr>
        <xdr:cNvPr id="606" name="Straight Connector 605">
          <a:extLst>
            <a:ext uri="{FF2B5EF4-FFF2-40B4-BE49-F238E27FC236}">
              <a16:creationId xmlns:a16="http://schemas.microsoft.com/office/drawing/2014/main" id="{BEC6DE77-2D27-498C-83CE-0D8B0537086D}"/>
            </a:ext>
          </a:extLst>
        </xdr:cNvPr>
        <xdr:cNvCxnSpPr/>
      </xdr:nvCxnSpPr>
      <xdr:spPr>
        <a:xfrm>
          <a:off x="2773643" y="4781342"/>
          <a:ext cx="486103"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55843</xdr:colOff>
      <xdr:row>32</xdr:row>
      <xdr:rowOff>169413</xdr:rowOff>
    </xdr:from>
    <xdr:to>
      <xdr:col>4</xdr:col>
      <xdr:colOff>541946</xdr:colOff>
      <xdr:row>32</xdr:row>
      <xdr:rowOff>169413</xdr:rowOff>
    </xdr:to>
    <xdr:cxnSp macro="">
      <xdr:nvCxnSpPr>
        <xdr:cNvPr id="607" name="Straight Connector 606">
          <a:extLst>
            <a:ext uri="{FF2B5EF4-FFF2-40B4-BE49-F238E27FC236}">
              <a16:creationId xmlns:a16="http://schemas.microsoft.com/office/drawing/2014/main" id="{35DD483F-48FF-4BB4-A3FB-778D395CF4FD}"/>
            </a:ext>
          </a:extLst>
        </xdr:cNvPr>
        <xdr:cNvCxnSpPr/>
      </xdr:nvCxnSpPr>
      <xdr:spPr>
        <a:xfrm>
          <a:off x="2773643" y="5928863"/>
          <a:ext cx="486103"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55843</xdr:colOff>
      <xdr:row>33</xdr:row>
      <xdr:rowOff>167269</xdr:rowOff>
    </xdr:from>
    <xdr:to>
      <xdr:col>4</xdr:col>
      <xdr:colOff>541946</xdr:colOff>
      <xdr:row>33</xdr:row>
      <xdr:rowOff>167269</xdr:rowOff>
    </xdr:to>
    <xdr:cxnSp macro="">
      <xdr:nvCxnSpPr>
        <xdr:cNvPr id="608" name="Straight Connector 607">
          <a:extLst>
            <a:ext uri="{FF2B5EF4-FFF2-40B4-BE49-F238E27FC236}">
              <a16:creationId xmlns:a16="http://schemas.microsoft.com/office/drawing/2014/main" id="{992B990D-A245-4021-8135-061DC52ED3EC}"/>
            </a:ext>
          </a:extLst>
        </xdr:cNvPr>
        <xdr:cNvCxnSpPr/>
      </xdr:nvCxnSpPr>
      <xdr:spPr>
        <a:xfrm>
          <a:off x="2773643" y="6110869"/>
          <a:ext cx="486103"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55843</xdr:colOff>
      <xdr:row>26</xdr:row>
      <xdr:rowOff>139492</xdr:rowOff>
    </xdr:from>
    <xdr:to>
      <xdr:col>4</xdr:col>
      <xdr:colOff>541946</xdr:colOff>
      <xdr:row>26</xdr:row>
      <xdr:rowOff>139492</xdr:rowOff>
    </xdr:to>
    <xdr:cxnSp macro="">
      <xdr:nvCxnSpPr>
        <xdr:cNvPr id="609" name="Straight Connector 608">
          <a:extLst>
            <a:ext uri="{FF2B5EF4-FFF2-40B4-BE49-F238E27FC236}">
              <a16:creationId xmlns:a16="http://schemas.microsoft.com/office/drawing/2014/main" id="{F2A51D09-A281-4143-B8E8-62C6AA707881}"/>
            </a:ext>
          </a:extLst>
        </xdr:cNvPr>
        <xdr:cNvCxnSpPr/>
      </xdr:nvCxnSpPr>
      <xdr:spPr>
        <a:xfrm>
          <a:off x="2773643" y="4781342"/>
          <a:ext cx="486103"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55843</xdr:colOff>
      <xdr:row>32</xdr:row>
      <xdr:rowOff>169413</xdr:rowOff>
    </xdr:from>
    <xdr:to>
      <xdr:col>4</xdr:col>
      <xdr:colOff>541946</xdr:colOff>
      <xdr:row>32</xdr:row>
      <xdr:rowOff>169413</xdr:rowOff>
    </xdr:to>
    <xdr:cxnSp macro="">
      <xdr:nvCxnSpPr>
        <xdr:cNvPr id="610" name="Straight Connector 609">
          <a:extLst>
            <a:ext uri="{FF2B5EF4-FFF2-40B4-BE49-F238E27FC236}">
              <a16:creationId xmlns:a16="http://schemas.microsoft.com/office/drawing/2014/main" id="{758FD0D3-9F1B-44F1-8B84-0941A1E73907}"/>
            </a:ext>
          </a:extLst>
        </xdr:cNvPr>
        <xdr:cNvCxnSpPr/>
      </xdr:nvCxnSpPr>
      <xdr:spPr>
        <a:xfrm>
          <a:off x="2773643" y="5928863"/>
          <a:ext cx="486103"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55843</xdr:colOff>
      <xdr:row>33</xdr:row>
      <xdr:rowOff>167269</xdr:rowOff>
    </xdr:from>
    <xdr:to>
      <xdr:col>4</xdr:col>
      <xdr:colOff>541946</xdr:colOff>
      <xdr:row>33</xdr:row>
      <xdr:rowOff>167269</xdr:rowOff>
    </xdr:to>
    <xdr:cxnSp macro="">
      <xdr:nvCxnSpPr>
        <xdr:cNvPr id="611" name="Straight Connector 610">
          <a:extLst>
            <a:ext uri="{FF2B5EF4-FFF2-40B4-BE49-F238E27FC236}">
              <a16:creationId xmlns:a16="http://schemas.microsoft.com/office/drawing/2014/main" id="{21B0463F-0FEB-4ED0-AB7C-711781842412}"/>
            </a:ext>
          </a:extLst>
        </xdr:cNvPr>
        <xdr:cNvCxnSpPr/>
      </xdr:nvCxnSpPr>
      <xdr:spPr>
        <a:xfrm>
          <a:off x="2773643" y="6110869"/>
          <a:ext cx="486103"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55843</xdr:colOff>
      <xdr:row>26</xdr:row>
      <xdr:rowOff>139492</xdr:rowOff>
    </xdr:from>
    <xdr:to>
      <xdr:col>4</xdr:col>
      <xdr:colOff>541946</xdr:colOff>
      <xdr:row>26</xdr:row>
      <xdr:rowOff>139492</xdr:rowOff>
    </xdr:to>
    <xdr:cxnSp macro="">
      <xdr:nvCxnSpPr>
        <xdr:cNvPr id="612" name="Straight Connector 611">
          <a:extLst>
            <a:ext uri="{FF2B5EF4-FFF2-40B4-BE49-F238E27FC236}">
              <a16:creationId xmlns:a16="http://schemas.microsoft.com/office/drawing/2014/main" id="{656CF36E-077D-4C8F-920F-CC954E41B63A}"/>
            </a:ext>
          </a:extLst>
        </xdr:cNvPr>
        <xdr:cNvCxnSpPr/>
      </xdr:nvCxnSpPr>
      <xdr:spPr>
        <a:xfrm>
          <a:off x="2773643" y="4781342"/>
          <a:ext cx="486103"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55843</xdr:colOff>
      <xdr:row>32</xdr:row>
      <xdr:rowOff>169413</xdr:rowOff>
    </xdr:from>
    <xdr:to>
      <xdr:col>4</xdr:col>
      <xdr:colOff>541946</xdr:colOff>
      <xdr:row>32</xdr:row>
      <xdr:rowOff>169413</xdr:rowOff>
    </xdr:to>
    <xdr:cxnSp macro="">
      <xdr:nvCxnSpPr>
        <xdr:cNvPr id="613" name="Straight Connector 612">
          <a:extLst>
            <a:ext uri="{FF2B5EF4-FFF2-40B4-BE49-F238E27FC236}">
              <a16:creationId xmlns:a16="http://schemas.microsoft.com/office/drawing/2014/main" id="{8D0ACECB-DEF9-4677-AF27-62933517A5FA}"/>
            </a:ext>
          </a:extLst>
        </xdr:cNvPr>
        <xdr:cNvCxnSpPr/>
      </xdr:nvCxnSpPr>
      <xdr:spPr>
        <a:xfrm>
          <a:off x="2773643" y="5928863"/>
          <a:ext cx="486103"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55843</xdr:colOff>
      <xdr:row>33</xdr:row>
      <xdr:rowOff>167269</xdr:rowOff>
    </xdr:from>
    <xdr:to>
      <xdr:col>4</xdr:col>
      <xdr:colOff>541946</xdr:colOff>
      <xdr:row>33</xdr:row>
      <xdr:rowOff>167269</xdr:rowOff>
    </xdr:to>
    <xdr:cxnSp macro="">
      <xdr:nvCxnSpPr>
        <xdr:cNvPr id="614" name="Straight Connector 613">
          <a:extLst>
            <a:ext uri="{FF2B5EF4-FFF2-40B4-BE49-F238E27FC236}">
              <a16:creationId xmlns:a16="http://schemas.microsoft.com/office/drawing/2014/main" id="{802D404A-B33E-4DE5-9F26-21A970CD2563}"/>
            </a:ext>
          </a:extLst>
        </xdr:cNvPr>
        <xdr:cNvCxnSpPr/>
      </xdr:nvCxnSpPr>
      <xdr:spPr>
        <a:xfrm>
          <a:off x="2773643" y="6110869"/>
          <a:ext cx="486103"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77421</xdr:colOff>
      <xdr:row>11</xdr:row>
      <xdr:rowOff>169534</xdr:rowOff>
    </xdr:from>
    <xdr:to>
      <xdr:col>16</xdr:col>
      <xdr:colOff>581369</xdr:colOff>
      <xdr:row>11</xdr:row>
      <xdr:rowOff>170691</xdr:rowOff>
    </xdr:to>
    <xdr:cxnSp macro="">
      <xdr:nvCxnSpPr>
        <xdr:cNvPr id="615" name="Straight Connector 614">
          <a:extLst>
            <a:ext uri="{FF2B5EF4-FFF2-40B4-BE49-F238E27FC236}">
              <a16:creationId xmlns:a16="http://schemas.microsoft.com/office/drawing/2014/main" id="{0B2DBEEB-F445-459D-8198-E51F78A5F08B}"/>
            </a:ext>
          </a:extLst>
        </xdr:cNvPr>
        <xdr:cNvCxnSpPr/>
      </xdr:nvCxnSpPr>
      <xdr:spPr>
        <a:xfrm flipV="1">
          <a:off x="9430971" y="217613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81638</xdr:colOff>
      <xdr:row>11</xdr:row>
      <xdr:rowOff>169534</xdr:rowOff>
    </xdr:from>
    <xdr:to>
      <xdr:col>18</xdr:col>
      <xdr:colOff>585586</xdr:colOff>
      <xdr:row>11</xdr:row>
      <xdr:rowOff>170691</xdr:rowOff>
    </xdr:to>
    <xdr:cxnSp macro="">
      <xdr:nvCxnSpPr>
        <xdr:cNvPr id="616" name="Straight Connector 615">
          <a:extLst>
            <a:ext uri="{FF2B5EF4-FFF2-40B4-BE49-F238E27FC236}">
              <a16:creationId xmlns:a16="http://schemas.microsoft.com/office/drawing/2014/main" id="{07CFA349-3433-4EC7-A84F-6C52A0E8E140}"/>
            </a:ext>
          </a:extLst>
        </xdr:cNvPr>
        <xdr:cNvCxnSpPr/>
      </xdr:nvCxnSpPr>
      <xdr:spPr>
        <a:xfrm flipV="1">
          <a:off x="10654388" y="217613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81505</xdr:colOff>
      <xdr:row>11</xdr:row>
      <xdr:rowOff>169534</xdr:rowOff>
    </xdr:from>
    <xdr:to>
      <xdr:col>20</xdr:col>
      <xdr:colOff>585453</xdr:colOff>
      <xdr:row>11</xdr:row>
      <xdr:rowOff>170691</xdr:rowOff>
    </xdr:to>
    <xdr:cxnSp macro="">
      <xdr:nvCxnSpPr>
        <xdr:cNvPr id="617" name="Straight Connector 616">
          <a:extLst>
            <a:ext uri="{FF2B5EF4-FFF2-40B4-BE49-F238E27FC236}">
              <a16:creationId xmlns:a16="http://schemas.microsoft.com/office/drawing/2014/main" id="{A2A6EDBA-B4DD-4658-B8DE-70EA2E919369}"/>
            </a:ext>
          </a:extLst>
        </xdr:cNvPr>
        <xdr:cNvCxnSpPr/>
      </xdr:nvCxnSpPr>
      <xdr:spPr>
        <a:xfrm flipV="1">
          <a:off x="11873455" y="217613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81638</xdr:colOff>
      <xdr:row>11</xdr:row>
      <xdr:rowOff>169534</xdr:rowOff>
    </xdr:from>
    <xdr:to>
      <xdr:col>20</xdr:col>
      <xdr:colOff>585586</xdr:colOff>
      <xdr:row>11</xdr:row>
      <xdr:rowOff>170691</xdr:rowOff>
    </xdr:to>
    <xdr:cxnSp macro="">
      <xdr:nvCxnSpPr>
        <xdr:cNvPr id="618" name="Straight Connector 617">
          <a:extLst>
            <a:ext uri="{FF2B5EF4-FFF2-40B4-BE49-F238E27FC236}">
              <a16:creationId xmlns:a16="http://schemas.microsoft.com/office/drawing/2014/main" id="{A34882CB-0631-495F-B771-3E75C7F79123}"/>
            </a:ext>
          </a:extLst>
        </xdr:cNvPr>
        <xdr:cNvCxnSpPr/>
      </xdr:nvCxnSpPr>
      <xdr:spPr>
        <a:xfrm flipV="1">
          <a:off x="11873588" y="217613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81638</xdr:colOff>
      <xdr:row>11</xdr:row>
      <xdr:rowOff>169534</xdr:rowOff>
    </xdr:from>
    <xdr:to>
      <xdr:col>20</xdr:col>
      <xdr:colOff>585586</xdr:colOff>
      <xdr:row>11</xdr:row>
      <xdr:rowOff>170691</xdr:rowOff>
    </xdr:to>
    <xdr:cxnSp macro="">
      <xdr:nvCxnSpPr>
        <xdr:cNvPr id="619" name="Straight Connector 618">
          <a:extLst>
            <a:ext uri="{FF2B5EF4-FFF2-40B4-BE49-F238E27FC236}">
              <a16:creationId xmlns:a16="http://schemas.microsoft.com/office/drawing/2014/main" id="{C184F89F-D3AD-4942-9DA3-5756EB3ADE6F}"/>
            </a:ext>
          </a:extLst>
        </xdr:cNvPr>
        <xdr:cNvCxnSpPr/>
      </xdr:nvCxnSpPr>
      <xdr:spPr>
        <a:xfrm flipV="1">
          <a:off x="11873588" y="217613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81638</xdr:colOff>
      <xdr:row>11</xdr:row>
      <xdr:rowOff>169534</xdr:rowOff>
    </xdr:from>
    <xdr:to>
      <xdr:col>20</xdr:col>
      <xdr:colOff>585586</xdr:colOff>
      <xdr:row>11</xdr:row>
      <xdr:rowOff>170691</xdr:rowOff>
    </xdr:to>
    <xdr:cxnSp macro="">
      <xdr:nvCxnSpPr>
        <xdr:cNvPr id="620" name="Straight Connector 619">
          <a:extLst>
            <a:ext uri="{FF2B5EF4-FFF2-40B4-BE49-F238E27FC236}">
              <a16:creationId xmlns:a16="http://schemas.microsoft.com/office/drawing/2014/main" id="{AE565A03-9412-494E-9BA8-BAA53C8589B6}"/>
            </a:ext>
          </a:extLst>
        </xdr:cNvPr>
        <xdr:cNvCxnSpPr/>
      </xdr:nvCxnSpPr>
      <xdr:spPr>
        <a:xfrm flipV="1">
          <a:off x="11873588" y="217613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77421</xdr:colOff>
      <xdr:row>11</xdr:row>
      <xdr:rowOff>169534</xdr:rowOff>
    </xdr:from>
    <xdr:to>
      <xdr:col>16</xdr:col>
      <xdr:colOff>581369</xdr:colOff>
      <xdr:row>11</xdr:row>
      <xdr:rowOff>170691</xdr:rowOff>
    </xdr:to>
    <xdr:cxnSp macro="">
      <xdr:nvCxnSpPr>
        <xdr:cNvPr id="621" name="Straight Connector 620">
          <a:extLst>
            <a:ext uri="{FF2B5EF4-FFF2-40B4-BE49-F238E27FC236}">
              <a16:creationId xmlns:a16="http://schemas.microsoft.com/office/drawing/2014/main" id="{A20C08FB-B7BA-4A0C-AE55-42B8E62FE8D1}"/>
            </a:ext>
          </a:extLst>
        </xdr:cNvPr>
        <xdr:cNvCxnSpPr/>
      </xdr:nvCxnSpPr>
      <xdr:spPr>
        <a:xfrm flipV="1">
          <a:off x="9430971" y="217613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81638</xdr:colOff>
      <xdr:row>11</xdr:row>
      <xdr:rowOff>169534</xdr:rowOff>
    </xdr:from>
    <xdr:to>
      <xdr:col>18</xdr:col>
      <xdr:colOff>585586</xdr:colOff>
      <xdr:row>11</xdr:row>
      <xdr:rowOff>170691</xdr:rowOff>
    </xdr:to>
    <xdr:cxnSp macro="">
      <xdr:nvCxnSpPr>
        <xdr:cNvPr id="622" name="Straight Connector 621">
          <a:extLst>
            <a:ext uri="{FF2B5EF4-FFF2-40B4-BE49-F238E27FC236}">
              <a16:creationId xmlns:a16="http://schemas.microsoft.com/office/drawing/2014/main" id="{DD17E556-B299-4716-88D9-907E20D64E5C}"/>
            </a:ext>
          </a:extLst>
        </xdr:cNvPr>
        <xdr:cNvCxnSpPr/>
      </xdr:nvCxnSpPr>
      <xdr:spPr>
        <a:xfrm flipV="1">
          <a:off x="10654388" y="217613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81505</xdr:colOff>
      <xdr:row>11</xdr:row>
      <xdr:rowOff>169534</xdr:rowOff>
    </xdr:from>
    <xdr:to>
      <xdr:col>20</xdr:col>
      <xdr:colOff>585453</xdr:colOff>
      <xdr:row>11</xdr:row>
      <xdr:rowOff>170691</xdr:rowOff>
    </xdr:to>
    <xdr:cxnSp macro="">
      <xdr:nvCxnSpPr>
        <xdr:cNvPr id="623" name="Straight Connector 622">
          <a:extLst>
            <a:ext uri="{FF2B5EF4-FFF2-40B4-BE49-F238E27FC236}">
              <a16:creationId xmlns:a16="http://schemas.microsoft.com/office/drawing/2014/main" id="{A0260150-1F67-4652-8C23-F5D77B79E794}"/>
            </a:ext>
          </a:extLst>
        </xdr:cNvPr>
        <xdr:cNvCxnSpPr/>
      </xdr:nvCxnSpPr>
      <xdr:spPr>
        <a:xfrm flipV="1">
          <a:off x="11873455" y="217613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81638</xdr:colOff>
      <xdr:row>11</xdr:row>
      <xdr:rowOff>169534</xdr:rowOff>
    </xdr:from>
    <xdr:to>
      <xdr:col>20</xdr:col>
      <xdr:colOff>585586</xdr:colOff>
      <xdr:row>11</xdr:row>
      <xdr:rowOff>170691</xdr:rowOff>
    </xdr:to>
    <xdr:cxnSp macro="">
      <xdr:nvCxnSpPr>
        <xdr:cNvPr id="624" name="Straight Connector 623">
          <a:extLst>
            <a:ext uri="{FF2B5EF4-FFF2-40B4-BE49-F238E27FC236}">
              <a16:creationId xmlns:a16="http://schemas.microsoft.com/office/drawing/2014/main" id="{7D3076AD-CF6B-4CBC-A6A6-34802FE2B297}"/>
            </a:ext>
          </a:extLst>
        </xdr:cNvPr>
        <xdr:cNvCxnSpPr/>
      </xdr:nvCxnSpPr>
      <xdr:spPr>
        <a:xfrm flipV="1">
          <a:off x="11873588" y="217613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81638</xdr:colOff>
      <xdr:row>11</xdr:row>
      <xdr:rowOff>169534</xdr:rowOff>
    </xdr:from>
    <xdr:to>
      <xdr:col>20</xdr:col>
      <xdr:colOff>585586</xdr:colOff>
      <xdr:row>11</xdr:row>
      <xdr:rowOff>170691</xdr:rowOff>
    </xdr:to>
    <xdr:cxnSp macro="">
      <xdr:nvCxnSpPr>
        <xdr:cNvPr id="625" name="Straight Connector 624">
          <a:extLst>
            <a:ext uri="{FF2B5EF4-FFF2-40B4-BE49-F238E27FC236}">
              <a16:creationId xmlns:a16="http://schemas.microsoft.com/office/drawing/2014/main" id="{8D14948D-27AB-46FF-815A-4C8F70B057BF}"/>
            </a:ext>
          </a:extLst>
        </xdr:cNvPr>
        <xdr:cNvCxnSpPr/>
      </xdr:nvCxnSpPr>
      <xdr:spPr>
        <a:xfrm flipV="1">
          <a:off x="11873588" y="217613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81638</xdr:colOff>
      <xdr:row>11</xdr:row>
      <xdr:rowOff>169534</xdr:rowOff>
    </xdr:from>
    <xdr:to>
      <xdr:col>20</xdr:col>
      <xdr:colOff>585586</xdr:colOff>
      <xdr:row>11</xdr:row>
      <xdr:rowOff>170691</xdr:rowOff>
    </xdr:to>
    <xdr:cxnSp macro="">
      <xdr:nvCxnSpPr>
        <xdr:cNvPr id="626" name="Straight Connector 625">
          <a:extLst>
            <a:ext uri="{FF2B5EF4-FFF2-40B4-BE49-F238E27FC236}">
              <a16:creationId xmlns:a16="http://schemas.microsoft.com/office/drawing/2014/main" id="{1D5CE8F1-8EC4-4B97-BB7B-CC06FC9091DE}"/>
            </a:ext>
          </a:extLst>
        </xdr:cNvPr>
        <xdr:cNvCxnSpPr/>
      </xdr:nvCxnSpPr>
      <xdr:spPr>
        <a:xfrm flipV="1">
          <a:off x="11873588" y="217613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77421</xdr:colOff>
      <xdr:row>11</xdr:row>
      <xdr:rowOff>169534</xdr:rowOff>
    </xdr:from>
    <xdr:to>
      <xdr:col>16</xdr:col>
      <xdr:colOff>581369</xdr:colOff>
      <xdr:row>11</xdr:row>
      <xdr:rowOff>170691</xdr:rowOff>
    </xdr:to>
    <xdr:cxnSp macro="">
      <xdr:nvCxnSpPr>
        <xdr:cNvPr id="627" name="Straight Connector 626">
          <a:extLst>
            <a:ext uri="{FF2B5EF4-FFF2-40B4-BE49-F238E27FC236}">
              <a16:creationId xmlns:a16="http://schemas.microsoft.com/office/drawing/2014/main" id="{9AC00618-FA83-4B6D-98B7-DC2E32C65A08}"/>
            </a:ext>
          </a:extLst>
        </xdr:cNvPr>
        <xdr:cNvCxnSpPr/>
      </xdr:nvCxnSpPr>
      <xdr:spPr>
        <a:xfrm flipV="1">
          <a:off x="9430971" y="217613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81638</xdr:colOff>
      <xdr:row>11</xdr:row>
      <xdr:rowOff>169534</xdr:rowOff>
    </xdr:from>
    <xdr:to>
      <xdr:col>18</xdr:col>
      <xdr:colOff>585586</xdr:colOff>
      <xdr:row>11</xdr:row>
      <xdr:rowOff>170691</xdr:rowOff>
    </xdr:to>
    <xdr:cxnSp macro="">
      <xdr:nvCxnSpPr>
        <xdr:cNvPr id="628" name="Straight Connector 627">
          <a:extLst>
            <a:ext uri="{FF2B5EF4-FFF2-40B4-BE49-F238E27FC236}">
              <a16:creationId xmlns:a16="http://schemas.microsoft.com/office/drawing/2014/main" id="{B39FE1EB-4045-4368-A4BB-388405978BFD}"/>
            </a:ext>
          </a:extLst>
        </xdr:cNvPr>
        <xdr:cNvCxnSpPr/>
      </xdr:nvCxnSpPr>
      <xdr:spPr>
        <a:xfrm flipV="1">
          <a:off x="10654388" y="217613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81505</xdr:colOff>
      <xdr:row>11</xdr:row>
      <xdr:rowOff>169534</xdr:rowOff>
    </xdr:from>
    <xdr:to>
      <xdr:col>20</xdr:col>
      <xdr:colOff>585453</xdr:colOff>
      <xdr:row>11</xdr:row>
      <xdr:rowOff>170691</xdr:rowOff>
    </xdr:to>
    <xdr:cxnSp macro="">
      <xdr:nvCxnSpPr>
        <xdr:cNvPr id="629" name="Straight Connector 628">
          <a:extLst>
            <a:ext uri="{FF2B5EF4-FFF2-40B4-BE49-F238E27FC236}">
              <a16:creationId xmlns:a16="http://schemas.microsoft.com/office/drawing/2014/main" id="{0A393612-F315-4165-895E-E7E83B834C07}"/>
            </a:ext>
          </a:extLst>
        </xdr:cNvPr>
        <xdr:cNvCxnSpPr/>
      </xdr:nvCxnSpPr>
      <xdr:spPr>
        <a:xfrm flipV="1">
          <a:off x="11873455" y="217613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81638</xdr:colOff>
      <xdr:row>11</xdr:row>
      <xdr:rowOff>169534</xdr:rowOff>
    </xdr:from>
    <xdr:to>
      <xdr:col>20</xdr:col>
      <xdr:colOff>585586</xdr:colOff>
      <xdr:row>11</xdr:row>
      <xdr:rowOff>170691</xdr:rowOff>
    </xdr:to>
    <xdr:cxnSp macro="">
      <xdr:nvCxnSpPr>
        <xdr:cNvPr id="630" name="Straight Connector 629">
          <a:extLst>
            <a:ext uri="{FF2B5EF4-FFF2-40B4-BE49-F238E27FC236}">
              <a16:creationId xmlns:a16="http://schemas.microsoft.com/office/drawing/2014/main" id="{CB62B3C4-4EB7-4F17-BF14-5032B6751346}"/>
            </a:ext>
          </a:extLst>
        </xdr:cNvPr>
        <xdr:cNvCxnSpPr/>
      </xdr:nvCxnSpPr>
      <xdr:spPr>
        <a:xfrm flipV="1">
          <a:off x="11873588" y="217613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81638</xdr:colOff>
      <xdr:row>11</xdr:row>
      <xdr:rowOff>169534</xdr:rowOff>
    </xdr:from>
    <xdr:to>
      <xdr:col>20</xdr:col>
      <xdr:colOff>585586</xdr:colOff>
      <xdr:row>11</xdr:row>
      <xdr:rowOff>170691</xdr:rowOff>
    </xdr:to>
    <xdr:cxnSp macro="">
      <xdr:nvCxnSpPr>
        <xdr:cNvPr id="631" name="Straight Connector 630">
          <a:extLst>
            <a:ext uri="{FF2B5EF4-FFF2-40B4-BE49-F238E27FC236}">
              <a16:creationId xmlns:a16="http://schemas.microsoft.com/office/drawing/2014/main" id="{8DA2B463-1474-42C1-8C94-D71889B7E864}"/>
            </a:ext>
          </a:extLst>
        </xdr:cNvPr>
        <xdr:cNvCxnSpPr/>
      </xdr:nvCxnSpPr>
      <xdr:spPr>
        <a:xfrm flipV="1">
          <a:off x="11873588" y="217613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81638</xdr:colOff>
      <xdr:row>11</xdr:row>
      <xdr:rowOff>169534</xdr:rowOff>
    </xdr:from>
    <xdr:to>
      <xdr:col>20</xdr:col>
      <xdr:colOff>585586</xdr:colOff>
      <xdr:row>11</xdr:row>
      <xdr:rowOff>170691</xdr:rowOff>
    </xdr:to>
    <xdr:cxnSp macro="">
      <xdr:nvCxnSpPr>
        <xdr:cNvPr id="632" name="Straight Connector 631">
          <a:extLst>
            <a:ext uri="{FF2B5EF4-FFF2-40B4-BE49-F238E27FC236}">
              <a16:creationId xmlns:a16="http://schemas.microsoft.com/office/drawing/2014/main" id="{3B043962-0F78-42DF-9DEF-B7D1FB6C95BB}"/>
            </a:ext>
          </a:extLst>
        </xdr:cNvPr>
        <xdr:cNvCxnSpPr/>
      </xdr:nvCxnSpPr>
      <xdr:spPr>
        <a:xfrm flipV="1">
          <a:off x="11873588" y="217613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77421</xdr:colOff>
      <xdr:row>11</xdr:row>
      <xdr:rowOff>169534</xdr:rowOff>
    </xdr:from>
    <xdr:to>
      <xdr:col>16</xdr:col>
      <xdr:colOff>581369</xdr:colOff>
      <xdr:row>11</xdr:row>
      <xdr:rowOff>170691</xdr:rowOff>
    </xdr:to>
    <xdr:cxnSp macro="">
      <xdr:nvCxnSpPr>
        <xdr:cNvPr id="633" name="Straight Connector 632">
          <a:extLst>
            <a:ext uri="{FF2B5EF4-FFF2-40B4-BE49-F238E27FC236}">
              <a16:creationId xmlns:a16="http://schemas.microsoft.com/office/drawing/2014/main" id="{69E6CA32-DB2B-479A-9A65-F51DAA57E7BF}"/>
            </a:ext>
          </a:extLst>
        </xdr:cNvPr>
        <xdr:cNvCxnSpPr/>
      </xdr:nvCxnSpPr>
      <xdr:spPr>
        <a:xfrm flipV="1">
          <a:off x="9430971" y="217613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81638</xdr:colOff>
      <xdr:row>11</xdr:row>
      <xdr:rowOff>169534</xdr:rowOff>
    </xdr:from>
    <xdr:to>
      <xdr:col>18</xdr:col>
      <xdr:colOff>585586</xdr:colOff>
      <xdr:row>11</xdr:row>
      <xdr:rowOff>170691</xdr:rowOff>
    </xdr:to>
    <xdr:cxnSp macro="">
      <xdr:nvCxnSpPr>
        <xdr:cNvPr id="634" name="Straight Connector 633">
          <a:extLst>
            <a:ext uri="{FF2B5EF4-FFF2-40B4-BE49-F238E27FC236}">
              <a16:creationId xmlns:a16="http://schemas.microsoft.com/office/drawing/2014/main" id="{DCA6C23D-49D8-4C4F-A6DA-A988C6EE4175}"/>
            </a:ext>
          </a:extLst>
        </xdr:cNvPr>
        <xdr:cNvCxnSpPr/>
      </xdr:nvCxnSpPr>
      <xdr:spPr>
        <a:xfrm flipV="1">
          <a:off x="10654388" y="217613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wsDr>
</file>

<file path=xl/drawings/drawing7.xml><?xml version="1.0" encoding="utf-8"?>
<xdr:wsDr xmlns:xdr="http://schemas.openxmlformats.org/drawingml/2006/spreadsheetDrawing" xmlns:a="http://schemas.openxmlformats.org/drawingml/2006/main">
  <xdr:twoCellAnchor>
    <xdr:from>
      <xdr:col>4</xdr:col>
      <xdr:colOff>55843</xdr:colOff>
      <xdr:row>26</xdr:row>
      <xdr:rowOff>139492</xdr:rowOff>
    </xdr:from>
    <xdr:to>
      <xdr:col>4</xdr:col>
      <xdr:colOff>541946</xdr:colOff>
      <xdr:row>26</xdr:row>
      <xdr:rowOff>139492</xdr:rowOff>
    </xdr:to>
    <xdr:cxnSp macro="">
      <xdr:nvCxnSpPr>
        <xdr:cNvPr id="2" name="Straight Connector 1">
          <a:extLst>
            <a:ext uri="{FF2B5EF4-FFF2-40B4-BE49-F238E27FC236}">
              <a16:creationId xmlns:a16="http://schemas.microsoft.com/office/drawing/2014/main" id="{EFC23BD0-B85E-450B-AC9F-895F8A7EA33B}"/>
            </a:ext>
          </a:extLst>
        </xdr:cNvPr>
        <xdr:cNvCxnSpPr/>
      </xdr:nvCxnSpPr>
      <xdr:spPr>
        <a:xfrm>
          <a:off x="2773643" y="4781342"/>
          <a:ext cx="486103"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55843</xdr:colOff>
      <xdr:row>32</xdr:row>
      <xdr:rowOff>169413</xdr:rowOff>
    </xdr:from>
    <xdr:to>
      <xdr:col>4</xdr:col>
      <xdr:colOff>541946</xdr:colOff>
      <xdr:row>32</xdr:row>
      <xdr:rowOff>169413</xdr:rowOff>
    </xdr:to>
    <xdr:cxnSp macro="">
      <xdr:nvCxnSpPr>
        <xdr:cNvPr id="3" name="Straight Connector 2">
          <a:extLst>
            <a:ext uri="{FF2B5EF4-FFF2-40B4-BE49-F238E27FC236}">
              <a16:creationId xmlns:a16="http://schemas.microsoft.com/office/drawing/2014/main" id="{2292D287-F957-409D-BF2A-815A0F753743}"/>
            </a:ext>
          </a:extLst>
        </xdr:cNvPr>
        <xdr:cNvCxnSpPr/>
      </xdr:nvCxnSpPr>
      <xdr:spPr>
        <a:xfrm>
          <a:off x="2773643" y="5928863"/>
          <a:ext cx="486103"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55843</xdr:colOff>
      <xdr:row>33</xdr:row>
      <xdr:rowOff>167269</xdr:rowOff>
    </xdr:from>
    <xdr:to>
      <xdr:col>4</xdr:col>
      <xdr:colOff>541946</xdr:colOff>
      <xdr:row>33</xdr:row>
      <xdr:rowOff>167269</xdr:rowOff>
    </xdr:to>
    <xdr:cxnSp macro="">
      <xdr:nvCxnSpPr>
        <xdr:cNvPr id="4" name="Straight Connector 3">
          <a:extLst>
            <a:ext uri="{FF2B5EF4-FFF2-40B4-BE49-F238E27FC236}">
              <a16:creationId xmlns:a16="http://schemas.microsoft.com/office/drawing/2014/main" id="{3C94CEDC-6F54-40E7-AD08-D0C1C602F7EA}"/>
            </a:ext>
          </a:extLst>
        </xdr:cNvPr>
        <xdr:cNvCxnSpPr/>
      </xdr:nvCxnSpPr>
      <xdr:spPr>
        <a:xfrm>
          <a:off x="2773643" y="6110869"/>
          <a:ext cx="486103"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25099</xdr:colOff>
      <xdr:row>38</xdr:row>
      <xdr:rowOff>175830</xdr:rowOff>
    </xdr:from>
    <xdr:to>
      <xdr:col>2</xdr:col>
      <xdr:colOff>665179</xdr:colOff>
      <xdr:row>38</xdr:row>
      <xdr:rowOff>175830</xdr:rowOff>
    </xdr:to>
    <xdr:cxnSp macro="">
      <xdr:nvCxnSpPr>
        <xdr:cNvPr id="5" name="Straight Connector 4">
          <a:extLst>
            <a:ext uri="{FF2B5EF4-FFF2-40B4-BE49-F238E27FC236}">
              <a16:creationId xmlns:a16="http://schemas.microsoft.com/office/drawing/2014/main" id="{F6609F3D-62E1-4657-8D50-EA4406754980}"/>
            </a:ext>
          </a:extLst>
        </xdr:cNvPr>
        <xdr:cNvCxnSpPr/>
      </xdr:nvCxnSpPr>
      <xdr:spPr>
        <a:xfrm>
          <a:off x="1244299" y="6900480"/>
          <a:ext cx="58293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26112</xdr:colOff>
      <xdr:row>38</xdr:row>
      <xdr:rowOff>170983</xdr:rowOff>
    </xdr:from>
    <xdr:to>
      <xdr:col>3</xdr:col>
      <xdr:colOff>593040</xdr:colOff>
      <xdr:row>38</xdr:row>
      <xdr:rowOff>170983</xdr:rowOff>
    </xdr:to>
    <xdr:cxnSp macro="">
      <xdr:nvCxnSpPr>
        <xdr:cNvPr id="6" name="Straight Connector 5">
          <a:extLst>
            <a:ext uri="{FF2B5EF4-FFF2-40B4-BE49-F238E27FC236}">
              <a16:creationId xmlns:a16="http://schemas.microsoft.com/office/drawing/2014/main" id="{C1535FFE-14F7-4AE2-BA24-33C1233FE401}"/>
            </a:ext>
          </a:extLst>
        </xdr:cNvPr>
        <xdr:cNvCxnSpPr/>
      </xdr:nvCxnSpPr>
      <xdr:spPr>
        <a:xfrm>
          <a:off x="1854912" y="6895633"/>
          <a:ext cx="566928"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22202</xdr:colOff>
      <xdr:row>38</xdr:row>
      <xdr:rowOff>170983</xdr:rowOff>
    </xdr:from>
    <xdr:to>
      <xdr:col>4</xdr:col>
      <xdr:colOff>589130</xdr:colOff>
      <xdr:row>38</xdr:row>
      <xdr:rowOff>170983</xdr:rowOff>
    </xdr:to>
    <xdr:cxnSp macro="">
      <xdr:nvCxnSpPr>
        <xdr:cNvPr id="7" name="Straight Connector 6">
          <a:extLst>
            <a:ext uri="{FF2B5EF4-FFF2-40B4-BE49-F238E27FC236}">
              <a16:creationId xmlns:a16="http://schemas.microsoft.com/office/drawing/2014/main" id="{856E2E26-03F3-4CB6-B3BE-76A0B55DB724}"/>
            </a:ext>
          </a:extLst>
        </xdr:cNvPr>
        <xdr:cNvCxnSpPr/>
      </xdr:nvCxnSpPr>
      <xdr:spPr>
        <a:xfrm>
          <a:off x="2740002" y="6895633"/>
          <a:ext cx="516128"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30719</xdr:colOff>
      <xdr:row>65</xdr:row>
      <xdr:rowOff>145082</xdr:rowOff>
    </xdr:from>
    <xdr:to>
      <xdr:col>2</xdr:col>
      <xdr:colOff>670799</xdr:colOff>
      <xdr:row>65</xdr:row>
      <xdr:rowOff>145082</xdr:rowOff>
    </xdr:to>
    <xdr:cxnSp macro="">
      <xdr:nvCxnSpPr>
        <xdr:cNvPr id="8" name="Straight Connector 7">
          <a:extLst>
            <a:ext uri="{FF2B5EF4-FFF2-40B4-BE49-F238E27FC236}">
              <a16:creationId xmlns:a16="http://schemas.microsoft.com/office/drawing/2014/main" id="{0132A24B-43CB-4B14-B1FB-3D6D5EB40531}"/>
            </a:ext>
          </a:extLst>
        </xdr:cNvPr>
        <xdr:cNvCxnSpPr/>
      </xdr:nvCxnSpPr>
      <xdr:spPr>
        <a:xfrm>
          <a:off x="1249919" y="11568732"/>
          <a:ext cx="5765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26112</xdr:colOff>
      <xdr:row>65</xdr:row>
      <xdr:rowOff>145082</xdr:rowOff>
    </xdr:from>
    <xdr:to>
      <xdr:col>3</xdr:col>
      <xdr:colOff>593040</xdr:colOff>
      <xdr:row>65</xdr:row>
      <xdr:rowOff>145082</xdr:rowOff>
    </xdr:to>
    <xdr:cxnSp macro="">
      <xdr:nvCxnSpPr>
        <xdr:cNvPr id="9" name="Straight Connector 8">
          <a:extLst>
            <a:ext uri="{FF2B5EF4-FFF2-40B4-BE49-F238E27FC236}">
              <a16:creationId xmlns:a16="http://schemas.microsoft.com/office/drawing/2014/main" id="{40CAF7EA-8811-47B0-9632-66C40AC3D6CA}"/>
            </a:ext>
          </a:extLst>
        </xdr:cNvPr>
        <xdr:cNvCxnSpPr/>
      </xdr:nvCxnSpPr>
      <xdr:spPr>
        <a:xfrm>
          <a:off x="1854912" y="11568732"/>
          <a:ext cx="566928"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22202</xdr:colOff>
      <xdr:row>65</xdr:row>
      <xdr:rowOff>145082</xdr:rowOff>
    </xdr:from>
    <xdr:to>
      <xdr:col>4</xdr:col>
      <xdr:colOff>589130</xdr:colOff>
      <xdr:row>65</xdr:row>
      <xdr:rowOff>145082</xdr:rowOff>
    </xdr:to>
    <xdr:cxnSp macro="">
      <xdr:nvCxnSpPr>
        <xdr:cNvPr id="10" name="Straight Connector 9">
          <a:extLst>
            <a:ext uri="{FF2B5EF4-FFF2-40B4-BE49-F238E27FC236}">
              <a16:creationId xmlns:a16="http://schemas.microsoft.com/office/drawing/2014/main" id="{74BE3C13-4A1D-482B-AC8A-78732C21557C}"/>
            </a:ext>
          </a:extLst>
        </xdr:cNvPr>
        <xdr:cNvCxnSpPr/>
      </xdr:nvCxnSpPr>
      <xdr:spPr>
        <a:xfrm>
          <a:off x="2740002" y="11568732"/>
          <a:ext cx="516128"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81981</xdr:colOff>
      <xdr:row>11</xdr:row>
      <xdr:rowOff>169534</xdr:rowOff>
    </xdr:from>
    <xdr:to>
      <xdr:col>10</xdr:col>
      <xdr:colOff>585928</xdr:colOff>
      <xdr:row>11</xdr:row>
      <xdr:rowOff>170691</xdr:rowOff>
    </xdr:to>
    <xdr:cxnSp macro="">
      <xdr:nvCxnSpPr>
        <xdr:cNvPr id="11" name="Straight Connector 10">
          <a:extLst>
            <a:ext uri="{FF2B5EF4-FFF2-40B4-BE49-F238E27FC236}">
              <a16:creationId xmlns:a16="http://schemas.microsoft.com/office/drawing/2014/main" id="{E86BB505-752D-4227-91F0-03978CAA21DB}"/>
            </a:ext>
          </a:extLst>
        </xdr:cNvPr>
        <xdr:cNvCxnSpPr/>
      </xdr:nvCxnSpPr>
      <xdr:spPr>
        <a:xfrm flipV="1">
          <a:off x="5777931" y="2176134"/>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84473</xdr:colOff>
      <xdr:row>11</xdr:row>
      <xdr:rowOff>169534</xdr:rowOff>
    </xdr:from>
    <xdr:to>
      <xdr:col>12</xdr:col>
      <xdr:colOff>588420</xdr:colOff>
      <xdr:row>11</xdr:row>
      <xdr:rowOff>170691</xdr:rowOff>
    </xdr:to>
    <xdr:cxnSp macro="">
      <xdr:nvCxnSpPr>
        <xdr:cNvPr id="12" name="Straight Connector 11">
          <a:extLst>
            <a:ext uri="{FF2B5EF4-FFF2-40B4-BE49-F238E27FC236}">
              <a16:creationId xmlns:a16="http://schemas.microsoft.com/office/drawing/2014/main" id="{5F3DA03B-46E7-4E3C-966C-BA50B11AA4D6}"/>
            </a:ext>
          </a:extLst>
        </xdr:cNvPr>
        <xdr:cNvCxnSpPr/>
      </xdr:nvCxnSpPr>
      <xdr:spPr>
        <a:xfrm flipV="1">
          <a:off x="6999623" y="2176134"/>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82797</xdr:colOff>
      <xdr:row>11</xdr:row>
      <xdr:rowOff>169534</xdr:rowOff>
    </xdr:from>
    <xdr:to>
      <xdr:col>14</xdr:col>
      <xdr:colOff>586744</xdr:colOff>
      <xdr:row>11</xdr:row>
      <xdr:rowOff>170691</xdr:rowOff>
    </xdr:to>
    <xdr:cxnSp macro="">
      <xdr:nvCxnSpPr>
        <xdr:cNvPr id="13" name="Straight Connector 12">
          <a:extLst>
            <a:ext uri="{FF2B5EF4-FFF2-40B4-BE49-F238E27FC236}">
              <a16:creationId xmlns:a16="http://schemas.microsoft.com/office/drawing/2014/main" id="{5D09EAE9-308C-420F-AB53-610EA05F02B4}"/>
            </a:ext>
          </a:extLst>
        </xdr:cNvPr>
        <xdr:cNvCxnSpPr/>
      </xdr:nvCxnSpPr>
      <xdr:spPr>
        <a:xfrm flipV="1">
          <a:off x="8217147" y="2176134"/>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77421</xdr:colOff>
      <xdr:row>11</xdr:row>
      <xdr:rowOff>169534</xdr:rowOff>
    </xdr:from>
    <xdr:to>
      <xdr:col>16</xdr:col>
      <xdr:colOff>581369</xdr:colOff>
      <xdr:row>11</xdr:row>
      <xdr:rowOff>170691</xdr:rowOff>
    </xdr:to>
    <xdr:cxnSp macro="">
      <xdr:nvCxnSpPr>
        <xdr:cNvPr id="14" name="Straight Connector 13">
          <a:extLst>
            <a:ext uri="{FF2B5EF4-FFF2-40B4-BE49-F238E27FC236}">
              <a16:creationId xmlns:a16="http://schemas.microsoft.com/office/drawing/2014/main" id="{541865A3-64E3-4333-B3BD-A1483C535B50}"/>
            </a:ext>
          </a:extLst>
        </xdr:cNvPr>
        <xdr:cNvCxnSpPr/>
      </xdr:nvCxnSpPr>
      <xdr:spPr>
        <a:xfrm flipV="1">
          <a:off x="9430971" y="217613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81638</xdr:colOff>
      <xdr:row>11</xdr:row>
      <xdr:rowOff>169534</xdr:rowOff>
    </xdr:from>
    <xdr:to>
      <xdr:col>18</xdr:col>
      <xdr:colOff>585586</xdr:colOff>
      <xdr:row>11</xdr:row>
      <xdr:rowOff>170691</xdr:rowOff>
    </xdr:to>
    <xdr:cxnSp macro="">
      <xdr:nvCxnSpPr>
        <xdr:cNvPr id="15" name="Straight Connector 14">
          <a:extLst>
            <a:ext uri="{FF2B5EF4-FFF2-40B4-BE49-F238E27FC236}">
              <a16:creationId xmlns:a16="http://schemas.microsoft.com/office/drawing/2014/main" id="{327CFAFE-CFA7-4E29-A562-BA7DA8BB095E}"/>
            </a:ext>
          </a:extLst>
        </xdr:cNvPr>
        <xdr:cNvCxnSpPr/>
      </xdr:nvCxnSpPr>
      <xdr:spPr>
        <a:xfrm flipV="1">
          <a:off x="10654388" y="217613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81505</xdr:colOff>
      <xdr:row>11</xdr:row>
      <xdr:rowOff>169534</xdr:rowOff>
    </xdr:from>
    <xdr:to>
      <xdr:col>20</xdr:col>
      <xdr:colOff>585453</xdr:colOff>
      <xdr:row>11</xdr:row>
      <xdr:rowOff>170691</xdr:rowOff>
    </xdr:to>
    <xdr:cxnSp macro="">
      <xdr:nvCxnSpPr>
        <xdr:cNvPr id="16" name="Straight Connector 15">
          <a:extLst>
            <a:ext uri="{FF2B5EF4-FFF2-40B4-BE49-F238E27FC236}">
              <a16:creationId xmlns:a16="http://schemas.microsoft.com/office/drawing/2014/main" id="{35C929FD-DD52-458C-9C92-E9058026B960}"/>
            </a:ext>
          </a:extLst>
        </xdr:cNvPr>
        <xdr:cNvCxnSpPr/>
      </xdr:nvCxnSpPr>
      <xdr:spPr>
        <a:xfrm flipV="1">
          <a:off x="11873455" y="217613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81981</xdr:colOff>
      <xdr:row>13</xdr:row>
      <xdr:rowOff>154837</xdr:rowOff>
    </xdr:from>
    <xdr:to>
      <xdr:col>10</xdr:col>
      <xdr:colOff>585928</xdr:colOff>
      <xdr:row>13</xdr:row>
      <xdr:rowOff>155994</xdr:rowOff>
    </xdr:to>
    <xdr:cxnSp macro="">
      <xdr:nvCxnSpPr>
        <xdr:cNvPr id="17" name="Straight Connector 16">
          <a:extLst>
            <a:ext uri="{FF2B5EF4-FFF2-40B4-BE49-F238E27FC236}">
              <a16:creationId xmlns:a16="http://schemas.microsoft.com/office/drawing/2014/main" id="{E95FD4D9-64A9-41E0-A683-4BDF50F9E054}"/>
            </a:ext>
          </a:extLst>
        </xdr:cNvPr>
        <xdr:cNvCxnSpPr/>
      </xdr:nvCxnSpPr>
      <xdr:spPr>
        <a:xfrm flipV="1">
          <a:off x="5777931" y="253608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84473</xdr:colOff>
      <xdr:row>13</xdr:row>
      <xdr:rowOff>154837</xdr:rowOff>
    </xdr:from>
    <xdr:to>
      <xdr:col>12</xdr:col>
      <xdr:colOff>588420</xdr:colOff>
      <xdr:row>13</xdr:row>
      <xdr:rowOff>155994</xdr:rowOff>
    </xdr:to>
    <xdr:cxnSp macro="">
      <xdr:nvCxnSpPr>
        <xdr:cNvPr id="18" name="Straight Connector 17">
          <a:extLst>
            <a:ext uri="{FF2B5EF4-FFF2-40B4-BE49-F238E27FC236}">
              <a16:creationId xmlns:a16="http://schemas.microsoft.com/office/drawing/2014/main" id="{B9AC527B-63C7-4018-908C-AD59B3740D05}"/>
            </a:ext>
          </a:extLst>
        </xdr:cNvPr>
        <xdr:cNvCxnSpPr/>
      </xdr:nvCxnSpPr>
      <xdr:spPr>
        <a:xfrm flipV="1">
          <a:off x="6999623" y="253608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82797</xdr:colOff>
      <xdr:row>13</xdr:row>
      <xdr:rowOff>154837</xdr:rowOff>
    </xdr:from>
    <xdr:to>
      <xdr:col>14</xdr:col>
      <xdr:colOff>586744</xdr:colOff>
      <xdr:row>13</xdr:row>
      <xdr:rowOff>155994</xdr:rowOff>
    </xdr:to>
    <xdr:cxnSp macro="">
      <xdr:nvCxnSpPr>
        <xdr:cNvPr id="19" name="Straight Connector 18">
          <a:extLst>
            <a:ext uri="{FF2B5EF4-FFF2-40B4-BE49-F238E27FC236}">
              <a16:creationId xmlns:a16="http://schemas.microsoft.com/office/drawing/2014/main" id="{4B168EF7-B231-48ED-AA05-E145DB73F284}"/>
            </a:ext>
          </a:extLst>
        </xdr:cNvPr>
        <xdr:cNvCxnSpPr/>
      </xdr:nvCxnSpPr>
      <xdr:spPr>
        <a:xfrm flipV="1">
          <a:off x="8217147" y="253608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92541</xdr:colOff>
      <xdr:row>13</xdr:row>
      <xdr:rowOff>154837</xdr:rowOff>
    </xdr:from>
    <xdr:to>
      <xdr:col>16</xdr:col>
      <xdr:colOff>596489</xdr:colOff>
      <xdr:row>13</xdr:row>
      <xdr:rowOff>155994</xdr:rowOff>
    </xdr:to>
    <xdr:cxnSp macro="">
      <xdr:nvCxnSpPr>
        <xdr:cNvPr id="20" name="Straight Connector 19">
          <a:extLst>
            <a:ext uri="{FF2B5EF4-FFF2-40B4-BE49-F238E27FC236}">
              <a16:creationId xmlns:a16="http://schemas.microsoft.com/office/drawing/2014/main" id="{32166380-9DED-4540-9D5C-98156A87F862}"/>
            </a:ext>
          </a:extLst>
        </xdr:cNvPr>
        <xdr:cNvCxnSpPr/>
      </xdr:nvCxnSpPr>
      <xdr:spPr>
        <a:xfrm flipV="1">
          <a:off x="9446091" y="2536087"/>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81638</xdr:colOff>
      <xdr:row>13</xdr:row>
      <xdr:rowOff>154837</xdr:rowOff>
    </xdr:from>
    <xdr:to>
      <xdr:col>18</xdr:col>
      <xdr:colOff>585586</xdr:colOff>
      <xdr:row>13</xdr:row>
      <xdr:rowOff>155994</xdr:rowOff>
    </xdr:to>
    <xdr:cxnSp macro="">
      <xdr:nvCxnSpPr>
        <xdr:cNvPr id="21" name="Straight Connector 20">
          <a:extLst>
            <a:ext uri="{FF2B5EF4-FFF2-40B4-BE49-F238E27FC236}">
              <a16:creationId xmlns:a16="http://schemas.microsoft.com/office/drawing/2014/main" id="{9DFEAD76-64ED-4DB6-A1D6-3DFD939E74C4}"/>
            </a:ext>
          </a:extLst>
        </xdr:cNvPr>
        <xdr:cNvCxnSpPr/>
      </xdr:nvCxnSpPr>
      <xdr:spPr>
        <a:xfrm flipV="1">
          <a:off x="10654388" y="2536087"/>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81505</xdr:colOff>
      <xdr:row>13</xdr:row>
      <xdr:rowOff>154837</xdr:rowOff>
    </xdr:from>
    <xdr:to>
      <xdr:col>20</xdr:col>
      <xdr:colOff>585453</xdr:colOff>
      <xdr:row>13</xdr:row>
      <xdr:rowOff>155994</xdr:rowOff>
    </xdr:to>
    <xdr:cxnSp macro="">
      <xdr:nvCxnSpPr>
        <xdr:cNvPr id="22" name="Straight Connector 21">
          <a:extLst>
            <a:ext uri="{FF2B5EF4-FFF2-40B4-BE49-F238E27FC236}">
              <a16:creationId xmlns:a16="http://schemas.microsoft.com/office/drawing/2014/main" id="{8B3902CE-A292-4A10-828C-4C198601A237}"/>
            </a:ext>
          </a:extLst>
        </xdr:cNvPr>
        <xdr:cNvCxnSpPr/>
      </xdr:nvCxnSpPr>
      <xdr:spPr>
        <a:xfrm flipV="1">
          <a:off x="11873455" y="2536087"/>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81981</xdr:colOff>
      <xdr:row>16</xdr:row>
      <xdr:rowOff>158334</xdr:rowOff>
    </xdr:from>
    <xdr:to>
      <xdr:col>10</xdr:col>
      <xdr:colOff>585928</xdr:colOff>
      <xdr:row>16</xdr:row>
      <xdr:rowOff>159491</xdr:rowOff>
    </xdr:to>
    <xdr:cxnSp macro="">
      <xdr:nvCxnSpPr>
        <xdr:cNvPr id="23" name="Straight Connector 22">
          <a:extLst>
            <a:ext uri="{FF2B5EF4-FFF2-40B4-BE49-F238E27FC236}">
              <a16:creationId xmlns:a16="http://schemas.microsoft.com/office/drawing/2014/main" id="{81BAE6F2-0B7D-4FB2-B7A3-75AA89DE52C6}"/>
            </a:ext>
          </a:extLst>
        </xdr:cNvPr>
        <xdr:cNvCxnSpPr/>
      </xdr:nvCxnSpPr>
      <xdr:spPr>
        <a:xfrm flipV="1">
          <a:off x="5777931" y="3092034"/>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84473</xdr:colOff>
      <xdr:row>16</xdr:row>
      <xdr:rowOff>158334</xdr:rowOff>
    </xdr:from>
    <xdr:to>
      <xdr:col>12</xdr:col>
      <xdr:colOff>588420</xdr:colOff>
      <xdr:row>16</xdr:row>
      <xdr:rowOff>159491</xdr:rowOff>
    </xdr:to>
    <xdr:cxnSp macro="">
      <xdr:nvCxnSpPr>
        <xdr:cNvPr id="24" name="Straight Connector 23">
          <a:extLst>
            <a:ext uri="{FF2B5EF4-FFF2-40B4-BE49-F238E27FC236}">
              <a16:creationId xmlns:a16="http://schemas.microsoft.com/office/drawing/2014/main" id="{4BC1EC16-A88F-43F2-9177-63DDDB077A91}"/>
            </a:ext>
          </a:extLst>
        </xdr:cNvPr>
        <xdr:cNvCxnSpPr/>
      </xdr:nvCxnSpPr>
      <xdr:spPr>
        <a:xfrm flipV="1">
          <a:off x="6999623" y="3092034"/>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82797</xdr:colOff>
      <xdr:row>16</xdr:row>
      <xdr:rowOff>158334</xdr:rowOff>
    </xdr:from>
    <xdr:to>
      <xdr:col>14</xdr:col>
      <xdr:colOff>586744</xdr:colOff>
      <xdr:row>16</xdr:row>
      <xdr:rowOff>159491</xdr:rowOff>
    </xdr:to>
    <xdr:cxnSp macro="">
      <xdr:nvCxnSpPr>
        <xdr:cNvPr id="25" name="Straight Connector 24">
          <a:extLst>
            <a:ext uri="{FF2B5EF4-FFF2-40B4-BE49-F238E27FC236}">
              <a16:creationId xmlns:a16="http://schemas.microsoft.com/office/drawing/2014/main" id="{B4DC3ABB-97BC-480E-990F-0DA23589D5F1}"/>
            </a:ext>
          </a:extLst>
        </xdr:cNvPr>
        <xdr:cNvCxnSpPr/>
      </xdr:nvCxnSpPr>
      <xdr:spPr>
        <a:xfrm flipV="1">
          <a:off x="8217147" y="3092034"/>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75886</xdr:colOff>
      <xdr:row>16</xdr:row>
      <xdr:rowOff>158334</xdr:rowOff>
    </xdr:from>
    <xdr:to>
      <xdr:col>16</xdr:col>
      <xdr:colOff>579834</xdr:colOff>
      <xdr:row>16</xdr:row>
      <xdr:rowOff>159491</xdr:rowOff>
    </xdr:to>
    <xdr:cxnSp macro="">
      <xdr:nvCxnSpPr>
        <xdr:cNvPr id="26" name="Straight Connector 25">
          <a:extLst>
            <a:ext uri="{FF2B5EF4-FFF2-40B4-BE49-F238E27FC236}">
              <a16:creationId xmlns:a16="http://schemas.microsoft.com/office/drawing/2014/main" id="{BFB77B76-AEDD-401A-9088-AF87D9446439}"/>
            </a:ext>
          </a:extLst>
        </xdr:cNvPr>
        <xdr:cNvCxnSpPr/>
      </xdr:nvCxnSpPr>
      <xdr:spPr>
        <a:xfrm flipV="1">
          <a:off x="9429436" y="309203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81638</xdr:colOff>
      <xdr:row>16</xdr:row>
      <xdr:rowOff>158334</xdr:rowOff>
    </xdr:from>
    <xdr:to>
      <xdr:col>18</xdr:col>
      <xdr:colOff>585586</xdr:colOff>
      <xdr:row>16</xdr:row>
      <xdr:rowOff>159491</xdr:rowOff>
    </xdr:to>
    <xdr:cxnSp macro="">
      <xdr:nvCxnSpPr>
        <xdr:cNvPr id="27" name="Straight Connector 26">
          <a:extLst>
            <a:ext uri="{FF2B5EF4-FFF2-40B4-BE49-F238E27FC236}">
              <a16:creationId xmlns:a16="http://schemas.microsoft.com/office/drawing/2014/main" id="{C7178C4F-F84F-4EAC-BD93-6FC101394711}"/>
            </a:ext>
          </a:extLst>
        </xdr:cNvPr>
        <xdr:cNvCxnSpPr/>
      </xdr:nvCxnSpPr>
      <xdr:spPr>
        <a:xfrm flipV="1">
          <a:off x="10654388" y="309203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81505</xdr:colOff>
      <xdr:row>16</xdr:row>
      <xdr:rowOff>158334</xdr:rowOff>
    </xdr:from>
    <xdr:to>
      <xdr:col>20</xdr:col>
      <xdr:colOff>585453</xdr:colOff>
      <xdr:row>16</xdr:row>
      <xdr:rowOff>159491</xdr:rowOff>
    </xdr:to>
    <xdr:cxnSp macro="">
      <xdr:nvCxnSpPr>
        <xdr:cNvPr id="28" name="Straight Connector 27">
          <a:extLst>
            <a:ext uri="{FF2B5EF4-FFF2-40B4-BE49-F238E27FC236}">
              <a16:creationId xmlns:a16="http://schemas.microsoft.com/office/drawing/2014/main" id="{89B414D3-4957-43C7-AE17-79E45CD50B26}"/>
            </a:ext>
          </a:extLst>
        </xdr:cNvPr>
        <xdr:cNvCxnSpPr/>
      </xdr:nvCxnSpPr>
      <xdr:spPr>
        <a:xfrm flipV="1">
          <a:off x="11873455" y="309203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81981</xdr:colOff>
      <xdr:row>18</xdr:row>
      <xdr:rowOff>166215</xdr:rowOff>
    </xdr:from>
    <xdr:to>
      <xdr:col>10</xdr:col>
      <xdr:colOff>585928</xdr:colOff>
      <xdr:row>18</xdr:row>
      <xdr:rowOff>167372</xdr:rowOff>
    </xdr:to>
    <xdr:cxnSp macro="">
      <xdr:nvCxnSpPr>
        <xdr:cNvPr id="29" name="Straight Connector 28">
          <a:extLst>
            <a:ext uri="{FF2B5EF4-FFF2-40B4-BE49-F238E27FC236}">
              <a16:creationId xmlns:a16="http://schemas.microsoft.com/office/drawing/2014/main" id="{B7023CD2-DD55-46BB-AC97-D86AC199AE80}"/>
            </a:ext>
          </a:extLst>
        </xdr:cNvPr>
        <xdr:cNvCxnSpPr/>
      </xdr:nvCxnSpPr>
      <xdr:spPr>
        <a:xfrm flipV="1">
          <a:off x="5777931" y="346821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84473</xdr:colOff>
      <xdr:row>18</xdr:row>
      <xdr:rowOff>166215</xdr:rowOff>
    </xdr:from>
    <xdr:to>
      <xdr:col>12</xdr:col>
      <xdr:colOff>588420</xdr:colOff>
      <xdr:row>18</xdr:row>
      <xdr:rowOff>167372</xdr:rowOff>
    </xdr:to>
    <xdr:cxnSp macro="">
      <xdr:nvCxnSpPr>
        <xdr:cNvPr id="30" name="Straight Connector 29">
          <a:extLst>
            <a:ext uri="{FF2B5EF4-FFF2-40B4-BE49-F238E27FC236}">
              <a16:creationId xmlns:a16="http://schemas.microsoft.com/office/drawing/2014/main" id="{AED78652-B336-4CB4-9FD4-1A98723B429C}"/>
            </a:ext>
          </a:extLst>
        </xdr:cNvPr>
        <xdr:cNvCxnSpPr/>
      </xdr:nvCxnSpPr>
      <xdr:spPr>
        <a:xfrm flipV="1">
          <a:off x="6999623" y="346821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82797</xdr:colOff>
      <xdr:row>18</xdr:row>
      <xdr:rowOff>166215</xdr:rowOff>
    </xdr:from>
    <xdr:to>
      <xdr:col>14</xdr:col>
      <xdr:colOff>586744</xdr:colOff>
      <xdr:row>18</xdr:row>
      <xdr:rowOff>167372</xdr:rowOff>
    </xdr:to>
    <xdr:cxnSp macro="">
      <xdr:nvCxnSpPr>
        <xdr:cNvPr id="31" name="Straight Connector 30">
          <a:extLst>
            <a:ext uri="{FF2B5EF4-FFF2-40B4-BE49-F238E27FC236}">
              <a16:creationId xmlns:a16="http://schemas.microsoft.com/office/drawing/2014/main" id="{C013460E-055A-4ACA-8D55-5F9D67DAE9BD}"/>
            </a:ext>
          </a:extLst>
        </xdr:cNvPr>
        <xdr:cNvCxnSpPr/>
      </xdr:nvCxnSpPr>
      <xdr:spPr>
        <a:xfrm flipV="1">
          <a:off x="8217147" y="346821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92941</xdr:colOff>
      <xdr:row>18</xdr:row>
      <xdr:rowOff>166215</xdr:rowOff>
    </xdr:from>
    <xdr:to>
      <xdr:col>16</xdr:col>
      <xdr:colOff>596889</xdr:colOff>
      <xdr:row>18</xdr:row>
      <xdr:rowOff>167372</xdr:rowOff>
    </xdr:to>
    <xdr:cxnSp macro="">
      <xdr:nvCxnSpPr>
        <xdr:cNvPr id="32" name="Straight Connector 31">
          <a:extLst>
            <a:ext uri="{FF2B5EF4-FFF2-40B4-BE49-F238E27FC236}">
              <a16:creationId xmlns:a16="http://schemas.microsoft.com/office/drawing/2014/main" id="{CF29927A-1D08-40FA-801F-A754B6AD1CF9}"/>
            </a:ext>
          </a:extLst>
        </xdr:cNvPr>
        <xdr:cNvCxnSpPr/>
      </xdr:nvCxnSpPr>
      <xdr:spPr>
        <a:xfrm flipV="1">
          <a:off x="9446491" y="3468215"/>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81638</xdr:colOff>
      <xdr:row>18</xdr:row>
      <xdr:rowOff>166215</xdr:rowOff>
    </xdr:from>
    <xdr:to>
      <xdr:col>18</xdr:col>
      <xdr:colOff>585586</xdr:colOff>
      <xdr:row>18</xdr:row>
      <xdr:rowOff>167372</xdr:rowOff>
    </xdr:to>
    <xdr:cxnSp macro="">
      <xdr:nvCxnSpPr>
        <xdr:cNvPr id="33" name="Straight Connector 32">
          <a:extLst>
            <a:ext uri="{FF2B5EF4-FFF2-40B4-BE49-F238E27FC236}">
              <a16:creationId xmlns:a16="http://schemas.microsoft.com/office/drawing/2014/main" id="{F918E9BD-D641-454A-B4BF-9F7E4E112505}"/>
            </a:ext>
          </a:extLst>
        </xdr:cNvPr>
        <xdr:cNvCxnSpPr/>
      </xdr:nvCxnSpPr>
      <xdr:spPr>
        <a:xfrm flipV="1">
          <a:off x="10654388" y="3468215"/>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81505</xdr:colOff>
      <xdr:row>18</xdr:row>
      <xdr:rowOff>166215</xdr:rowOff>
    </xdr:from>
    <xdr:to>
      <xdr:col>20</xdr:col>
      <xdr:colOff>585453</xdr:colOff>
      <xdr:row>18</xdr:row>
      <xdr:rowOff>167372</xdr:rowOff>
    </xdr:to>
    <xdr:cxnSp macro="">
      <xdr:nvCxnSpPr>
        <xdr:cNvPr id="34" name="Straight Connector 33">
          <a:extLst>
            <a:ext uri="{FF2B5EF4-FFF2-40B4-BE49-F238E27FC236}">
              <a16:creationId xmlns:a16="http://schemas.microsoft.com/office/drawing/2014/main" id="{2BFB5B6B-6F97-4A3A-A522-7FCA30EA201E}"/>
            </a:ext>
          </a:extLst>
        </xdr:cNvPr>
        <xdr:cNvCxnSpPr/>
      </xdr:nvCxnSpPr>
      <xdr:spPr>
        <a:xfrm flipV="1">
          <a:off x="11873455" y="3468215"/>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96981</xdr:colOff>
      <xdr:row>23</xdr:row>
      <xdr:rowOff>152197</xdr:rowOff>
    </xdr:from>
    <xdr:to>
      <xdr:col>10</xdr:col>
      <xdr:colOff>600928</xdr:colOff>
      <xdr:row>23</xdr:row>
      <xdr:rowOff>153354</xdr:rowOff>
    </xdr:to>
    <xdr:cxnSp macro="">
      <xdr:nvCxnSpPr>
        <xdr:cNvPr id="35" name="Straight Connector 34">
          <a:extLst>
            <a:ext uri="{FF2B5EF4-FFF2-40B4-BE49-F238E27FC236}">
              <a16:creationId xmlns:a16="http://schemas.microsoft.com/office/drawing/2014/main" id="{4868771A-6C6F-4281-B59D-09ADE22D01C3}"/>
            </a:ext>
          </a:extLst>
        </xdr:cNvPr>
        <xdr:cNvCxnSpPr/>
      </xdr:nvCxnSpPr>
      <xdr:spPr>
        <a:xfrm flipV="1">
          <a:off x="5792931" y="424159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99035</xdr:colOff>
      <xdr:row>23</xdr:row>
      <xdr:rowOff>152197</xdr:rowOff>
    </xdr:from>
    <xdr:to>
      <xdr:col>12</xdr:col>
      <xdr:colOff>603858</xdr:colOff>
      <xdr:row>23</xdr:row>
      <xdr:rowOff>153354</xdr:rowOff>
    </xdr:to>
    <xdr:cxnSp macro="">
      <xdr:nvCxnSpPr>
        <xdr:cNvPr id="36" name="Straight Connector 35">
          <a:extLst>
            <a:ext uri="{FF2B5EF4-FFF2-40B4-BE49-F238E27FC236}">
              <a16:creationId xmlns:a16="http://schemas.microsoft.com/office/drawing/2014/main" id="{C26D0E13-E975-446B-9B13-B21F982E95ED}"/>
            </a:ext>
          </a:extLst>
        </xdr:cNvPr>
        <xdr:cNvCxnSpPr/>
      </xdr:nvCxnSpPr>
      <xdr:spPr>
        <a:xfrm flipV="1">
          <a:off x="7014185" y="4241597"/>
          <a:ext cx="1114423"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97360</xdr:colOff>
      <xdr:row>23</xdr:row>
      <xdr:rowOff>152197</xdr:rowOff>
    </xdr:from>
    <xdr:to>
      <xdr:col>14</xdr:col>
      <xdr:colOff>602182</xdr:colOff>
      <xdr:row>23</xdr:row>
      <xdr:rowOff>153354</xdr:rowOff>
    </xdr:to>
    <xdr:cxnSp macro="">
      <xdr:nvCxnSpPr>
        <xdr:cNvPr id="37" name="Straight Connector 36">
          <a:extLst>
            <a:ext uri="{FF2B5EF4-FFF2-40B4-BE49-F238E27FC236}">
              <a16:creationId xmlns:a16="http://schemas.microsoft.com/office/drawing/2014/main" id="{9A49407C-E8C2-4135-9DAF-B8DE8845077B}"/>
            </a:ext>
          </a:extLst>
        </xdr:cNvPr>
        <xdr:cNvCxnSpPr/>
      </xdr:nvCxnSpPr>
      <xdr:spPr>
        <a:xfrm flipV="1">
          <a:off x="8231710" y="4241597"/>
          <a:ext cx="1114422"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107963</xdr:colOff>
      <xdr:row>23</xdr:row>
      <xdr:rowOff>152197</xdr:rowOff>
    </xdr:from>
    <xdr:to>
      <xdr:col>17</xdr:col>
      <xdr:colOff>1866</xdr:colOff>
      <xdr:row>23</xdr:row>
      <xdr:rowOff>153354</xdr:rowOff>
    </xdr:to>
    <xdr:cxnSp macro="">
      <xdr:nvCxnSpPr>
        <xdr:cNvPr id="38" name="Straight Connector 37">
          <a:extLst>
            <a:ext uri="{FF2B5EF4-FFF2-40B4-BE49-F238E27FC236}">
              <a16:creationId xmlns:a16="http://schemas.microsoft.com/office/drawing/2014/main" id="{1DD49480-DD0E-4E9A-92C5-EBAB9863E548}"/>
            </a:ext>
          </a:extLst>
        </xdr:cNvPr>
        <xdr:cNvCxnSpPr/>
      </xdr:nvCxnSpPr>
      <xdr:spPr>
        <a:xfrm flipV="1">
          <a:off x="9461513" y="4241597"/>
          <a:ext cx="1113103"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96661</xdr:colOff>
      <xdr:row>23</xdr:row>
      <xdr:rowOff>152197</xdr:rowOff>
    </xdr:from>
    <xdr:to>
      <xdr:col>18</xdr:col>
      <xdr:colOff>600563</xdr:colOff>
      <xdr:row>23</xdr:row>
      <xdr:rowOff>153354</xdr:rowOff>
    </xdr:to>
    <xdr:cxnSp macro="">
      <xdr:nvCxnSpPr>
        <xdr:cNvPr id="39" name="Straight Connector 38">
          <a:extLst>
            <a:ext uri="{FF2B5EF4-FFF2-40B4-BE49-F238E27FC236}">
              <a16:creationId xmlns:a16="http://schemas.microsoft.com/office/drawing/2014/main" id="{FB066E5F-52C6-4E86-A135-5886A78BDDE2}"/>
            </a:ext>
          </a:extLst>
        </xdr:cNvPr>
        <xdr:cNvCxnSpPr/>
      </xdr:nvCxnSpPr>
      <xdr:spPr>
        <a:xfrm flipV="1">
          <a:off x="10669411" y="4241597"/>
          <a:ext cx="1113502"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81527</xdr:colOff>
      <xdr:row>23</xdr:row>
      <xdr:rowOff>152197</xdr:rowOff>
    </xdr:from>
    <xdr:to>
      <xdr:col>20</xdr:col>
      <xdr:colOff>585430</xdr:colOff>
      <xdr:row>23</xdr:row>
      <xdr:rowOff>153354</xdr:rowOff>
    </xdr:to>
    <xdr:cxnSp macro="">
      <xdr:nvCxnSpPr>
        <xdr:cNvPr id="40" name="Straight Connector 39">
          <a:extLst>
            <a:ext uri="{FF2B5EF4-FFF2-40B4-BE49-F238E27FC236}">
              <a16:creationId xmlns:a16="http://schemas.microsoft.com/office/drawing/2014/main" id="{2E5DF3E3-F14B-4ED8-A6A2-8CB9181649EB}"/>
            </a:ext>
          </a:extLst>
        </xdr:cNvPr>
        <xdr:cNvCxnSpPr/>
      </xdr:nvCxnSpPr>
      <xdr:spPr>
        <a:xfrm flipV="1">
          <a:off x="11873477" y="4241597"/>
          <a:ext cx="1113503"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81981</xdr:colOff>
      <xdr:row>24</xdr:row>
      <xdr:rowOff>191437</xdr:rowOff>
    </xdr:from>
    <xdr:to>
      <xdr:col>10</xdr:col>
      <xdr:colOff>585928</xdr:colOff>
      <xdr:row>24</xdr:row>
      <xdr:rowOff>192594</xdr:rowOff>
    </xdr:to>
    <xdr:cxnSp macro="">
      <xdr:nvCxnSpPr>
        <xdr:cNvPr id="41" name="Straight Connector 40">
          <a:extLst>
            <a:ext uri="{FF2B5EF4-FFF2-40B4-BE49-F238E27FC236}">
              <a16:creationId xmlns:a16="http://schemas.microsoft.com/office/drawing/2014/main" id="{3BD15C67-89C8-456B-9C37-79BD76758F6F}"/>
            </a:ext>
          </a:extLst>
        </xdr:cNvPr>
        <xdr:cNvCxnSpPr/>
      </xdr:nvCxnSpPr>
      <xdr:spPr>
        <a:xfrm flipV="1">
          <a:off x="5777931" y="445863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84473</xdr:colOff>
      <xdr:row>24</xdr:row>
      <xdr:rowOff>191437</xdr:rowOff>
    </xdr:from>
    <xdr:to>
      <xdr:col>12</xdr:col>
      <xdr:colOff>588420</xdr:colOff>
      <xdr:row>24</xdr:row>
      <xdr:rowOff>192594</xdr:rowOff>
    </xdr:to>
    <xdr:cxnSp macro="">
      <xdr:nvCxnSpPr>
        <xdr:cNvPr id="42" name="Straight Connector 41">
          <a:extLst>
            <a:ext uri="{FF2B5EF4-FFF2-40B4-BE49-F238E27FC236}">
              <a16:creationId xmlns:a16="http://schemas.microsoft.com/office/drawing/2014/main" id="{84B3A378-0D4A-42BB-AAE1-26C9BFC8893F}"/>
            </a:ext>
          </a:extLst>
        </xdr:cNvPr>
        <xdr:cNvCxnSpPr/>
      </xdr:nvCxnSpPr>
      <xdr:spPr>
        <a:xfrm flipV="1">
          <a:off x="6999623" y="445863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82797</xdr:colOff>
      <xdr:row>24</xdr:row>
      <xdr:rowOff>191437</xdr:rowOff>
    </xdr:from>
    <xdr:to>
      <xdr:col>14</xdr:col>
      <xdr:colOff>586744</xdr:colOff>
      <xdr:row>24</xdr:row>
      <xdr:rowOff>192594</xdr:rowOff>
    </xdr:to>
    <xdr:cxnSp macro="">
      <xdr:nvCxnSpPr>
        <xdr:cNvPr id="43" name="Straight Connector 42">
          <a:extLst>
            <a:ext uri="{FF2B5EF4-FFF2-40B4-BE49-F238E27FC236}">
              <a16:creationId xmlns:a16="http://schemas.microsoft.com/office/drawing/2014/main" id="{26B4E52D-2151-41CC-8CB7-32A49EF7F11C}"/>
            </a:ext>
          </a:extLst>
        </xdr:cNvPr>
        <xdr:cNvCxnSpPr/>
      </xdr:nvCxnSpPr>
      <xdr:spPr>
        <a:xfrm flipV="1">
          <a:off x="8217147" y="445863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92941</xdr:colOff>
      <xdr:row>24</xdr:row>
      <xdr:rowOff>191437</xdr:rowOff>
    </xdr:from>
    <xdr:to>
      <xdr:col>16</xdr:col>
      <xdr:colOff>596889</xdr:colOff>
      <xdr:row>24</xdr:row>
      <xdr:rowOff>192594</xdr:rowOff>
    </xdr:to>
    <xdr:cxnSp macro="">
      <xdr:nvCxnSpPr>
        <xdr:cNvPr id="44" name="Straight Connector 43">
          <a:extLst>
            <a:ext uri="{FF2B5EF4-FFF2-40B4-BE49-F238E27FC236}">
              <a16:creationId xmlns:a16="http://schemas.microsoft.com/office/drawing/2014/main" id="{1E5A4FDC-9B7B-40C5-A060-C4D98BD1DDD6}"/>
            </a:ext>
          </a:extLst>
        </xdr:cNvPr>
        <xdr:cNvCxnSpPr/>
      </xdr:nvCxnSpPr>
      <xdr:spPr>
        <a:xfrm flipV="1">
          <a:off x="9446491" y="4458637"/>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81638</xdr:colOff>
      <xdr:row>24</xdr:row>
      <xdr:rowOff>191437</xdr:rowOff>
    </xdr:from>
    <xdr:to>
      <xdr:col>18</xdr:col>
      <xdr:colOff>585586</xdr:colOff>
      <xdr:row>24</xdr:row>
      <xdr:rowOff>192594</xdr:rowOff>
    </xdr:to>
    <xdr:cxnSp macro="">
      <xdr:nvCxnSpPr>
        <xdr:cNvPr id="45" name="Straight Connector 44">
          <a:extLst>
            <a:ext uri="{FF2B5EF4-FFF2-40B4-BE49-F238E27FC236}">
              <a16:creationId xmlns:a16="http://schemas.microsoft.com/office/drawing/2014/main" id="{7136A71B-4AED-4A9A-BC33-5C67CA602440}"/>
            </a:ext>
          </a:extLst>
        </xdr:cNvPr>
        <xdr:cNvCxnSpPr/>
      </xdr:nvCxnSpPr>
      <xdr:spPr>
        <a:xfrm flipV="1">
          <a:off x="10654388" y="4458637"/>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81505</xdr:colOff>
      <xdr:row>24</xdr:row>
      <xdr:rowOff>191437</xdr:rowOff>
    </xdr:from>
    <xdr:to>
      <xdr:col>20</xdr:col>
      <xdr:colOff>585453</xdr:colOff>
      <xdr:row>24</xdr:row>
      <xdr:rowOff>192594</xdr:rowOff>
    </xdr:to>
    <xdr:cxnSp macro="">
      <xdr:nvCxnSpPr>
        <xdr:cNvPr id="46" name="Straight Connector 45">
          <a:extLst>
            <a:ext uri="{FF2B5EF4-FFF2-40B4-BE49-F238E27FC236}">
              <a16:creationId xmlns:a16="http://schemas.microsoft.com/office/drawing/2014/main" id="{03541A68-F6CD-4DFB-9425-91E4E8FA07E7}"/>
            </a:ext>
          </a:extLst>
        </xdr:cNvPr>
        <xdr:cNvCxnSpPr/>
      </xdr:nvCxnSpPr>
      <xdr:spPr>
        <a:xfrm flipV="1">
          <a:off x="11873455" y="4458637"/>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81981</xdr:colOff>
      <xdr:row>25</xdr:row>
      <xdr:rowOff>5545</xdr:rowOff>
    </xdr:from>
    <xdr:to>
      <xdr:col>10</xdr:col>
      <xdr:colOff>585928</xdr:colOff>
      <xdr:row>25</xdr:row>
      <xdr:rowOff>6702</xdr:rowOff>
    </xdr:to>
    <xdr:cxnSp macro="">
      <xdr:nvCxnSpPr>
        <xdr:cNvPr id="47" name="Straight Connector 46">
          <a:extLst>
            <a:ext uri="{FF2B5EF4-FFF2-40B4-BE49-F238E27FC236}">
              <a16:creationId xmlns:a16="http://schemas.microsoft.com/office/drawing/2014/main" id="{82DED864-35ED-473C-A6F0-1647A434F9CB}"/>
            </a:ext>
          </a:extLst>
        </xdr:cNvPr>
        <xdr:cNvCxnSpPr/>
      </xdr:nvCxnSpPr>
      <xdr:spPr>
        <a:xfrm flipV="1">
          <a:off x="5777931" y="446324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84473</xdr:colOff>
      <xdr:row>25</xdr:row>
      <xdr:rowOff>5545</xdr:rowOff>
    </xdr:from>
    <xdr:to>
      <xdr:col>12</xdr:col>
      <xdr:colOff>588420</xdr:colOff>
      <xdr:row>25</xdr:row>
      <xdr:rowOff>6702</xdr:rowOff>
    </xdr:to>
    <xdr:cxnSp macro="">
      <xdr:nvCxnSpPr>
        <xdr:cNvPr id="48" name="Straight Connector 47">
          <a:extLst>
            <a:ext uri="{FF2B5EF4-FFF2-40B4-BE49-F238E27FC236}">
              <a16:creationId xmlns:a16="http://schemas.microsoft.com/office/drawing/2014/main" id="{31D0166F-5D2F-4CA9-9C50-9EEDA63084D2}"/>
            </a:ext>
          </a:extLst>
        </xdr:cNvPr>
        <xdr:cNvCxnSpPr/>
      </xdr:nvCxnSpPr>
      <xdr:spPr>
        <a:xfrm flipV="1">
          <a:off x="6999623" y="446324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82797</xdr:colOff>
      <xdr:row>25</xdr:row>
      <xdr:rowOff>5545</xdr:rowOff>
    </xdr:from>
    <xdr:to>
      <xdr:col>14</xdr:col>
      <xdr:colOff>586744</xdr:colOff>
      <xdr:row>25</xdr:row>
      <xdr:rowOff>6702</xdr:rowOff>
    </xdr:to>
    <xdr:cxnSp macro="">
      <xdr:nvCxnSpPr>
        <xdr:cNvPr id="49" name="Straight Connector 48">
          <a:extLst>
            <a:ext uri="{FF2B5EF4-FFF2-40B4-BE49-F238E27FC236}">
              <a16:creationId xmlns:a16="http://schemas.microsoft.com/office/drawing/2014/main" id="{D40C6E4A-7556-4978-BF5F-59A3909BF19A}"/>
            </a:ext>
          </a:extLst>
        </xdr:cNvPr>
        <xdr:cNvCxnSpPr/>
      </xdr:nvCxnSpPr>
      <xdr:spPr>
        <a:xfrm flipV="1">
          <a:off x="8217147" y="446324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92941</xdr:colOff>
      <xdr:row>25</xdr:row>
      <xdr:rowOff>5545</xdr:rowOff>
    </xdr:from>
    <xdr:to>
      <xdr:col>16</xdr:col>
      <xdr:colOff>596889</xdr:colOff>
      <xdr:row>25</xdr:row>
      <xdr:rowOff>6702</xdr:rowOff>
    </xdr:to>
    <xdr:cxnSp macro="">
      <xdr:nvCxnSpPr>
        <xdr:cNvPr id="50" name="Straight Connector 49">
          <a:extLst>
            <a:ext uri="{FF2B5EF4-FFF2-40B4-BE49-F238E27FC236}">
              <a16:creationId xmlns:a16="http://schemas.microsoft.com/office/drawing/2014/main" id="{D948D3A7-196A-4959-950F-B63A21CB27B0}"/>
            </a:ext>
          </a:extLst>
        </xdr:cNvPr>
        <xdr:cNvCxnSpPr/>
      </xdr:nvCxnSpPr>
      <xdr:spPr>
        <a:xfrm flipV="1">
          <a:off x="9446491" y="4463245"/>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81638</xdr:colOff>
      <xdr:row>25</xdr:row>
      <xdr:rowOff>5545</xdr:rowOff>
    </xdr:from>
    <xdr:to>
      <xdr:col>18</xdr:col>
      <xdr:colOff>585586</xdr:colOff>
      <xdr:row>25</xdr:row>
      <xdr:rowOff>6702</xdr:rowOff>
    </xdr:to>
    <xdr:cxnSp macro="">
      <xdr:nvCxnSpPr>
        <xdr:cNvPr id="51" name="Straight Connector 50">
          <a:extLst>
            <a:ext uri="{FF2B5EF4-FFF2-40B4-BE49-F238E27FC236}">
              <a16:creationId xmlns:a16="http://schemas.microsoft.com/office/drawing/2014/main" id="{40C88DDA-6FC8-47B5-BCD3-6B365F7A80E4}"/>
            </a:ext>
          </a:extLst>
        </xdr:cNvPr>
        <xdr:cNvCxnSpPr/>
      </xdr:nvCxnSpPr>
      <xdr:spPr>
        <a:xfrm flipV="1">
          <a:off x="10654388" y="4463245"/>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81505</xdr:colOff>
      <xdr:row>25</xdr:row>
      <xdr:rowOff>5545</xdr:rowOff>
    </xdr:from>
    <xdr:to>
      <xdr:col>20</xdr:col>
      <xdr:colOff>585453</xdr:colOff>
      <xdr:row>25</xdr:row>
      <xdr:rowOff>6702</xdr:rowOff>
    </xdr:to>
    <xdr:cxnSp macro="">
      <xdr:nvCxnSpPr>
        <xdr:cNvPr id="52" name="Straight Connector 51">
          <a:extLst>
            <a:ext uri="{FF2B5EF4-FFF2-40B4-BE49-F238E27FC236}">
              <a16:creationId xmlns:a16="http://schemas.microsoft.com/office/drawing/2014/main" id="{A7D5AFFB-5191-491B-93A2-DFCC4D514063}"/>
            </a:ext>
          </a:extLst>
        </xdr:cNvPr>
        <xdr:cNvCxnSpPr/>
      </xdr:nvCxnSpPr>
      <xdr:spPr>
        <a:xfrm flipV="1">
          <a:off x="11873455" y="4463245"/>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66609</xdr:colOff>
      <xdr:row>10</xdr:row>
      <xdr:rowOff>179312</xdr:rowOff>
    </xdr:from>
    <xdr:to>
      <xdr:col>14</xdr:col>
      <xdr:colOff>581713</xdr:colOff>
      <xdr:row>10</xdr:row>
      <xdr:rowOff>179312</xdr:rowOff>
    </xdr:to>
    <xdr:cxnSp macro="">
      <xdr:nvCxnSpPr>
        <xdr:cNvPr id="53" name="Straight Connector 52">
          <a:extLst>
            <a:ext uri="{FF2B5EF4-FFF2-40B4-BE49-F238E27FC236}">
              <a16:creationId xmlns:a16="http://schemas.microsoft.com/office/drawing/2014/main" id="{08C731F3-4AE7-4305-AFE4-F2E33E69E024}"/>
            </a:ext>
          </a:extLst>
        </xdr:cNvPr>
        <xdr:cNvCxnSpPr/>
      </xdr:nvCxnSpPr>
      <xdr:spPr>
        <a:xfrm>
          <a:off x="5762559" y="2001762"/>
          <a:ext cx="3563104"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9641</xdr:colOff>
      <xdr:row>31</xdr:row>
      <xdr:rowOff>163361</xdr:rowOff>
    </xdr:from>
    <xdr:to>
      <xdr:col>21</xdr:col>
      <xdr:colOff>41413</xdr:colOff>
      <xdr:row>31</xdr:row>
      <xdr:rowOff>163361</xdr:rowOff>
    </xdr:to>
    <xdr:cxnSp macro="">
      <xdr:nvCxnSpPr>
        <xdr:cNvPr id="54" name="Straight Connector 53">
          <a:extLst>
            <a:ext uri="{FF2B5EF4-FFF2-40B4-BE49-F238E27FC236}">
              <a16:creationId xmlns:a16="http://schemas.microsoft.com/office/drawing/2014/main" id="{D169A8FF-9C77-43A3-9BAF-7B9A3E15AC9F}"/>
            </a:ext>
          </a:extLst>
        </xdr:cNvPr>
        <xdr:cNvCxnSpPr/>
      </xdr:nvCxnSpPr>
      <xdr:spPr>
        <a:xfrm>
          <a:off x="3876791" y="5732311"/>
          <a:ext cx="9175772" cy="0"/>
        </a:xfrm>
        <a:prstGeom prst="line">
          <a:avLst/>
        </a:prstGeom>
        <a:ln w="12700">
          <a:solidFill>
            <a:schemeClr val="bg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76881</xdr:colOff>
      <xdr:row>33</xdr:row>
      <xdr:rowOff>162327</xdr:rowOff>
    </xdr:from>
    <xdr:to>
      <xdr:col>10</xdr:col>
      <xdr:colOff>580828</xdr:colOff>
      <xdr:row>33</xdr:row>
      <xdr:rowOff>163484</xdr:rowOff>
    </xdr:to>
    <xdr:cxnSp macro="">
      <xdr:nvCxnSpPr>
        <xdr:cNvPr id="55" name="Straight Connector 54">
          <a:extLst>
            <a:ext uri="{FF2B5EF4-FFF2-40B4-BE49-F238E27FC236}">
              <a16:creationId xmlns:a16="http://schemas.microsoft.com/office/drawing/2014/main" id="{40BDD53B-BF7D-4FA8-927C-CE882CDBD780}"/>
            </a:ext>
          </a:extLst>
        </xdr:cNvPr>
        <xdr:cNvCxnSpPr/>
      </xdr:nvCxnSpPr>
      <xdr:spPr>
        <a:xfrm flipV="1">
          <a:off x="5772831" y="610592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78935</xdr:colOff>
      <xdr:row>33</xdr:row>
      <xdr:rowOff>162327</xdr:rowOff>
    </xdr:from>
    <xdr:to>
      <xdr:col>12</xdr:col>
      <xdr:colOff>583758</xdr:colOff>
      <xdr:row>33</xdr:row>
      <xdr:rowOff>163484</xdr:rowOff>
    </xdr:to>
    <xdr:cxnSp macro="">
      <xdr:nvCxnSpPr>
        <xdr:cNvPr id="56" name="Straight Connector 55">
          <a:extLst>
            <a:ext uri="{FF2B5EF4-FFF2-40B4-BE49-F238E27FC236}">
              <a16:creationId xmlns:a16="http://schemas.microsoft.com/office/drawing/2014/main" id="{88671545-0BB9-4C52-AA2E-F5D065AF02F6}"/>
            </a:ext>
          </a:extLst>
        </xdr:cNvPr>
        <xdr:cNvCxnSpPr/>
      </xdr:nvCxnSpPr>
      <xdr:spPr>
        <a:xfrm flipV="1">
          <a:off x="6994085" y="6105927"/>
          <a:ext cx="1114423"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77260</xdr:colOff>
      <xdr:row>33</xdr:row>
      <xdr:rowOff>162327</xdr:rowOff>
    </xdr:from>
    <xdr:to>
      <xdr:col>14</xdr:col>
      <xdr:colOff>582082</xdr:colOff>
      <xdr:row>33</xdr:row>
      <xdr:rowOff>163484</xdr:rowOff>
    </xdr:to>
    <xdr:cxnSp macro="">
      <xdr:nvCxnSpPr>
        <xdr:cNvPr id="57" name="Straight Connector 56">
          <a:extLst>
            <a:ext uri="{FF2B5EF4-FFF2-40B4-BE49-F238E27FC236}">
              <a16:creationId xmlns:a16="http://schemas.microsoft.com/office/drawing/2014/main" id="{070F5CE9-3290-44AC-BD2B-5EB8980B898A}"/>
            </a:ext>
          </a:extLst>
        </xdr:cNvPr>
        <xdr:cNvCxnSpPr/>
      </xdr:nvCxnSpPr>
      <xdr:spPr>
        <a:xfrm flipV="1">
          <a:off x="8211610" y="6105927"/>
          <a:ext cx="1114422"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87863</xdr:colOff>
      <xdr:row>33</xdr:row>
      <xdr:rowOff>162327</xdr:rowOff>
    </xdr:from>
    <xdr:to>
      <xdr:col>16</xdr:col>
      <xdr:colOff>591766</xdr:colOff>
      <xdr:row>33</xdr:row>
      <xdr:rowOff>163484</xdr:rowOff>
    </xdr:to>
    <xdr:cxnSp macro="">
      <xdr:nvCxnSpPr>
        <xdr:cNvPr id="58" name="Straight Connector 57">
          <a:extLst>
            <a:ext uri="{FF2B5EF4-FFF2-40B4-BE49-F238E27FC236}">
              <a16:creationId xmlns:a16="http://schemas.microsoft.com/office/drawing/2014/main" id="{AE9EDC84-0204-45FA-8332-B23AEC56E3C4}"/>
            </a:ext>
          </a:extLst>
        </xdr:cNvPr>
        <xdr:cNvCxnSpPr/>
      </xdr:nvCxnSpPr>
      <xdr:spPr>
        <a:xfrm flipV="1">
          <a:off x="9441413" y="6105927"/>
          <a:ext cx="1113503"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76561</xdr:colOff>
      <xdr:row>33</xdr:row>
      <xdr:rowOff>162327</xdr:rowOff>
    </xdr:from>
    <xdr:to>
      <xdr:col>18</xdr:col>
      <xdr:colOff>580463</xdr:colOff>
      <xdr:row>33</xdr:row>
      <xdr:rowOff>163484</xdr:rowOff>
    </xdr:to>
    <xdr:cxnSp macro="">
      <xdr:nvCxnSpPr>
        <xdr:cNvPr id="59" name="Straight Connector 58">
          <a:extLst>
            <a:ext uri="{FF2B5EF4-FFF2-40B4-BE49-F238E27FC236}">
              <a16:creationId xmlns:a16="http://schemas.microsoft.com/office/drawing/2014/main" id="{CFD03AAC-4C5E-4B33-B847-D70EAEA6B670}"/>
            </a:ext>
          </a:extLst>
        </xdr:cNvPr>
        <xdr:cNvCxnSpPr/>
      </xdr:nvCxnSpPr>
      <xdr:spPr>
        <a:xfrm flipV="1">
          <a:off x="10649311" y="6105927"/>
          <a:ext cx="1113502"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61427</xdr:colOff>
      <xdr:row>33</xdr:row>
      <xdr:rowOff>162327</xdr:rowOff>
    </xdr:from>
    <xdr:to>
      <xdr:col>20</xdr:col>
      <xdr:colOff>565330</xdr:colOff>
      <xdr:row>33</xdr:row>
      <xdr:rowOff>163484</xdr:rowOff>
    </xdr:to>
    <xdr:cxnSp macro="">
      <xdr:nvCxnSpPr>
        <xdr:cNvPr id="60" name="Straight Connector 59">
          <a:extLst>
            <a:ext uri="{FF2B5EF4-FFF2-40B4-BE49-F238E27FC236}">
              <a16:creationId xmlns:a16="http://schemas.microsoft.com/office/drawing/2014/main" id="{5E56F070-9048-4D49-926F-3D5B46C2F1B4}"/>
            </a:ext>
          </a:extLst>
        </xdr:cNvPr>
        <xdr:cNvCxnSpPr/>
      </xdr:nvCxnSpPr>
      <xdr:spPr>
        <a:xfrm flipV="1">
          <a:off x="11853377" y="6105927"/>
          <a:ext cx="1113503"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76881</xdr:colOff>
      <xdr:row>40</xdr:row>
      <xdr:rowOff>159727</xdr:rowOff>
    </xdr:from>
    <xdr:to>
      <xdr:col>10</xdr:col>
      <xdr:colOff>580828</xdr:colOff>
      <xdr:row>40</xdr:row>
      <xdr:rowOff>160884</xdr:rowOff>
    </xdr:to>
    <xdr:cxnSp macro="">
      <xdr:nvCxnSpPr>
        <xdr:cNvPr id="61" name="Straight Connector 60">
          <a:extLst>
            <a:ext uri="{FF2B5EF4-FFF2-40B4-BE49-F238E27FC236}">
              <a16:creationId xmlns:a16="http://schemas.microsoft.com/office/drawing/2014/main" id="{45AAE8CE-E0C3-4CFF-B03A-C5E3E186F4DC}"/>
            </a:ext>
          </a:extLst>
        </xdr:cNvPr>
        <xdr:cNvCxnSpPr/>
      </xdr:nvCxnSpPr>
      <xdr:spPr>
        <a:xfrm flipV="1">
          <a:off x="5772831" y="725267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78935</xdr:colOff>
      <xdr:row>40</xdr:row>
      <xdr:rowOff>159727</xdr:rowOff>
    </xdr:from>
    <xdr:to>
      <xdr:col>12</xdr:col>
      <xdr:colOff>583758</xdr:colOff>
      <xdr:row>40</xdr:row>
      <xdr:rowOff>160884</xdr:rowOff>
    </xdr:to>
    <xdr:cxnSp macro="">
      <xdr:nvCxnSpPr>
        <xdr:cNvPr id="62" name="Straight Connector 61">
          <a:extLst>
            <a:ext uri="{FF2B5EF4-FFF2-40B4-BE49-F238E27FC236}">
              <a16:creationId xmlns:a16="http://schemas.microsoft.com/office/drawing/2014/main" id="{4D727C39-3B15-4FD4-B5E8-F0AC27E4E30B}"/>
            </a:ext>
          </a:extLst>
        </xdr:cNvPr>
        <xdr:cNvCxnSpPr/>
      </xdr:nvCxnSpPr>
      <xdr:spPr>
        <a:xfrm flipV="1">
          <a:off x="6994085" y="7252677"/>
          <a:ext cx="1114423"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77260</xdr:colOff>
      <xdr:row>40</xdr:row>
      <xdr:rowOff>159727</xdr:rowOff>
    </xdr:from>
    <xdr:to>
      <xdr:col>14</xdr:col>
      <xdr:colOff>582082</xdr:colOff>
      <xdr:row>40</xdr:row>
      <xdr:rowOff>160884</xdr:rowOff>
    </xdr:to>
    <xdr:cxnSp macro="">
      <xdr:nvCxnSpPr>
        <xdr:cNvPr id="63" name="Straight Connector 62">
          <a:extLst>
            <a:ext uri="{FF2B5EF4-FFF2-40B4-BE49-F238E27FC236}">
              <a16:creationId xmlns:a16="http://schemas.microsoft.com/office/drawing/2014/main" id="{45D1D401-BEEC-45D3-89C7-6A314D00172A}"/>
            </a:ext>
          </a:extLst>
        </xdr:cNvPr>
        <xdr:cNvCxnSpPr/>
      </xdr:nvCxnSpPr>
      <xdr:spPr>
        <a:xfrm flipV="1">
          <a:off x="8211610" y="7252677"/>
          <a:ext cx="1114422"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87863</xdr:colOff>
      <xdr:row>40</xdr:row>
      <xdr:rowOff>159727</xdr:rowOff>
    </xdr:from>
    <xdr:to>
      <xdr:col>16</xdr:col>
      <xdr:colOff>591766</xdr:colOff>
      <xdr:row>40</xdr:row>
      <xdr:rowOff>160884</xdr:rowOff>
    </xdr:to>
    <xdr:cxnSp macro="">
      <xdr:nvCxnSpPr>
        <xdr:cNvPr id="64" name="Straight Connector 63">
          <a:extLst>
            <a:ext uri="{FF2B5EF4-FFF2-40B4-BE49-F238E27FC236}">
              <a16:creationId xmlns:a16="http://schemas.microsoft.com/office/drawing/2014/main" id="{14345801-A08A-4CEF-BDCE-F9447CA5613B}"/>
            </a:ext>
          </a:extLst>
        </xdr:cNvPr>
        <xdr:cNvCxnSpPr/>
      </xdr:nvCxnSpPr>
      <xdr:spPr>
        <a:xfrm flipV="1">
          <a:off x="9441413" y="7252677"/>
          <a:ext cx="1113503"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76561</xdr:colOff>
      <xdr:row>40</xdr:row>
      <xdr:rowOff>159727</xdr:rowOff>
    </xdr:from>
    <xdr:to>
      <xdr:col>18</xdr:col>
      <xdr:colOff>580463</xdr:colOff>
      <xdr:row>40</xdr:row>
      <xdr:rowOff>160884</xdr:rowOff>
    </xdr:to>
    <xdr:cxnSp macro="">
      <xdr:nvCxnSpPr>
        <xdr:cNvPr id="65" name="Straight Connector 64">
          <a:extLst>
            <a:ext uri="{FF2B5EF4-FFF2-40B4-BE49-F238E27FC236}">
              <a16:creationId xmlns:a16="http://schemas.microsoft.com/office/drawing/2014/main" id="{E77C0CE3-D3D3-4D84-BD3A-03AD91320BBA}"/>
            </a:ext>
          </a:extLst>
        </xdr:cNvPr>
        <xdr:cNvCxnSpPr/>
      </xdr:nvCxnSpPr>
      <xdr:spPr>
        <a:xfrm flipV="1">
          <a:off x="10649311" y="7252677"/>
          <a:ext cx="1113502"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61427</xdr:colOff>
      <xdr:row>40</xdr:row>
      <xdr:rowOff>159727</xdr:rowOff>
    </xdr:from>
    <xdr:to>
      <xdr:col>20</xdr:col>
      <xdr:colOff>565330</xdr:colOff>
      <xdr:row>40</xdr:row>
      <xdr:rowOff>160884</xdr:rowOff>
    </xdr:to>
    <xdr:cxnSp macro="">
      <xdr:nvCxnSpPr>
        <xdr:cNvPr id="66" name="Straight Connector 65">
          <a:extLst>
            <a:ext uri="{FF2B5EF4-FFF2-40B4-BE49-F238E27FC236}">
              <a16:creationId xmlns:a16="http://schemas.microsoft.com/office/drawing/2014/main" id="{F9FD9893-58F9-4E15-A117-0E2D0470B34B}"/>
            </a:ext>
          </a:extLst>
        </xdr:cNvPr>
        <xdr:cNvCxnSpPr/>
      </xdr:nvCxnSpPr>
      <xdr:spPr>
        <a:xfrm flipV="1">
          <a:off x="11853377" y="7252677"/>
          <a:ext cx="1113503"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58081</xdr:colOff>
      <xdr:row>44</xdr:row>
      <xdr:rowOff>162046</xdr:rowOff>
    </xdr:from>
    <xdr:to>
      <xdr:col>10</xdr:col>
      <xdr:colOff>562028</xdr:colOff>
      <xdr:row>44</xdr:row>
      <xdr:rowOff>163364</xdr:rowOff>
    </xdr:to>
    <xdr:cxnSp macro="">
      <xdr:nvCxnSpPr>
        <xdr:cNvPr id="67" name="Straight Connector 66">
          <a:extLst>
            <a:ext uri="{FF2B5EF4-FFF2-40B4-BE49-F238E27FC236}">
              <a16:creationId xmlns:a16="http://schemas.microsoft.com/office/drawing/2014/main" id="{6B2C17A5-8897-4EF1-9516-5C16D4E479A4}"/>
            </a:ext>
          </a:extLst>
        </xdr:cNvPr>
        <xdr:cNvCxnSpPr/>
      </xdr:nvCxnSpPr>
      <xdr:spPr>
        <a:xfrm flipV="1">
          <a:off x="5754031" y="79915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60135</xdr:colOff>
      <xdr:row>44</xdr:row>
      <xdr:rowOff>162046</xdr:rowOff>
    </xdr:from>
    <xdr:to>
      <xdr:col>12</xdr:col>
      <xdr:colOff>564958</xdr:colOff>
      <xdr:row>44</xdr:row>
      <xdr:rowOff>163364</xdr:rowOff>
    </xdr:to>
    <xdr:cxnSp macro="">
      <xdr:nvCxnSpPr>
        <xdr:cNvPr id="68" name="Straight Connector 67">
          <a:extLst>
            <a:ext uri="{FF2B5EF4-FFF2-40B4-BE49-F238E27FC236}">
              <a16:creationId xmlns:a16="http://schemas.microsoft.com/office/drawing/2014/main" id="{2E1FF9C2-E471-4B8D-9E7A-7DBAE625A3F8}"/>
            </a:ext>
          </a:extLst>
        </xdr:cNvPr>
        <xdr:cNvCxnSpPr/>
      </xdr:nvCxnSpPr>
      <xdr:spPr>
        <a:xfrm flipV="1">
          <a:off x="6975285" y="7991596"/>
          <a:ext cx="1114423"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58460</xdr:colOff>
      <xdr:row>44</xdr:row>
      <xdr:rowOff>162046</xdr:rowOff>
    </xdr:from>
    <xdr:to>
      <xdr:col>14</xdr:col>
      <xdr:colOff>563282</xdr:colOff>
      <xdr:row>44</xdr:row>
      <xdr:rowOff>163364</xdr:rowOff>
    </xdr:to>
    <xdr:cxnSp macro="">
      <xdr:nvCxnSpPr>
        <xdr:cNvPr id="69" name="Straight Connector 68">
          <a:extLst>
            <a:ext uri="{FF2B5EF4-FFF2-40B4-BE49-F238E27FC236}">
              <a16:creationId xmlns:a16="http://schemas.microsoft.com/office/drawing/2014/main" id="{DB6EDB4B-8A9A-438E-B12E-3059F50BBE8A}"/>
            </a:ext>
          </a:extLst>
        </xdr:cNvPr>
        <xdr:cNvCxnSpPr/>
      </xdr:nvCxnSpPr>
      <xdr:spPr>
        <a:xfrm flipV="1">
          <a:off x="8192810" y="7991596"/>
          <a:ext cx="1114422"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69063</xdr:colOff>
      <xdr:row>44</xdr:row>
      <xdr:rowOff>162046</xdr:rowOff>
    </xdr:from>
    <xdr:to>
      <xdr:col>16</xdr:col>
      <xdr:colOff>572966</xdr:colOff>
      <xdr:row>44</xdr:row>
      <xdr:rowOff>163364</xdr:rowOff>
    </xdr:to>
    <xdr:cxnSp macro="">
      <xdr:nvCxnSpPr>
        <xdr:cNvPr id="70" name="Straight Connector 69">
          <a:extLst>
            <a:ext uri="{FF2B5EF4-FFF2-40B4-BE49-F238E27FC236}">
              <a16:creationId xmlns:a16="http://schemas.microsoft.com/office/drawing/2014/main" id="{DCA8FF51-1292-47FC-85B9-07973A6F203D}"/>
            </a:ext>
          </a:extLst>
        </xdr:cNvPr>
        <xdr:cNvCxnSpPr/>
      </xdr:nvCxnSpPr>
      <xdr:spPr>
        <a:xfrm flipV="1">
          <a:off x="9422613" y="7991596"/>
          <a:ext cx="1113503"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57761</xdr:colOff>
      <xdr:row>44</xdr:row>
      <xdr:rowOff>162046</xdr:rowOff>
    </xdr:from>
    <xdr:to>
      <xdr:col>18</xdr:col>
      <xdr:colOff>561663</xdr:colOff>
      <xdr:row>44</xdr:row>
      <xdr:rowOff>163364</xdr:rowOff>
    </xdr:to>
    <xdr:cxnSp macro="">
      <xdr:nvCxnSpPr>
        <xdr:cNvPr id="71" name="Straight Connector 70">
          <a:extLst>
            <a:ext uri="{FF2B5EF4-FFF2-40B4-BE49-F238E27FC236}">
              <a16:creationId xmlns:a16="http://schemas.microsoft.com/office/drawing/2014/main" id="{E719ED8D-6295-4831-96E4-E6842BC2F295}"/>
            </a:ext>
          </a:extLst>
        </xdr:cNvPr>
        <xdr:cNvCxnSpPr/>
      </xdr:nvCxnSpPr>
      <xdr:spPr>
        <a:xfrm flipV="1">
          <a:off x="10630511" y="7991596"/>
          <a:ext cx="1113502"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42627</xdr:colOff>
      <xdr:row>44</xdr:row>
      <xdr:rowOff>162046</xdr:rowOff>
    </xdr:from>
    <xdr:to>
      <xdr:col>20</xdr:col>
      <xdr:colOff>546530</xdr:colOff>
      <xdr:row>44</xdr:row>
      <xdr:rowOff>163364</xdr:rowOff>
    </xdr:to>
    <xdr:cxnSp macro="">
      <xdr:nvCxnSpPr>
        <xdr:cNvPr id="72" name="Straight Connector 71">
          <a:extLst>
            <a:ext uri="{FF2B5EF4-FFF2-40B4-BE49-F238E27FC236}">
              <a16:creationId xmlns:a16="http://schemas.microsoft.com/office/drawing/2014/main" id="{99AB482C-1DC4-4F46-9E3B-A8DDBD430922}"/>
            </a:ext>
          </a:extLst>
        </xdr:cNvPr>
        <xdr:cNvCxnSpPr/>
      </xdr:nvCxnSpPr>
      <xdr:spPr>
        <a:xfrm flipV="1">
          <a:off x="11834577" y="7991596"/>
          <a:ext cx="1113503"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58081</xdr:colOff>
      <xdr:row>53</xdr:row>
      <xdr:rowOff>159446</xdr:rowOff>
    </xdr:from>
    <xdr:to>
      <xdr:col>10</xdr:col>
      <xdr:colOff>562028</xdr:colOff>
      <xdr:row>53</xdr:row>
      <xdr:rowOff>160764</xdr:rowOff>
    </xdr:to>
    <xdr:cxnSp macro="">
      <xdr:nvCxnSpPr>
        <xdr:cNvPr id="73" name="Straight Connector 72">
          <a:extLst>
            <a:ext uri="{FF2B5EF4-FFF2-40B4-BE49-F238E27FC236}">
              <a16:creationId xmlns:a16="http://schemas.microsoft.com/office/drawing/2014/main" id="{734228E3-3533-464E-944A-6409E136CB6A}"/>
            </a:ext>
          </a:extLst>
        </xdr:cNvPr>
        <xdr:cNvCxnSpPr/>
      </xdr:nvCxnSpPr>
      <xdr:spPr>
        <a:xfrm flipV="1">
          <a:off x="5754031" y="94939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60135</xdr:colOff>
      <xdr:row>53</xdr:row>
      <xdr:rowOff>159446</xdr:rowOff>
    </xdr:from>
    <xdr:to>
      <xdr:col>12</xdr:col>
      <xdr:colOff>564958</xdr:colOff>
      <xdr:row>53</xdr:row>
      <xdr:rowOff>160764</xdr:rowOff>
    </xdr:to>
    <xdr:cxnSp macro="">
      <xdr:nvCxnSpPr>
        <xdr:cNvPr id="74" name="Straight Connector 73">
          <a:extLst>
            <a:ext uri="{FF2B5EF4-FFF2-40B4-BE49-F238E27FC236}">
              <a16:creationId xmlns:a16="http://schemas.microsoft.com/office/drawing/2014/main" id="{3D2F7DF5-1497-4504-8A40-F54969060E17}"/>
            </a:ext>
          </a:extLst>
        </xdr:cNvPr>
        <xdr:cNvCxnSpPr/>
      </xdr:nvCxnSpPr>
      <xdr:spPr>
        <a:xfrm flipV="1">
          <a:off x="6975285" y="9493946"/>
          <a:ext cx="1114423"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58460</xdr:colOff>
      <xdr:row>53</xdr:row>
      <xdr:rowOff>159446</xdr:rowOff>
    </xdr:from>
    <xdr:to>
      <xdr:col>14</xdr:col>
      <xdr:colOff>563282</xdr:colOff>
      <xdr:row>53</xdr:row>
      <xdr:rowOff>160764</xdr:rowOff>
    </xdr:to>
    <xdr:cxnSp macro="">
      <xdr:nvCxnSpPr>
        <xdr:cNvPr id="75" name="Straight Connector 74">
          <a:extLst>
            <a:ext uri="{FF2B5EF4-FFF2-40B4-BE49-F238E27FC236}">
              <a16:creationId xmlns:a16="http://schemas.microsoft.com/office/drawing/2014/main" id="{E771206F-F71F-4492-B464-3FC743718D6E}"/>
            </a:ext>
          </a:extLst>
        </xdr:cNvPr>
        <xdr:cNvCxnSpPr/>
      </xdr:nvCxnSpPr>
      <xdr:spPr>
        <a:xfrm flipV="1">
          <a:off x="8192810" y="9493946"/>
          <a:ext cx="1114422"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69063</xdr:colOff>
      <xdr:row>53</xdr:row>
      <xdr:rowOff>159446</xdr:rowOff>
    </xdr:from>
    <xdr:to>
      <xdr:col>16</xdr:col>
      <xdr:colOff>572966</xdr:colOff>
      <xdr:row>53</xdr:row>
      <xdr:rowOff>160764</xdr:rowOff>
    </xdr:to>
    <xdr:cxnSp macro="">
      <xdr:nvCxnSpPr>
        <xdr:cNvPr id="76" name="Straight Connector 75">
          <a:extLst>
            <a:ext uri="{FF2B5EF4-FFF2-40B4-BE49-F238E27FC236}">
              <a16:creationId xmlns:a16="http://schemas.microsoft.com/office/drawing/2014/main" id="{C2AA506A-06FD-42E8-8B60-971A878CEC1C}"/>
            </a:ext>
          </a:extLst>
        </xdr:cNvPr>
        <xdr:cNvCxnSpPr/>
      </xdr:nvCxnSpPr>
      <xdr:spPr>
        <a:xfrm flipV="1">
          <a:off x="9422613" y="9493946"/>
          <a:ext cx="1113503"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57761</xdr:colOff>
      <xdr:row>53</xdr:row>
      <xdr:rowOff>159446</xdr:rowOff>
    </xdr:from>
    <xdr:to>
      <xdr:col>18</xdr:col>
      <xdr:colOff>561663</xdr:colOff>
      <xdr:row>53</xdr:row>
      <xdr:rowOff>160764</xdr:rowOff>
    </xdr:to>
    <xdr:cxnSp macro="">
      <xdr:nvCxnSpPr>
        <xdr:cNvPr id="77" name="Straight Connector 76">
          <a:extLst>
            <a:ext uri="{FF2B5EF4-FFF2-40B4-BE49-F238E27FC236}">
              <a16:creationId xmlns:a16="http://schemas.microsoft.com/office/drawing/2014/main" id="{F091CEAC-F8C1-40E2-B347-9D8E194604A8}"/>
            </a:ext>
          </a:extLst>
        </xdr:cNvPr>
        <xdr:cNvCxnSpPr/>
      </xdr:nvCxnSpPr>
      <xdr:spPr>
        <a:xfrm flipV="1">
          <a:off x="10630511" y="9493946"/>
          <a:ext cx="1113502"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42627</xdr:colOff>
      <xdr:row>53</xdr:row>
      <xdr:rowOff>159446</xdr:rowOff>
    </xdr:from>
    <xdr:to>
      <xdr:col>20</xdr:col>
      <xdr:colOff>546530</xdr:colOff>
      <xdr:row>53</xdr:row>
      <xdr:rowOff>160764</xdr:rowOff>
    </xdr:to>
    <xdr:cxnSp macro="">
      <xdr:nvCxnSpPr>
        <xdr:cNvPr id="78" name="Straight Connector 77">
          <a:extLst>
            <a:ext uri="{FF2B5EF4-FFF2-40B4-BE49-F238E27FC236}">
              <a16:creationId xmlns:a16="http://schemas.microsoft.com/office/drawing/2014/main" id="{87C42CE8-CD0F-4FE4-96CD-B9FCD732ED08}"/>
            </a:ext>
          </a:extLst>
        </xdr:cNvPr>
        <xdr:cNvCxnSpPr/>
      </xdr:nvCxnSpPr>
      <xdr:spPr>
        <a:xfrm flipV="1">
          <a:off x="11834577" y="9493946"/>
          <a:ext cx="1113503"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58081</xdr:colOff>
      <xdr:row>54</xdr:row>
      <xdr:rowOff>161846</xdr:rowOff>
    </xdr:from>
    <xdr:to>
      <xdr:col>10</xdr:col>
      <xdr:colOff>562028</xdr:colOff>
      <xdr:row>54</xdr:row>
      <xdr:rowOff>163164</xdr:rowOff>
    </xdr:to>
    <xdr:cxnSp macro="">
      <xdr:nvCxnSpPr>
        <xdr:cNvPr id="79" name="Straight Connector 78">
          <a:extLst>
            <a:ext uri="{FF2B5EF4-FFF2-40B4-BE49-F238E27FC236}">
              <a16:creationId xmlns:a16="http://schemas.microsoft.com/office/drawing/2014/main" id="{77908B5F-9CEF-4376-B6A9-9F3699E66DB6}"/>
            </a:ext>
          </a:extLst>
        </xdr:cNvPr>
        <xdr:cNvCxnSpPr/>
      </xdr:nvCxnSpPr>
      <xdr:spPr>
        <a:xfrm flipV="1">
          <a:off x="5754031" y="96804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60135</xdr:colOff>
      <xdr:row>54</xdr:row>
      <xdr:rowOff>161846</xdr:rowOff>
    </xdr:from>
    <xdr:to>
      <xdr:col>12</xdr:col>
      <xdr:colOff>564958</xdr:colOff>
      <xdr:row>54</xdr:row>
      <xdr:rowOff>163164</xdr:rowOff>
    </xdr:to>
    <xdr:cxnSp macro="">
      <xdr:nvCxnSpPr>
        <xdr:cNvPr id="80" name="Straight Connector 79">
          <a:extLst>
            <a:ext uri="{FF2B5EF4-FFF2-40B4-BE49-F238E27FC236}">
              <a16:creationId xmlns:a16="http://schemas.microsoft.com/office/drawing/2014/main" id="{FF2F51BF-592B-44B5-B565-0AE4C82545C7}"/>
            </a:ext>
          </a:extLst>
        </xdr:cNvPr>
        <xdr:cNvCxnSpPr/>
      </xdr:nvCxnSpPr>
      <xdr:spPr>
        <a:xfrm flipV="1">
          <a:off x="6975285" y="9680496"/>
          <a:ext cx="1114423"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58460</xdr:colOff>
      <xdr:row>54</xdr:row>
      <xdr:rowOff>161846</xdr:rowOff>
    </xdr:from>
    <xdr:to>
      <xdr:col>14</xdr:col>
      <xdr:colOff>563282</xdr:colOff>
      <xdr:row>54</xdr:row>
      <xdr:rowOff>163164</xdr:rowOff>
    </xdr:to>
    <xdr:cxnSp macro="">
      <xdr:nvCxnSpPr>
        <xdr:cNvPr id="81" name="Straight Connector 80">
          <a:extLst>
            <a:ext uri="{FF2B5EF4-FFF2-40B4-BE49-F238E27FC236}">
              <a16:creationId xmlns:a16="http://schemas.microsoft.com/office/drawing/2014/main" id="{A64DC8B2-230F-4D49-B414-7AE25286AAA0}"/>
            </a:ext>
          </a:extLst>
        </xdr:cNvPr>
        <xdr:cNvCxnSpPr/>
      </xdr:nvCxnSpPr>
      <xdr:spPr>
        <a:xfrm flipV="1">
          <a:off x="8192810" y="9680496"/>
          <a:ext cx="1114422"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69063</xdr:colOff>
      <xdr:row>54</xdr:row>
      <xdr:rowOff>161846</xdr:rowOff>
    </xdr:from>
    <xdr:to>
      <xdr:col>16</xdr:col>
      <xdr:colOff>572966</xdr:colOff>
      <xdr:row>54</xdr:row>
      <xdr:rowOff>163164</xdr:rowOff>
    </xdr:to>
    <xdr:cxnSp macro="">
      <xdr:nvCxnSpPr>
        <xdr:cNvPr id="82" name="Straight Connector 81">
          <a:extLst>
            <a:ext uri="{FF2B5EF4-FFF2-40B4-BE49-F238E27FC236}">
              <a16:creationId xmlns:a16="http://schemas.microsoft.com/office/drawing/2014/main" id="{890C921A-C1F0-46AE-AF82-9D3007898268}"/>
            </a:ext>
          </a:extLst>
        </xdr:cNvPr>
        <xdr:cNvCxnSpPr/>
      </xdr:nvCxnSpPr>
      <xdr:spPr>
        <a:xfrm flipV="1">
          <a:off x="9422613" y="9680496"/>
          <a:ext cx="1113503"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57761</xdr:colOff>
      <xdr:row>54</xdr:row>
      <xdr:rowOff>161846</xdr:rowOff>
    </xdr:from>
    <xdr:to>
      <xdr:col>18</xdr:col>
      <xdr:colOff>561663</xdr:colOff>
      <xdr:row>54</xdr:row>
      <xdr:rowOff>163164</xdr:rowOff>
    </xdr:to>
    <xdr:cxnSp macro="">
      <xdr:nvCxnSpPr>
        <xdr:cNvPr id="83" name="Straight Connector 82">
          <a:extLst>
            <a:ext uri="{FF2B5EF4-FFF2-40B4-BE49-F238E27FC236}">
              <a16:creationId xmlns:a16="http://schemas.microsoft.com/office/drawing/2014/main" id="{451D10B0-6041-41ED-BC03-C602ACA383BF}"/>
            </a:ext>
          </a:extLst>
        </xdr:cNvPr>
        <xdr:cNvCxnSpPr/>
      </xdr:nvCxnSpPr>
      <xdr:spPr>
        <a:xfrm flipV="1">
          <a:off x="10630511" y="9680496"/>
          <a:ext cx="1113502"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42627</xdr:colOff>
      <xdr:row>54</xdr:row>
      <xdr:rowOff>161846</xdr:rowOff>
    </xdr:from>
    <xdr:to>
      <xdr:col>20</xdr:col>
      <xdr:colOff>546530</xdr:colOff>
      <xdr:row>54</xdr:row>
      <xdr:rowOff>163164</xdr:rowOff>
    </xdr:to>
    <xdr:cxnSp macro="">
      <xdr:nvCxnSpPr>
        <xdr:cNvPr id="84" name="Straight Connector 83">
          <a:extLst>
            <a:ext uri="{FF2B5EF4-FFF2-40B4-BE49-F238E27FC236}">
              <a16:creationId xmlns:a16="http://schemas.microsoft.com/office/drawing/2014/main" id="{5AD51733-B1E8-45E6-AEB1-CEDB6569F98C}"/>
            </a:ext>
          </a:extLst>
        </xdr:cNvPr>
        <xdr:cNvCxnSpPr/>
      </xdr:nvCxnSpPr>
      <xdr:spPr>
        <a:xfrm flipV="1">
          <a:off x="11834577" y="9680496"/>
          <a:ext cx="1113503"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58081</xdr:colOff>
      <xdr:row>55</xdr:row>
      <xdr:rowOff>4246</xdr:rowOff>
    </xdr:from>
    <xdr:to>
      <xdr:col>10</xdr:col>
      <xdr:colOff>562028</xdr:colOff>
      <xdr:row>55</xdr:row>
      <xdr:rowOff>5564</xdr:rowOff>
    </xdr:to>
    <xdr:cxnSp macro="">
      <xdr:nvCxnSpPr>
        <xdr:cNvPr id="85" name="Straight Connector 84">
          <a:extLst>
            <a:ext uri="{FF2B5EF4-FFF2-40B4-BE49-F238E27FC236}">
              <a16:creationId xmlns:a16="http://schemas.microsoft.com/office/drawing/2014/main" id="{3ED37E1B-CEBC-4138-8202-3D95F99336E8}"/>
            </a:ext>
          </a:extLst>
        </xdr:cNvPr>
        <xdr:cNvCxnSpPr/>
      </xdr:nvCxnSpPr>
      <xdr:spPr>
        <a:xfrm flipV="1">
          <a:off x="5754031" y="97070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60135</xdr:colOff>
      <xdr:row>55</xdr:row>
      <xdr:rowOff>4246</xdr:rowOff>
    </xdr:from>
    <xdr:to>
      <xdr:col>12</xdr:col>
      <xdr:colOff>564958</xdr:colOff>
      <xdr:row>55</xdr:row>
      <xdr:rowOff>5564</xdr:rowOff>
    </xdr:to>
    <xdr:cxnSp macro="">
      <xdr:nvCxnSpPr>
        <xdr:cNvPr id="86" name="Straight Connector 85">
          <a:extLst>
            <a:ext uri="{FF2B5EF4-FFF2-40B4-BE49-F238E27FC236}">
              <a16:creationId xmlns:a16="http://schemas.microsoft.com/office/drawing/2014/main" id="{C7B6D7BC-05CF-4F7A-BF41-BBFC104D551B}"/>
            </a:ext>
          </a:extLst>
        </xdr:cNvPr>
        <xdr:cNvCxnSpPr/>
      </xdr:nvCxnSpPr>
      <xdr:spPr>
        <a:xfrm flipV="1">
          <a:off x="6975285" y="9707046"/>
          <a:ext cx="1114423"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58460</xdr:colOff>
      <xdr:row>55</xdr:row>
      <xdr:rowOff>4246</xdr:rowOff>
    </xdr:from>
    <xdr:to>
      <xdr:col>14</xdr:col>
      <xdr:colOff>563282</xdr:colOff>
      <xdr:row>55</xdr:row>
      <xdr:rowOff>5564</xdr:rowOff>
    </xdr:to>
    <xdr:cxnSp macro="">
      <xdr:nvCxnSpPr>
        <xdr:cNvPr id="87" name="Straight Connector 86">
          <a:extLst>
            <a:ext uri="{FF2B5EF4-FFF2-40B4-BE49-F238E27FC236}">
              <a16:creationId xmlns:a16="http://schemas.microsoft.com/office/drawing/2014/main" id="{8A117A02-2AEA-4CE4-B974-76F6943F764F}"/>
            </a:ext>
          </a:extLst>
        </xdr:cNvPr>
        <xdr:cNvCxnSpPr/>
      </xdr:nvCxnSpPr>
      <xdr:spPr>
        <a:xfrm flipV="1">
          <a:off x="8192810" y="9707046"/>
          <a:ext cx="1114422"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69063</xdr:colOff>
      <xdr:row>55</xdr:row>
      <xdr:rowOff>4246</xdr:rowOff>
    </xdr:from>
    <xdr:to>
      <xdr:col>16</xdr:col>
      <xdr:colOff>572966</xdr:colOff>
      <xdr:row>55</xdr:row>
      <xdr:rowOff>5564</xdr:rowOff>
    </xdr:to>
    <xdr:cxnSp macro="">
      <xdr:nvCxnSpPr>
        <xdr:cNvPr id="88" name="Straight Connector 87">
          <a:extLst>
            <a:ext uri="{FF2B5EF4-FFF2-40B4-BE49-F238E27FC236}">
              <a16:creationId xmlns:a16="http://schemas.microsoft.com/office/drawing/2014/main" id="{573A952F-DB6F-443E-B989-884808F2FE4F}"/>
            </a:ext>
          </a:extLst>
        </xdr:cNvPr>
        <xdr:cNvCxnSpPr/>
      </xdr:nvCxnSpPr>
      <xdr:spPr>
        <a:xfrm flipV="1">
          <a:off x="9422613" y="9707046"/>
          <a:ext cx="1113503"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57761</xdr:colOff>
      <xdr:row>55</xdr:row>
      <xdr:rowOff>4246</xdr:rowOff>
    </xdr:from>
    <xdr:to>
      <xdr:col>18</xdr:col>
      <xdr:colOff>561663</xdr:colOff>
      <xdr:row>55</xdr:row>
      <xdr:rowOff>5564</xdr:rowOff>
    </xdr:to>
    <xdr:cxnSp macro="">
      <xdr:nvCxnSpPr>
        <xdr:cNvPr id="89" name="Straight Connector 88">
          <a:extLst>
            <a:ext uri="{FF2B5EF4-FFF2-40B4-BE49-F238E27FC236}">
              <a16:creationId xmlns:a16="http://schemas.microsoft.com/office/drawing/2014/main" id="{771FE7E8-8E83-4CC7-802E-057DC6538E48}"/>
            </a:ext>
          </a:extLst>
        </xdr:cNvPr>
        <xdr:cNvCxnSpPr/>
      </xdr:nvCxnSpPr>
      <xdr:spPr>
        <a:xfrm flipV="1">
          <a:off x="10630511" y="9707046"/>
          <a:ext cx="1113502"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42627</xdr:colOff>
      <xdr:row>55</xdr:row>
      <xdr:rowOff>4246</xdr:rowOff>
    </xdr:from>
    <xdr:to>
      <xdr:col>20</xdr:col>
      <xdr:colOff>546530</xdr:colOff>
      <xdr:row>55</xdr:row>
      <xdr:rowOff>5564</xdr:rowOff>
    </xdr:to>
    <xdr:cxnSp macro="">
      <xdr:nvCxnSpPr>
        <xdr:cNvPr id="90" name="Straight Connector 89">
          <a:extLst>
            <a:ext uri="{FF2B5EF4-FFF2-40B4-BE49-F238E27FC236}">
              <a16:creationId xmlns:a16="http://schemas.microsoft.com/office/drawing/2014/main" id="{5AAF64D9-C4F5-408A-823F-919919454719}"/>
            </a:ext>
          </a:extLst>
        </xdr:cNvPr>
        <xdr:cNvCxnSpPr/>
      </xdr:nvCxnSpPr>
      <xdr:spPr>
        <a:xfrm flipV="1">
          <a:off x="11834577" y="9707046"/>
          <a:ext cx="1113503"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9641</xdr:colOff>
      <xdr:row>61</xdr:row>
      <xdr:rowOff>152722</xdr:rowOff>
    </xdr:from>
    <xdr:to>
      <xdr:col>21</xdr:col>
      <xdr:colOff>41413</xdr:colOff>
      <xdr:row>61</xdr:row>
      <xdr:rowOff>152722</xdr:rowOff>
    </xdr:to>
    <xdr:cxnSp macro="">
      <xdr:nvCxnSpPr>
        <xdr:cNvPr id="91" name="Straight Connector 90">
          <a:extLst>
            <a:ext uri="{FF2B5EF4-FFF2-40B4-BE49-F238E27FC236}">
              <a16:creationId xmlns:a16="http://schemas.microsoft.com/office/drawing/2014/main" id="{8E6AB1F3-CE72-4B99-91B4-80C1C351945E}"/>
            </a:ext>
          </a:extLst>
        </xdr:cNvPr>
        <xdr:cNvCxnSpPr/>
      </xdr:nvCxnSpPr>
      <xdr:spPr>
        <a:xfrm>
          <a:off x="3876791" y="10833422"/>
          <a:ext cx="9175772" cy="0"/>
        </a:xfrm>
        <a:prstGeom prst="line">
          <a:avLst/>
        </a:prstGeom>
        <a:ln w="12700">
          <a:solidFill>
            <a:schemeClr val="bg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0</xdr:colOff>
      <xdr:row>64</xdr:row>
      <xdr:rowOff>155963</xdr:rowOff>
    </xdr:from>
    <xdr:to>
      <xdr:col>5</xdr:col>
      <xdr:colOff>0</xdr:colOff>
      <xdr:row>64</xdr:row>
      <xdr:rowOff>163262</xdr:rowOff>
    </xdr:to>
    <xdr:cxnSp macro="">
      <xdr:nvCxnSpPr>
        <xdr:cNvPr id="92" name="Straight Connector 91">
          <a:extLst>
            <a:ext uri="{FF2B5EF4-FFF2-40B4-BE49-F238E27FC236}">
              <a16:creationId xmlns:a16="http://schemas.microsoft.com/office/drawing/2014/main" id="{0D32FF16-36CE-4E80-AE31-0732179CC0F8}"/>
            </a:ext>
          </a:extLst>
        </xdr:cNvPr>
        <xdr:cNvCxnSpPr/>
      </xdr:nvCxnSpPr>
      <xdr:spPr>
        <a:xfrm>
          <a:off x="609600" y="11395463"/>
          <a:ext cx="2647950" cy="7299"/>
        </a:xfrm>
        <a:prstGeom prst="line">
          <a:avLst/>
        </a:prstGeom>
        <a:ln w="12700">
          <a:solidFill>
            <a:schemeClr val="bg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604796</xdr:colOff>
      <xdr:row>68</xdr:row>
      <xdr:rowOff>154145</xdr:rowOff>
    </xdr:from>
    <xdr:to>
      <xdr:col>27</xdr:col>
      <xdr:colOff>0</xdr:colOff>
      <xdr:row>68</xdr:row>
      <xdr:rowOff>157534</xdr:rowOff>
    </xdr:to>
    <xdr:cxnSp macro="">
      <xdr:nvCxnSpPr>
        <xdr:cNvPr id="93" name="Straight Connector 92">
          <a:extLst>
            <a:ext uri="{FF2B5EF4-FFF2-40B4-BE49-F238E27FC236}">
              <a16:creationId xmlns:a16="http://schemas.microsoft.com/office/drawing/2014/main" id="{2DF763FD-5329-42B1-B691-DD3B7AFD6F5F}"/>
            </a:ext>
          </a:extLst>
        </xdr:cNvPr>
        <xdr:cNvCxnSpPr/>
      </xdr:nvCxnSpPr>
      <xdr:spPr>
        <a:xfrm flipV="1">
          <a:off x="3862346" y="12136595"/>
          <a:ext cx="13454104" cy="3389"/>
        </a:xfrm>
        <a:prstGeom prst="line">
          <a:avLst/>
        </a:prstGeom>
        <a:ln w="12700">
          <a:solidFill>
            <a:schemeClr val="bg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0</xdr:colOff>
      <xdr:row>38</xdr:row>
      <xdr:rowOff>155032</xdr:rowOff>
    </xdr:from>
    <xdr:to>
      <xdr:col>27</xdr:col>
      <xdr:colOff>0</xdr:colOff>
      <xdr:row>38</xdr:row>
      <xdr:rowOff>155124</xdr:rowOff>
    </xdr:to>
    <xdr:cxnSp macro="">
      <xdr:nvCxnSpPr>
        <xdr:cNvPr id="94" name="Straight Connector 93">
          <a:extLst>
            <a:ext uri="{FF2B5EF4-FFF2-40B4-BE49-F238E27FC236}">
              <a16:creationId xmlns:a16="http://schemas.microsoft.com/office/drawing/2014/main" id="{5B8B2ADB-5273-47DE-877C-1BEEA486051B}"/>
            </a:ext>
          </a:extLst>
        </xdr:cNvPr>
        <xdr:cNvCxnSpPr/>
      </xdr:nvCxnSpPr>
      <xdr:spPr>
        <a:xfrm flipV="1">
          <a:off x="13620750" y="6879682"/>
          <a:ext cx="3695700" cy="92"/>
        </a:xfrm>
        <a:prstGeom prst="line">
          <a:avLst/>
        </a:prstGeom>
        <a:ln w="12700">
          <a:solidFill>
            <a:schemeClr val="bg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62365</xdr:colOff>
      <xdr:row>9</xdr:row>
      <xdr:rowOff>159148</xdr:rowOff>
    </xdr:from>
    <xdr:to>
      <xdr:col>25</xdr:col>
      <xdr:colOff>702445</xdr:colOff>
      <xdr:row>9</xdr:row>
      <xdr:rowOff>159148</xdr:rowOff>
    </xdr:to>
    <xdr:cxnSp macro="">
      <xdr:nvCxnSpPr>
        <xdr:cNvPr id="95" name="Straight Connector 94">
          <a:extLst>
            <a:ext uri="{FF2B5EF4-FFF2-40B4-BE49-F238E27FC236}">
              <a16:creationId xmlns:a16="http://schemas.microsoft.com/office/drawing/2014/main" id="{5824BBAB-A044-4508-A0CB-6F804981A72F}"/>
            </a:ext>
          </a:extLst>
        </xdr:cNvPr>
        <xdr:cNvCxnSpPr/>
      </xdr:nvCxnSpPr>
      <xdr:spPr>
        <a:xfrm>
          <a:off x="15969115" y="1797448"/>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58251</xdr:colOff>
      <xdr:row>9</xdr:row>
      <xdr:rowOff>159148</xdr:rowOff>
    </xdr:from>
    <xdr:to>
      <xdr:col>26</xdr:col>
      <xdr:colOff>698331</xdr:colOff>
      <xdr:row>9</xdr:row>
      <xdr:rowOff>159148</xdr:rowOff>
    </xdr:to>
    <xdr:cxnSp macro="">
      <xdr:nvCxnSpPr>
        <xdr:cNvPr id="96" name="Straight Connector 95">
          <a:extLst>
            <a:ext uri="{FF2B5EF4-FFF2-40B4-BE49-F238E27FC236}">
              <a16:creationId xmlns:a16="http://schemas.microsoft.com/office/drawing/2014/main" id="{AFECA4EB-2D41-4B72-B9E3-367F681FB36F}"/>
            </a:ext>
          </a:extLst>
        </xdr:cNvPr>
        <xdr:cNvCxnSpPr/>
      </xdr:nvCxnSpPr>
      <xdr:spPr>
        <a:xfrm>
          <a:off x="16727001" y="1797448"/>
          <a:ext cx="5892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67196</xdr:colOff>
      <xdr:row>13</xdr:row>
      <xdr:rowOff>159506</xdr:rowOff>
    </xdr:from>
    <xdr:to>
      <xdr:col>25</xdr:col>
      <xdr:colOff>707276</xdr:colOff>
      <xdr:row>13</xdr:row>
      <xdr:rowOff>159506</xdr:rowOff>
    </xdr:to>
    <xdr:cxnSp macro="">
      <xdr:nvCxnSpPr>
        <xdr:cNvPr id="97" name="Straight Connector 96">
          <a:extLst>
            <a:ext uri="{FF2B5EF4-FFF2-40B4-BE49-F238E27FC236}">
              <a16:creationId xmlns:a16="http://schemas.microsoft.com/office/drawing/2014/main" id="{7601E911-09F1-4A6F-84A4-EBA52F1B9069}"/>
            </a:ext>
          </a:extLst>
        </xdr:cNvPr>
        <xdr:cNvCxnSpPr/>
      </xdr:nvCxnSpPr>
      <xdr:spPr>
        <a:xfrm>
          <a:off x="15973946" y="2540756"/>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63082</xdr:colOff>
      <xdr:row>13</xdr:row>
      <xdr:rowOff>159506</xdr:rowOff>
    </xdr:from>
    <xdr:to>
      <xdr:col>25</xdr:col>
      <xdr:colOff>703162</xdr:colOff>
      <xdr:row>13</xdr:row>
      <xdr:rowOff>159506</xdr:rowOff>
    </xdr:to>
    <xdr:cxnSp macro="">
      <xdr:nvCxnSpPr>
        <xdr:cNvPr id="98" name="Straight Connector 97">
          <a:extLst>
            <a:ext uri="{FF2B5EF4-FFF2-40B4-BE49-F238E27FC236}">
              <a16:creationId xmlns:a16="http://schemas.microsoft.com/office/drawing/2014/main" id="{6631E6BF-E56D-4BC1-AC4C-E150EAC03689}"/>
            </a:ext>
          </a:extLst>
        </xdr:cNvPr>
        <xdr:cNvCxnSpPr/>
      </xdr:nvCxnSpPr>
      <xdr:spPr>
        <a:xfrm>
          <a:off x="15969832" y="2540756"/>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68004</xdr:colOff>
      <xdr:row>18</xdr:row>
      <xdr:rowOff>171282</xdr:rowOff>
    </xdr:from>
    <xdr:to>
      <xdr:col>25</xdr:col>
      <xdr:colOff>708084</xdr:colOff>
      <xdr:row>18</xdr:row>
      <xdr:rowOff>171282</xdr:rowOff>
    </xdr:to>
    <xdr:cxnSp macro="">
      <xdr:nvCxnSpPr>
        <xdr:cNvPr id="99" name="Straight Connector 98">
          <a:extLst>
            <a:ext uri="{FF2B5EF4-FFF2-40B4-BE49-F238E27FC236}">
              <a16:creationId xmlns:a16="http://schemas.microsoft.com/office/drawing/2014/main" id="{8C33B137-E27C-43BF-B893-86AC6C4ADC0A}"/>
            </a:ext>
          </a:extLst>
        </xdr:cNvPr>
        <xdr:cNvCxnSpPr/>
      </xdr:nvCxnSpPr>
      <xdr:spPr>
        <a:xfrm>
          <a:off x="15974754" y="3473282"/>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63890</xdr:colOff>
      <xdr:row>18</xdr:row>
      <xdr:rowOff>171282</xdr:rowOff>
    </xdr:from>
    <xdr:to>
      <xdr:col>25</xdr:col>
      <xdr:colOff>703970</xdr:colOff>
      <xdr:row>18</xdr:row>
      <xdr:rowOff>171282</xdr:rowOff>
    </xdr:to>
    <xdr:cxnSp macro="">
      <xdr:nvCxnSpPr>
        <xdr:cNvPr id="100" name="Straight Connector 99">
          <a:extLst>
            <a:ext uri="{FF2B5EF4-FFF2-40B4-BE49-F238E27FC236}">
              <a16:creationId xmlns:a16="http://schemas.microsoft.com/office/drawing/2014/main" id="{5042F550-1215-47B9-A1A0-A92AA028F976}"/>
            </a:ext>
          </a:extLst>
        </xdr:cNvPr>
        <xdr:cNvCxnSpPr/>
      </xdr:nvCxnSpPr>
      <xdr:spPr>
        <a:xfrm>
          <a:off x="15970640" y="3473282"/>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69448</xdr:colOff>
      <xdr:row>20</xdr:row>
      <xdr:rowOff>166161</xdr:rowOff>
    </xdr:from>
    <xdr:to>
      <xdr:col>25</xdr:col>
      <xdr:colOff>709528</xdr:colOff>
      <xdr:row>20</xdr:row>
      <xdr:rowOff>166161</xdr:rowOff>
    </xdr:to>
    <xdr:cxnSp macro="">
      <xdr:nvCxnSpPr>
        <xdr:cNvPr id="101" name="Straight Connector 100">
          <a:extLst>
            <a:ext uri="{FF2B5EF4-FFF2-40B4-BE49-F238E27FC236}">
              <a16:creationId xmlns:a16="http://schemas.microsoft.com/office/drawing/2014/main" id="{2D5CC790-47A7-46AB-9067-7432561BF564}"/>
            </a:ext>
          </a:extLst>
        </xdr:cNvPr>
        <xdr:cNvCxnSpPr/>
      </xdr:nvCxnSpPr>
      <xdr:spPr>
        <a:xfrm>
          <a:off x="15976198" y="3703111"/>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65334</xdr:colOff>
      <xdr:row>20</xdr:row>
      <xdr:rowOff>166161</xdr:rowOff>
    </xdr:from>
    <xdr:to>
      <xdr:col>25</xdr:col>
      <xdr:colOff>705414</xdr:colOff>
      <xdr:row>20</xdr:row>
      <xdr:rowOff>166161</xdr:rowOff>
    </xdr:to>
    <xdr:cxnSp macro="">
      <xdr:nvCxnSpPr>
        <xdr:cNvPr id="102" name="Straight Connector 101">
          <a:extLst>
            <a:ext uri="{FF2B5EF4-FFF2-40B4-BE49-F238E27FC236}">
              <a16:creationId xmlns:a16="http://schemas.microsoft.com/office/drawing/2014/main" id="{3263CABA-4A56-430E-99EE-D9AC784D7FA3}"/>
            </a:ext>
          </a:extLst>
        </xdr:cNvPr>
        <xdr:cNvCxnSpPr/>
      </xdr:nvCxnSpPr>
      <xdr:spPr>
        <a:xfrm>
          <a:off x="15972084" y="3703111"/>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74167</xdr:colOff>
      <xdr:row>24</xdr:row>
      <xdr:rowOff>159033</xdr:rowOff>
    </xdr:from>
    <xdr:to>
      <xdr:col>25</xdr:col>
      <xdr:colOff>714247</xdr:colOff>
      <xdr:row>24</xdr:row>
      <xdr:rowOff>159033</xdr:rowOff>
    </xdr:to>
    <xdr:cxnSp macro="">
      <xdr:nvCxnSpPr>
        <xdr:cNvPr id="103" name="Straight Connector 102">
          <a:extLst>
            <a:ext uri="{FF2B5EF4-FFF2-40B4-BE49-F238E27FC236}">
              <a16:creationId xmlns:a16="http://schemas.microsoft.com/office/drawing/2014/main" id="{57DD7856-EF34-42A8-A7D4-A8FAF0AC0793}"/>
            </a:ext>
          </a:extLst>
        </xdr:cNvPr>
        <xdr:cNvCxnSpPr/>
      </xdr:nvCxnSpPr>
      <xdr:spPr>
        <a:xfrm>
          <a:off x="15980917" y="4432583"/>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70053</xdr:colOff>
      <xdr:row>24</xdr:row>
      <xdr:rowOff>159033</xdr:rowOff>
    </xdr:from>
    <xdr:to>
      <xdr:col>26</xdr:col>
      <xdr:colOff>710133</xdr:colOff>
      <xdr:row>24</xdr:row>
      <xdr:rowOff>159033</xdr:rowOff>
    </xdr:to>
    <xdr:cxnSp macro="">
      <xdr:nvCxnSpPr>
        <xdr:cNvPr id="104" name="Straight Connector 103">
          <a:extLst>
            <a:ext uri="{FF2B5EF4-FFF2-40B4-BE49-F238E27FC236}">
              <a16:creationId xmlns:a16="http://schemas.microsoft.com/office/drawing/2014/main" id="{8EA6BF44-AFCB-499A-9BF5-2A15C7C4E01B}"/>
            </a:ext>
          </a:extLst>
        </xdr:cNvPr>
        <xdr:cNvCxnSpPr/>
      </xdr:nvCxnSpPr>
      <xdr:spPr>
        <a:xfrm>
          <a:off x="16738803" y="4432583"/>
          <a:ext cx="5765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74167</xdr:colOff>
      <xdr:row>28</xdr:row>
      <xdr:rowOff>166653</xdr:rowOff>
    </xdr:from>
    <xdr:to>
      <xdr:col>25</xdr:col>
      <xdr:colOff>714247</xdr:colOff>
      <xdr:row>28</xdr:row>
      <xdr:rowOff>166653</xdr:rowOff>
    </xdr:to>
    <xdr:cxnSp macro="">
      <xdr:nvCxnSpPr>
        <xdr:cNvPr id="105" name="Straight Connector 104">
          <a:extLst>
            <a:ext uri="{FF2B5EF4-FFF2-40B4-BE49-F238E27FC236}">
              <a16:creationId xmlns:a16="http://schemas.microsoft.com/office/drawing/2014/main" id="{AF5501C3-A166-46A8-AB43-C34A7931C5D7}"/>
            </a:ext>
          </a:extLst>
        </xdr:cNvPr>
        <xdr:cNvCxnSpPr/>
      </xdr:nvCxnSpPr>
      <xdr:spPr>
        <a:xfrm>
          <a:off x="15980917" y="5176803"/>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70053</xdr:colOff>
      <xdr:row>28</xdr:row>
      <xdr:rowOff>166653</xdr:rowOff>
    </xdr:from>
    <xdr:to>
      <xdr:col>26</xdr:col>
      <xdr:colOff>710133</xdr:colOff>
      <xdr:row>28</xdr:row>
      <xdr:rowOff>166653</xdr:rowOff>
    </xdr:to>
    <xdr:cxnSp macro="">
      <xdr:nvCxnSpPr>
        <xdr:cNvPr id="106" name="Straight Connector 105">
          <a:extLst>
            <a:ext uri="{FF2B5EF4-FFF2-40B4-BE49-F238E27FC236}">
              <a16:creationId xmlns:a16="http://schemas.microsoft.com/office/drawing/2014/main" id="{3C01346D-4A8D-4D8A-A8B9-EA20D6A5365C}"/>
            </a:ext>
          </a:extLst>
        </xdr:cNvPr>
        <xdr:cNvCxnSpPr/>
      </xdr:nvCxnSpPr>
      <xdr:spPr>
        <a:xfrm>
          <a:off x="16738803" y="5176803"/>
          <a:ext cx="5765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74167</xdr:colOff>
      <xdr:row>33</xdr:row>
      <xdr:rowOff>161573</xdr:rowOff>
    </xdr:from>
    <xdr:to>
      <xdr:col>25</xdr:col>
      <xdr:colOff>714247</xdr:colOff>
      <xdr:row>33</xdr:row>
      <xdr:rowOff>161573</xdr:rowOff>
    </xdr:to>
    <xdr:cxnSp macro="">
      <xdr:nvCxnSpPr>
        <xdr:cNvPr id="107" name="Straight Connector 106">
          <a:extLst>
            <a:ext uri="{FF2B5EF4-FFF2-40B4-BE49-F238E27FC236}">
              <a16:creationId xmlns:a16="http://schemas.microsoft.com/office/drawing/2014/main" id="{CE4BA69C-A146-4C80-A62C-DE5DDD95BB29}"/>
            </a:ext>
          </a:extLst>
        </xdr:cNvPr>
        <xdr:cNvCxnSpPr/>
      </xdr:nvCxnSpPr>
      <xdr:spPr>
        <a:xfrm>
          <a:off x="15980917" y="6105173"/>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70053</xdr:colOff>
      <xdr:row>33</xdr:row>
      <xdr:rowOff>161573</xdr:rowOff>
    </xdr:from>
    <xdr:to>
      <xdr:col>26</xdr:col>
      <xdr:colOff>710133</xdr:colOff>
      <xdr:row>33</xdr:row>
      <xdr:rowOff>161573</xdr:rowOff>
    </xdr:to>
    <xdr:cxnSp macro="">
      <xdr:nvCxnSpPr>
        <xdr:cNvPr id="108" name="Straight Connector 107">
          <a:extLst>
            <a:ext uri="{FF2B5EF4-FFF2-40B4-BE49-F238E27FC236}">
              <a16:creationId xmlns:a16="http://schemas.microsoft.com/office/drawing/2014/main" id="{F4BF3159-2C62-4D70-87A5-AE761562E941}"/>
            </a:ext>
          </a:extLst>
        </xdr:cNvPr>
        <xdr:cNvCxnSpPr/>
      </xdr:nvCxnSpPr>
      <xdr:spPr>
        <a:xfrm>
          <a:off x="16738803" y="6105173"/>
          <a:ext cx="5765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71627</xdr:colOff>
      <xdr:row>34</xdr:row>
      <xdr:rowOff>164113</xdr:rowOff>
    </xdr:from>
    <xdr:to>
      <xdr:col>25</xdr:col>
      <xdr:colOff>711707</xdr:colOff>
      <xdr:row>34</xdr:row>
      <xdr:rowOff>164113</xdr:rowOff>
    </xdr:to>
    <xdr:cxnSp macro="">
      <xdr:nvCxnSpPr>
        <xdr:cNvPr id="109" name="Straight Connector 108">
          <a:extLst>
            <a:ext uri="{FF2B5EF4-FFF2-40B4-BE49-F238E27FC236}">
              <a16:creationId xmlns:a16="http://schemas.microsoft.com/office/drawing/2014/main" id="{BAFAFFFE-3EAB-48B9-A832-58E1C96A5B4A}"/>
            </a:ext>
          </a:extLst>
        </xdr:cNvPr>
        <xdr:cNvCxnSpPr/>
      </xdr:nvCxnSpPr>
      <xdr:spPr>
        <a:xfrm>
          <a:off x="15978377" y="6291863"/>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67513</xdr:colOff>
      <xdr:row>34</xdr:row>
      <xdr:rowOff>164113</xdr:rowOff>
    </xdr:from>
    <xdr:to>
      <xdr:col>26</xdr:col>
      <xdr:colOff>707593</xdr:colOff>
      <xdr:row>34</xdr:row>
      <xdr:rowOff>164113</xdr:rowOff>
    </xdr:to>
    <xdr:cxnSp macro="">
      <xdr:nvCxnSpPr>
        <xdr:cNvPr id="110" name="Straight Connector 109">
          <a:extLst>
            <a:ext uri="{FF2B5EF4-FFF2-40B4-BE49-F238E27FC236}">
              <a16:creationId xmlns:a16="http://schemas.microsoft.com/office/drawing/2014/main" id="{C1007BB1-BF25-4472-B8FF-09E5C74FDD2E}"/>
            </a:ext>
          </a:extLst>
        </xdr:cNvPr>
        <xdr:cNvCxnSpPr/>
      </xdr:nvCxnSpPr>
      <xdr:spPr>
        <a:xfrm>
          <a:off x="16736263" y="6291863"/>
          <a:ext cx="58293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67221</xdr:colOff>
      <xdr:row>41</xdr:row>
      <xdr:rowOff>164521</xdr:rowOff>
    </xdr:from>
    <xdr:to>
      <xdr:col>26</xdr:col>
      <xdr:colOff>707301</xdr:colOff>
      <xdr:row>41</xdr:row>
      <xdr:rowOff>164521</xdr:rowOff>
    </xdr:to>
    <xdr:cxnSp macro="">
      <xdr:nvCxnSpPr>
        <xdr:cNvPr id="111" name="Straight Connector 110">
          <a:extLst>
            <a:ext uri="{FF2B5EF4-FFF2-40B4-BE49-F238E27FC236}">
              <a16:creationId xmlns:a16="http://schemas.microsoft.com/office/drawing/2014/main" id="{05FAF4E8-3381-449B-842A-E2EDED846DE3}"/>
            </a:ext>
          </a:extLst>
        </xdr:cNvPr>
        <xdr:cNvCxnSpPr/>
      </xdr:nvCxnSpPr>
      <xdr:spPr>
        <a:xfrm>
          <a:off x="16735971" y="7441621"/>
          <a:ext cx="58293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67221</xdr:colOff>
      <xdr:row>43</xdr:row>
      <xdr:rowOff>165008</xdr:rowOff>
    </xdr:from>
    <xdr:to>
      <xdr:col>26</xdr:col>
      <xdr:colOff>707301</xdr:colOff>
      <xdr:row>43</xdr:row>
      <xdr:rowOff>165008</xdr:rowOff>
    </xdr:to>
    <xdr:cxnSp macro="">
      <xdr:nvCxnSpPr>
        <xdr:cNvPr id="112" name="Straight Connector 111">
          <a:extLst>
            <a:ext uri="{FF2B5EF4-FFF2-40B4-BE49-F238E27FC236}">
              <a16:creationId xmlns:a16="http://schemas.microsoft.com/office/drawing/2014/main" id="{AF9FD5F9-8940-4988-ACE6-2EB624C8738B}"/>
            </a:ext>
          </a:extLst>
        </xdr:cNvPr>
        <xdr:cNvCxnSpPr/>
      </xdr:nvCxnSpPr>
      <xdr:spPr>
        <a:xfrm>
          <a:off x="16735971" y="7810408"/>
          <a:ext cx="58293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64183</xdr:colOff>
      <xdr:row>48</xdr:row>
      <xdr:rowOff>167497</xdr:rowOff>
    </xdr:from>
    <xdr:to>
      <xdr:col>22</xdr:col>
      <xdr:colOff>704263</xdr:colOff>
      <xdr:row>48</xdr:row>
      <xdr:rowOff>167497</xdr:rowOff>
    </xdr:to>
    <xdr:cxnSp macro="">
      <xdr:nvCxnSpPr>
        <xdr:cNvPr id="113" name="Straight Connector 112">
          <a:extLst>
            <a:ext uri="{FF2B5EF4-FFF2-40B4-BE49-F238E27FC236}">
              <a16:creationId xmlns:a16="http://schemas.microsoft.com/office/drawing/2014/main" id="{B08C84BC-6A1B-4EA6-8F66-E5EADA70731B}"/>
            </a:ext>
          </a:extLst>
        </xdr:cNvPr>
        <xdr:cNvCxnSpPr/>
      </xdr:nvCxnSpPr>
      <xdr:spPr>
        <a:xfrm>
          <a:off x="13684933" y="8733647"/>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606525</xdr:colOff>
      <xdr:row>46</xdr:row>
      <xdr:rowOff>139367</xdr:rowOff>
    </xdr:from>
    <xdr:to>
      <xdr:col>27</xdr:col>
      <xdr:colOff>0</xdr:colOff>
      <xdr:row>46</xdr:row>
      <xdr:rowOff>139367</xdr:rowOff>
    </xdr:to>
    <xdr:cxnSp macro="">
      <xdr:nvCxnSpPr>
        <xdr:cNvPr id="114" name="Straight Connector 113">
          <a:extLst>
            <a:ext uri="{FF2B5EF4-FFF2-40B4-BE49-F238E27FC236}">
              <a16:creationId xmlns:a16="http://schemas.microsoft.com/office/drawing/2014/main" id="{CC170E80-2563-4CC0-8A83-77418A173F58}"/>
            </a:ext>
          </a:extLst>
        </xdr:cNvPr>
        <xdr:cNvCxnSpPr/>
      </xdr:nvCxnSpPr>
      <xdr:spPr>
        <a:xfrm>
          <a:off x="13617675" y="8337217"/>
          <a:ext cx="3698775"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61632</xdr:colOff>
      <xdr:row>48</xdr:row>
      <xdr:rowOff>167497</xdr:rowOff>
    </xdr:from>
    <xdr:to>
      <xdr:col>23</xdr:col>
      <xdr:colOff>701712</xdr:colOff>
      <xdr:row>48</xdr:row>
      <xdr:rowOff>167497</xdr:rowOff>
    </xdr:to>
    <xdr:cxnSp macro="">
      <xdr:nvCxnSpPr>
        <xdr:cNvPr id="115" name="Straight Connector 114">
          <a:extLst>
            <a:ext uri="{FF2B5EF4-FFF2-40B4-BE49-F238E27FC236}">
              <a16:creationId xmlns:a16="http://schemas.microsoft.com/office/drawing/2014/main" id="{6E5BCD15-130D-4211-A6B4-A7AAB33F7CDB}"/>
            </a:ext>
          </a:extLst>
        </xdr:cNvPr>
        <xdr:cNvCxnSpPr/>
      </xdr:nvCxnSpPr>
      <xdr:spPr>
        <a:xfrm>
          <a:off x="14444382" y="8733647"/>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24</xdr:col>
      <xdr:colOff>59079</xdr:colOff>
      <xdr:row>48</xdr:row>
      <xdr:rowOff>167497</xdr:rowOff>
    </xdr:from>
    <xdr:to>
      <xdr:col>24</xdr:col>
      <xdr:colOff>699159</xdr:colOff>
      <xdr:row>48</xdr:row>
      <xdr:rowOff>167497</xdr:rowOff>
    </xdr:to>
    <xdr:cxnSp macro="">
      <xdr:nvCxnSpPr>
        <xdr:cNvPr id="116" name="Straight Connector 115">
          <a:extLst>
            <a:ext uri="{FF2B5EF4-FFF2-40B4-BE49-F238E27FC236}">
              <a16:creationId xmlns:a16="http://schemas.microsoft.com/office/drawing/2014/main" id="{CD684E15-DF29-4AC0-878B-7A0865A09673}"/>
            </a:ext>
          </a:extLst>
        </xdr:cNvPr>
        <xdr:cNvCxnSpPr/>
      </xdr:nvCxnSpPr>
      <xdr:spPr>
        <a:xfrm>
          <a:off x="15203829" y="8733647"/>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68679</xdr:colOff>
      <xdr:row>48</xdr:row>
      <xdr:rowOff>167497</xdr:rowOff>
    </xdr:from>
    <xdr:to>
      <xdr:col>25</xdr:col>
      <xdr:colOff>708759</xdr:colOff>
      <xdr:row>48</xdr:row>
      <xdr:rowOff>167497</xdr:rowOff>
    </xdr:to>
    <xdr:cxnSp macro="">
      <xdr:nvCxnSpPr>
        <xdr:cNvPr id="117" name="Straight Connector 116">
          <a:extLst>
            <a:ext uri="{FF2B5EF4-FFF2-40B4-BE49-F238E27FC236}">
              <a16:creationId xmlns:a16="http://schemas.microsoft.com/office/drawing/2014/main" id="{7275ACB8-DF97-4B8C-A340-643176266DCA}"/>
            </a:ext>
          </a:extLst>
        </xdr:cNvPr>
        <xdr:cNvCxnSpPr/>
      </xdr:nvCxnSpPr>
      <xdr:spPr>
        <a:xfrm>
          <a:off x="15975429" y="8733647"/>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63090</xdr:colOff>
      <xdr:row>48</xdr:row>
      <xdr:rowOff>167497</xdr:rowOff>
    </xdr:from>
    <xdr:to>
      <xdr:col>26</xdr:col>
      <xdr:colOff>703170</xdr:colOff>
      <xdr:row>48</xdr:row>
      <xdr:rowOff>167497</xdr:rowOff>
    </xdr:to>
    <xdr:cxnSp macro="">
      <xdr:nvCxnSpPr>
        <xdr:cNvPr id="118" name="Straight Connector 117">
          <a:extLst>
            <a:ext uri="{FF2B5EF4-FFF2-40B4-BE49-F238E27FC236}">
              <a16:creationId xmlns:a16="http://schemas.microsoft.com/office/drawing/2014/main" id="{71799DEF-2F06-41B2-B42E-783C41CC1426}"/>
            </a:ext>
          </a:extLst>
        </xdr:cNvPr>
        <xdr:cNvCxnSpPr/>
      </xdr:nvCxnSpPr>
      <xdr:spPr>
        <a:xfrm>
          <a:off x="16731840" y="8733647"/>
          <a:ext cx="58293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61274</xdr:colOff>
      <xdr:row>54</xdr:row>
      <xdr:rowOff>154333</xdr:rowOff>
    </xdr:from>
    <xdr:to>
      <xdr:col>23</xdr:col>
      <xdr:colOff>701354</xdr:colOff>
      <xdr:row>54</xdr:row>
      <xdr:rowOff>154333</xdr:rowOff>
    </xdr:to>
    <xdr:cxnSp macro="">
      <xdr:nvCxnSpPr>
        <xdr:cNvPr id="119" name="Straight Connector 118">
          <a:extLst>
            <a:ext uri="{FF2B5EF4-FFF2-40B4-BE49-F238E27FC236}">
              <a16:creationId xmlns:a16="http://schemas.microsoft.com/office/drawing/2014/main" id="{DE076514-C317-44F0-A28B-3BCA22D80645}"/>
            </a:ext>
          </a:extLst>
        </xdr:cNvPr>
        <xdr:cNvCxnSpPr/>
      </xdr:nvCxnSpPr>
      <xdr:spPr>
        <a:xfrm>
          <a:off x="14444024" y="9672983"/>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24</xdr:col>
      <xdr:colOff>58721</xdr:colOff>
      <xdr:row>54</xdr:row>
      <xdr:rowOff>154333</xdr:rowOff>
    </xdr:from>
    <xdr:to>
      <xdr:col>24</xdr:col>
      <xdr:colOff>698801</xdr:colOff>
      <xdr:row>54</xdr:row>
      <xdr:rowOff>154333</xdr:rowOff>
    </xdr:to>
    <xdr:cxnSp macro="">
      <xdr:nvCxnSpPr>
        <xdr:cNvPr id="120" name="Straight Connector 119">
          <a:extLst>
            <a:ext uri="{FF2B5EF4-FFF2-40B4-BE49-F238E27FC236}">
              <a16:creationId xmlns:a16="http://schemas.microsoft.com/office/drawing/2014/main" id="{1F36FF6B-8107-41F6-8E65-E66300931A1F}"/>
            </a:ext>
          </a:extLst>
        </xdr:cNvPr>
        <xdr:cNvCxnSpPr/>
      </xdr:nvCxnSpPr>
      <xdr:spPr>
        <a:xfrm>
          <a:off x="15203471" y="9672983"/>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14238</xdr:colOff>
      <xdr:row>57</xdr:row>
      <xdr:rowOff>155953</xdr:rowOff>
    </xdr:from>
    <xdr:to>
      <xdr:col>27</xdr:col>
      <xdr:colOff>0</xdr:colOff>
      <xdr:row>57</xdr:row>
      <xdr:rowOff>156614</xdr:rowOff>
    </xdr:to>
    <xdr:cxnSp macro="">
      <xdr:nvCxnSpPr>
        <xdr:cNvPr id="121" name="Straight Connector 120">
          <a:extLst>
            <a:ext uri="{FF2B5EF4-FFF2-40B4-BE49-F238E27FC236}">
              <a16:creationId xmlns:a16="http://schemas.microsoft.com/office/drawing/2014/main" id="{34BB2636-0D0E-484B-8DFF-0A3F58E2697D}"/>
            </a:ext>
          </a:extLst>
        </xdr:cNvPr>
        <xdr:cNvCxnSpPr/>
      </xdr:nvCxnSpPr>
      <xdr:spPr>
        <a:xfrm flipV="1">
          <a:off x="13634988" y="10093703"/>
          <a:ext cx="3681462" cy="661"/>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73838</xdr:colOff>
      <xdr:row>59</xdr:row>
      <xdr:rowOff>155229</xdr:rowOff>
    </xdr:from>
    <xdr:to>
      <xdr:col>23</xdr:col>
      <xdr:colOff>713918</xdr:colOff>
      <xdr:row>59</xdr:row>
      <xdr:rowOff>155229</xdr:rowOff>
    </xdr:to>
    <xdr:cxnSp macro="">
      <xdr:nvCxnSpPr>
        <xdr:cNvPr id="122" name="Straight Connector 121">
          <a:extLst>
            <a:ext uri="{FF2B5EF4-FFF2-40B4-BE49-F238E27FC236}">
              <a16:creationId xmlns:a16="http://schemas.microsoft.com/office/drawing/2014/main" id="{EB778242-6F63-4215-9DA6-C8D7AF2F8F59}"/>
            </a:ext>
          </a:extLst>
        </xdr:cNvPr>
        <xdr:cNvCxnSpPr/>
      </xdr:nvCxnSpPr>
      <xdr:spPr>
        <a:xfrm>
          <a:off x="14456588" y="10467629"/>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24</xdr:col>
      <xdr:colOff>71285</xdr:colOff>
      <xdr:row>59</xdr:row>
      <xdr:rowOff>155229</xdr:rowOff>
    </xdr:from>
    <xdr:to>
      <xdr:col>24</xdr:col>
      <xdr:colOff>711365</xdr:colOff>
      <xdr:row>59</xdr:row>
      <xdr:rowOff>155229</xdr:rowOff>
    </xdr:to>
    <xdr:cxnSp macro="">
      <xdr:nvCxnSpPr>
        <xdr:cNvPr id="123" name="Straight Connector 122">
          <a:extLst>
            <a:ext uri="{FF2B5EF4-FFF2-40B4-BE49-F238E27FC236}">
              <a16:creationId xmlns:a16="http://schemas.microsoft.com/office/drawing/2014/main" id="{1F47C8FD-6311-4756-B30C-806232D4C03C}"/>
            </a:ext>
          </a:extLst>
        </xdr:cNvPr>
        <xdr:cNvCxnSpPr/>
      </xdr:nvCxnSpPr>
      <xdr:spPr>
        <a:xfrm>
          <a:off x="15216035" y="10467629"/>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80885</xdr:colOff>
      <xdr:row>59</xdr:row>
      <xdr:rowOff>155229</xdr:rowOff>
    </xdr:from>
    <xdr:to>
      <xdr:col>25</xdr:col>
      <xdr:colOff>720965</xdr:colOff>
      <xdr:row>59</xdr:row>
      <xdr:rowOff>155229</xdr:rowOff>
    </xdr:to>
    <xdr:cxnSp macro="">
      <xdr:nvCxnSpPr>
        <xdr:cNvPr id="124" name="Straight Connector 123">
          <a:extLst>
            <a:ext uri="{FF2B5EF4-FFF2-40B4-BE49-F238E27FC236}">
              <a16:creationId xmlns:a16="http://schemas.microsoft.com/office/drawing/2014/main" id="{0378092A-F6F9-4619-B559-E92797AE796C}"/>
            </a:ext>
          </a:extLst>
        </xdr:cNvPr>
        <xdr:cNvCxnSpPr/>
      </xdr:nvCxnSpPr>
      <xdr:spPr>
        <a:xfrm>
          <a:off x="15987635" y="10467629"/>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75296</xdr:colOff>
      <xdr:row>59</xdr:row>
      <xdr:rowOff>155229</xdr:rowOff>
    </xdr:from>
    <xdr:to>
      <xdr:col>26</xdr:col>
      <xdr:colOff>715376</xdr:colOff>
      <xdr:row>59</xdr:row>
      <xdr:rowOff>155229</xdr:rowOff>
    </xdr:to>
    <xdr:cxnSp macro="">
      <xdr:nvCxnSpPr>
        <xdr:cNvPr id="125" name="Straight Connector 124">
          <a:extLst>
            <a:ext uri="{FF2B5EF4-FFF2-40B4-BE49-F238E27FC236}">
              <a16:creationId xmlns:a16="http://schemas.microsoft.com/office/drawing/2014/main" id="{3489CA03-F08E-469B-A38D-AAA45336F4AB}"/>
            </a:ext>
          </a:extLst>
        </xdr:cNvPr>
        <xdr:cNvCxnSpPr/>
      </xdr:nvCxnSpPr>
      <xdr:spPr>
        <a:xfrm>
          <a:off x="16744046" y="10467629"/>
          <a:ext cx="57023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76885</xdr:colOff>
      <xdr:row>64</xdr:row>
      <xdr:rowOff>159393</xdr:rowOff>
    </xdr:from>
    <xdr:to>
      <xdr:col>23</xdr:col>
      <xdr:colOff>716965</xdr:colOff>
      <xdr:row>64</xdr:row>
      <xdr:rowOff>159393</xdr:rowOff>
    </xdr:to>
    <xdr:cxnSp macro="">
      <xdr:nvCxnSpPr>
        <xdr:cNvPr id="126" name="Straight Connector 125">
          <a:extLst>
            <a:ext uri="{FF2B5EF4-FFF2-40B4-BE49-F238E27FC236}">
              <a16:creationId xmlns:a16="http://schemas.microsoft.com/office/drawing/2014/main" id="{3116A7F2-8D18-41B2-A92B-1F0891261CD4}"/>
            </a:ext>
          </a:extLst>
        </xdr:cNvPr>
        <xdr:cNvCxnSpPr/>
      </xdr:nvCxnSpPr>
      <xdr:spPr>
        <a:xfrm>
          <a:off x="14459635" y="11398893"/>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24</xdr:col>
      <xdr:colOff>74332</xdr:colOff>
      <xdr:row>64</xdr:row>
      <xdr:rowOff>159393</xdr:rowOff>
    </xdr:from>
    <xdr:to>
      <xdr:col>24</xdr:col>
      <xdr:colOff>714412</xdr:colOff>
      <xdr:row>64</xdr:row>
      <xdr:rowOff>159393</xdr:rowOff>
    </xdr:to>
    <xdr:cxnSp macro="">
      <xdr:nvCxnSpPr>
        <xdr:cNvPr id="127" name="Straight Connector 126">
          <a:extLst>
            <a:ext uri="{FF2B5EF4-FFF2-40B4-BE49-F238E27FC236}">
              <a16:creationId xmlns:a16="http://schemas.microsoft.com/office/drawing/2014/main" id="{9C717E40-1EA8-4BA8-8165-305C87CD9EEC}"/>
            </a:ext>
          </a:extLst>
        </xdr:cNvPr>
        <xdr:cNvCxnSpPr/>
      </xdr:nvCxnSpPr>
      <xdr:spPr>
        <a:xfrm>
          <a:off x="15219082" y="11398893"/>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83932</xdr:colOff>
      <xdr:row>64</xdr:row>
      <xdr:rowOff>159393</xdr:rowOff>
    </xdr:from>
    <xdr:to>
      <xdr:col>25</xdr:col>
      <xdr:colOff>724012</xdr:colOff>
      <xdr:row>64</xdr:row>
      <xdr:rowOff>159393</xdr:rowOff>
    </xdr:to>
    <xdr:cxnSp macro="">
      <xdr:nvCxnSpPr>
        <xdr:cNvPr id="128" name="Straight Connector 127">
          <a:extLst>
            <a:ext uri="{FF2B5EF4-FFF2-40B4-BE49-F238E27FC236}">
              <a16:creationId xmlns:a16="http://schemas.microsoft.com/office/drawing/2014/main" id="{34657672-3483-404C-B9BA-C54CAB05CCC5}"/>
            </a:ext>
          </a:extLst>
        </xdr:cNvPr>
        <xdr:cNvCxnSpPr/>
      </xdr:nvCxnSpPr>
      <xdr:spPr>
        <a:xfrm>
          <a:off x="15990682" y="11398893"/>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78343</xdr:colOff>
      <xdr:row>64</xdr:row>
      <xdr:rowOff>159393</xdr:rowOff>
    </xdr:from>
    <xdr:to>
      <xdr:col>26</xdr:col>
      <xdr:colOff>718423</xdr:colOff>
      <xdr:row>64</xdr:row>
      <xdr:rowOff>159393</xdr:rowOff>
    </xdr:to>
    <xdr:cxnSp macro="">
      <xdr:nvCxnSpPr>
        <xdr:cNvPr id="129" name="Straight Connector 128">
          <a:extLst>
            <a:ext uri="{FF2B5EF4-FFF2-40B4-BE49-F238E27FC236}">
              <a16:creationId xmlns:a16="http://schemas.microsoft.com/office/drawing/2014/main" id="{9AA56491-A4B7-4158-BE69-E466E9C5BBFE}"/>
            </a:ext>
          </a:extLst>
        </xdr:cNvPr>
        <xdr:cNvCxnSpPr/>
      </xdr:nvCxnSpPr>
      <xdr:spPr>
        <a:xfrm>
          <a:off x="16747093" y="11398893"/>
          <a:ext cx="57023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81638</xdr:colOff>
      <xdr:row>11</xdr:row>
      <xdr:rowOff>169534</xdr:rowOff>
    </xdr:from>
    <xdr:to>
      <xdr:col>20</xdr:col>
      <xdr:colOff>585586</xdr:colOff>
      <xdr:row>11</xdr:row>
      <xdr:rowOff>170691</xdr:rowOff>
    </xdr:to>
    <xdr:cxnSp macro="">
      <xdr:nvCxnSpPr>
        <xdr:cNvPr id="130" name="Straight Connector 129">
          <a:extLst>
            <a:ext uri="{FF2B5EF4-FFF2-40B4-BE49-F238E27FC236}">
              <a16:creationId xmlns:a16="http://schemas.microsoft.com/office/drawing/2014/main" id="{5220EC90-44FC-4961-8785-1DF3365B938D}"/>
            </a:ext>
          </a:extLst>
        </xdr:cNvPr>
        <xdr:cNvCxnSpPr/>
      </xdr:nvCxnSpPr>
      <xdr:spPr>
        <a:xfrm flipV="1">
          <a:off x="11873588" y="217613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81981</xdr:colOff>
      <xdr:row>16</xdr:row>
      <xdr:rowOff>154837</xdr:rowOff>
    </xdr:from>
    <xdr:to>
      <xdr:col>10</xdr:col>
      <xdr:colOff>585928</xdr:colOff>
      <xdr:row>16</xdr:row>
      <xdr:rowOff>155994</xdr:rowOff>
    </xdr:to>
    <xdr:cxnSp macro="">
      <xdr:nvCxnSpPr>
        <xdr:cNvPr id="131" name="Straight Connector 130">
          <a:extLst>
            <a:ext uri="{FF2B5EF4-FFF2-40B4-BE49-F238E27FC236}">
              <a16:creationId xmlns:a16="http://schemas.microsoft.com/office/drawing/2014/main" id="{1418C43D-03AE-43D7-B2DE-35C161D48C80}"/>
            </a:ext>
          </a:extLst>
        </xdr:cNvPr>
        <xdr:cNvCxnSpPr/>
      </xdr:nvCxnSpPr>
      <xdr:spPr>
        <a:xfrm flipV="1">
          <a:off x="5777931" y="308853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84473</xdr:colOff>
      <xdr:row>16</xdr:row>
      <xdr:rowOff>154837</xdr:rowOff>
    </xdr:from>
    <xdr:to>
      <xdr:col>12</xdr:col>
      <xdr:colOff>588420</xdr:colOff>
      <xdr:row>16</xdr:row>
      <xdr:rowOff>155994</xdr:rowOff>
    </xdr:to>
    <xdr:cxnSp macro="">
      <xdr:nvCxnSpPr>
        <xdr:cNvPr id="132" name="Straight Connector 131">
          <a:extLst>
            <a:ext uri="{FF2B5EF4-FFF2-40B4-BE49-F238E27FC236}">
              <a16:creationId xmlns:a16="http://schemas.microsoft.com/office/drawing/2014/main" id="{1B66E68B-7228-4351-8F5C-94F347448954}"/>
            </a:ext>
          </a:extLst>
        </xdr:cNvPr>
        <xdr:cNvCxnSpPr/>
      </xdr:nvCxnSpPr>
      <xdr:spPr>
        <a:xfrm flipV="1">
          <a:off x="6999623" y="308853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82797</xdr:colOff>
      <xdr:row>16</xdr:row>
      <xdr:rowOff>154837</xdr:rowOff>
    </xdr:from>
    <xdr:to>
      <xdr:col>14</xdr:col>
      <xdr:colOff>586744</xdr:colOff>
      <xdr:row>16</xdr:row>
      <xdr:rowOff>155994</xdr:rowOff>
    </xdr:to>
    <xdr:cxnSp macro="">
      <xdr:nvCxnSpPr>
        <xdr:cNvPr id="133" name="Straight Connector 132">
          <a:extLst>
            <a:ext uri="{FF2B5EF4-FFF2-40B4-BE49-F238E27FC236}">
              <a16:creationId xmlns:a16="http://schemas.microsoft.com/office/drawing/2014/main" id="{81DF5187-5A60-48D6-B4E7-56DD634987DB}"/>
            </a:ext>
          </a:extLst>
        </xdr:cNvPr>
        <xdr:cNvCxnSpPr/>
      </xdr:nvCxnSpPr>
      <xdr:spPr>
        <a:xfrm flipV="1">
          <a:off x="8217147" y="308853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92541</xdr:colOff>
      <xdr:row>16</xdr:row>
      <xdr:rowOff>154837</xdr:rowOff>
    </xdr:from>
    <xdr:to>
      <xdr:col>16</xdr:col>
      <xdr:colOff>596489</xdr:colOff>
      <xdr:row>16</xdr:row>
      <xdr:rowOff>155994</xdr:rowOff>
    </xdr:to>
    <xdr:cxnSp macro="">
      <xdr:nvCxnSpPr>
        <xdr:cNvPr id="134" name="Straight Connector 133">
          <a:extLst>
            <a:ext uri="{FF2B5EF4-FFF2-40B4-BE49-F238E27FC236}">
              <a16:creationId xmlns:a16="http://schemas.microsoft.com/office/drawing/2014/main" id="{75C3828D-D297-489F-9B9A-8CD0F5BAC4CF}"/>
            </a:ext>
          </a:extLst>
        </xdr:cNvPr>
        <xdr:cNvCxnSpPr/>
      </xdr:nvCxnSpPr>
      <xdr:spPr>
        <a:xfrm flipV="1">
          <a:off x="9446091" y="3088537"/>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81638</xdr:colOff>
      <xdr:row>16</xdr:row>
      <xdr:rowOff>154837</xdr:rowOff>
    </xdr:from>
    <xdr:to>
      <xdr:col>18</xdr:col>
      <xdr:colOff>585586</xdr:colOff>
      <xdr:row>16</xdr:row>
      <xdr:rowOff>155994</xdr:rowOff>
    </xdr:to>
    <xdr:cxnSp macro="">
      <xdr:nvCxnSpPr>
        <xdr:cNvPr id="135" name="Straight Connector 134">
          <a:extLst>
            <a:ext uri="{FF2B5EF4-FFF2-40B4-BE49-F238E27FC236}">
              <a16:creationId xmlns:a16="http://schemas.microsoft.com/office/drawing/2014/main" id="{C136C422-EBE9-46F0-BA96-822063F19054}"/>
            </a:ext>
          </a:extLst>
        </xdr:cNvPr>
        <xdr:cNvCxnSpPr/>
      </xdr:nvCxnSpPr>
      <xdr:spPr>
        <a:xfrm flipV="1">
          <a:off x="10654388" y="3088537"/>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81638</xdr:colOff>
      <xdr:row>11</xdr:row>
      <xdr:rowOff>169534</xdr:rowOff>
    </xdr:from>
    <xdr:to>
      <xdr:col>20</xdr:col>
      <xdr:colOff>585586</xdr:colOff>
      <xdr:row>11</xdr:row>
      <xdr:rowOff>170691</xdr:rowOff>
    </xdr:to>
    <xdr:cxnSp macro="">
      <xdr:nvCxnSpPr>
        <xdr:cNvPr id="136" name="Straight Connector 135">
          <a:extLst>
            <a:ext uri="{FF2B5EF4-FFF2-40B4-BE49-F238E27FC236}">
              <a16:creationId xmlns:a16="http://schemas.microsoft.com/office/drawing/2014/main" id="{3480753D-5344-46DA-91D3-9AEC496B1956}"/>
            </a:ext>
          </a:extLst>
        </xdr:cNvPr>
        <xdr:cNvCxnSpPr/>
      </xdr:nvCxnSpPr>
      <xdr:spPr>
        <a:xfrm flipV="1">
          <a:off x="11873588" y="217613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81638</xdr:colOff>
      <xdr:row>13</xdr:row>
      <xdr:rowOff>154837</xdr:rowOff>
    </xdr:from>
    <xdr:to>
      <xdr:col>20</xdr:col>
      <xdr:colOff>585586</xdr:colOff>
      <xdr:row>13</xdr:row>
      <xdr:rowOff>155994</xdr:rowOff>
    </xdr:to>
    <xdr:cxnSp macro="">
      <xdr:nvCxnSpPr>
        <xdr:cNvPr id="137" name="Straight Connector 136">
          <a:extLst>
            <a:ext uri="{FF2B5EF4-FFF2-40B4-BE49-F238E27FC236}">
              <a16:creationId xmlns:a16="http://schemas.microsoft.com/office/drawing/2014/main" id="{E929BF86-44CC-4861-847D-3594FEFE2BC0}"/>
            </a:ext>
          </a:extLst>
        </xdr:cNvPr>
        <xdr:cNvCxnSpPr/>
      </xdr:nvCxnSpPr>
      <xdr:spPr>
        <a:xfrm flipV="1">
          <a:off x="11873588" y="2536087"/>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81638</xdr:colOff>
      <xdr:row>16</xdr:row>
      <xdr:rowOff>158334</xdr:rowOff>
    </xdr:from>
    <xdr:to>
      <xdr:col>20</xdr:col>
      <xdr:colOff>585586</xdr:colOff>
      <xdr:row>16</xdr:row>
      <xdr:rowOff>159491</xdr:rowOff>
    </xdr:to>
    <xdr:cxnSp macro="">
      <xdr:nvCxnSpPr>
        <xdr:cNvPr id="138" name="Straight Connector 137">
          <a:extLst>
            <a:ext uri="{FF2B5EF4-FFF2-40B4-BE49-F238E27FC236}">
              <a16:creationId xmlns:a16="http://schemas.microsoft.com/office/drawing/2014/main" id="{4004089F-805D-4CBE-854D-9A2021ACF12C}"/>
            </a:ext>
          </a:extLst>
        </xdr:cNvPr>
        <xdr:cNvCxnSpPr/>
      </xdr:nvCxnSpPr>
      <xdr:spPr>
        <a:xfrm flipV="1">
          <a:off x="11873588" y="309203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81638</xdr:colOff>
      <xdr:row>18</xdr:row>
      <xdr:rowOff>166215</xdr:rowOff>
    </xdr:from>
    <xdr:to>
      <xdr:col>20</xdr:col>
      <xdr:colOff>585586</xdr:colOff>
      <xdr:row>18</xdr:row>
      <xdr:rowOff>167372</xdr:rowOff>
    </xdr:to>
    <xdr:cxnSp macro="">
      <xdr:nvCxnSpPr>
        <xdr:cNvPr id="139" name="Straight Connector 138">
          <a:extLst>
            <a:ext uri="{FF2B5EF4-FFF2-40B4-BE49-F238E27FC236}">
              <a16:creationId xmlns:a16="http://schemas.microsoft.com/office/drawing/2014/main" id="{2A645F40-AD2B-42A1-BAF7-55EC6457BC6D}"/>
            </a:ext>
          </a:extLst>
        </xdr:cNvPr>
        <xdr:cNvCxnSpPr/>
      </xdr:nvCxnSpPr>
      <xdr:spPr>
        <a:xfrm flipV="1">
          <a:off x="11873588" y="3468215"/>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96661</xdr:colOff>
      <xdr:row>23</xdr:row>
      <xdr:rowOff>152197</xdr:rowOff>
    </xdr:from>
    <xdr:to>
      <xdr:col>20</xdr:col>
      <xdr:colOff>600563</xdr:colOff>
      <xdr:row>23</xdr:row>
      <xdr:rowOff>153354</xdr:rowOff>
    </xdr:to>
    <xdr:cxnSp macro="">
      <xdr:nvCxnSpPr>
        <xdr:cNvPr id="140" name="Straight Connector 139">
          <a:extLst>
            <a:ext uri="{FF2B5EF4-FFF2-40B4-BE49-F238E27FC236}">
              <a16:creationId xmlns:a16="http://schemas.microsoft.com/office/drawing/2014/main" id="{928E1C7F-AA8C-420F-8F89-374B14F01D54}"/>
            </a:ext>
          </a:extLst>
        </xdr:cNvPr>
        <xdr:cNvCxnSpPr/>
      </xdr:nvCxnSpPr>
      <xdr:spPr>
        <a:xfrm flipV="1">
          <a:off x="11888611" y="4241597"/>
          <a:ext cx="1113502"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81638</xdr:colOff>
      <xdr:row>24</xdr:row>
      <xdr:rowOff>191437</xdr:rowOff>
    </xdr:from>
    <xdr:to>
      <xdr:col>20</xdr:col>
      <xdr:colOff>585586</xdr:colOff>
      <xdr:row>24</xdr:row>
      <xdr:rowOff>192594</xdr:rowOff>
    </xdr:to>
    <xdr:cxnSp macro="">
      <xdr:nvCxnSpPr>
        <xdr:cNvPr id="141" name="Straight Connector 140">
          <a:extLst>
            <a:ext uri="{FF2B5EF4-FFF2-40B4-BE49-F238E27FC236}">
              <a16:creationId xmlns:a16="http://schemas.microsoft.com/office/drawing/2014/main" id="{53B279BA-9D56-4AD7-99AC-BC9D11870E54}"/>
            </a:ext>
          </a:extLst>
        </xdr:cNvPr>
        <xdr:cNvCxnSpPr/>
      </xdr:nvCxnSpPr>
      <xdr:spPr>
        <a:xfrm flipV="1">
          <a:off x="11873588" y="4458637"/>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81638</xdr:colOff>
      <xdr:row>25</xdr:row>
      <xdr:rowOff>5545</xdr:rowOff>
    </xdr:from>
    <xdr:to>
      <xdr:col>20</xdr:col>
      <xdr:colOff>585586</xdr:colOff>
      <xdr:row>25</xdr:row>
      <xdr:rowOff>6702</xdr:rowOff>
    </xdr:to>
    <xdr:cxnSp macro="">
      <xdr:nvCxnSpPr>
        <xdr:cNvPr id="142" name="Straight Connector 141">
          <a:extLst>
            <a:ext uri="{FF2B5EF4-FFF2-40B4-BE49-F238E27FC236}">
              <a16:creationId xmlns:a16="http://schemas.microsoft.com/office/drawing/2014/main" id="{01702A5D-E8D5-47BE-AECD-9CFBC7C8EC73}"/>
            </a:ext>
          </a:extLst>
        </xdr:cNvPr>
        <xdr:cNvCxnSpPr/>
      </xdr:nvCxnSpPr>
      <xdr:spPr>
        <a:xfrm flipV="1">
          <a:off x="11873588" y="4463245"/>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76561</xdr:colOff>
      <xdr:row>33</xdr:row>
      <xdr:rowOff>162327</xdr:rowOff>
    </xdr:from>
    <xdr:to>
      <xdr:col>20</xdr:col>
      <xdr:colOff>580463</xdr:colOff>
      <xdr:row>33</xdr:row>
      <xdr:rowOff>163484</xdr:rowOff>
    </xdr:to>
    <xdr:cxnSp macro="">
      <xdr:nvCxnSpPr>
        <xdr:cNvPr id="143" name="Straight Connector 142">
          <a:extLst>
            <a:ext uri="{FF2B5EF4-FFF2-40B4-BE49-F238E27FC236}">
              <a16:creationId xmlns:a16="http://schemas.microsoft.com/office/drawing/2014/main" id="{FF55CE8C-E35A-4ADE-889B-D814D1206D56}"/>
            </a:ext>
          </a:extLst>
        </xdr:cNvPr>
        <xdr:cNvCxnSpPr/>
      </xdr:nvCxnSpPr>
      <xdr:spPr>
        <a:xfrm flipV="1">
          <a:off x="11868511" y="6105927"/>
          <a:ext cx="1113502"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76561</xdr:colOff>
      <xdr:row>40</xdr:row>
      <xdr:rowOff>159727</xdr:rowOff>
    </xdr:from>
    <xdr:to>
      <xdr:col>20</xdr:col>
      <xdr:colOff>580463</xdr:colOff>
      <xdr:row>40</xdr:row>
      <xdr:rowOff>160884</xdr:rowOff>
    </xdr:to>
    <xdr:cxnSp macro="">
      <xdr:nvCxnSpPr>
        <xdr:cNvPr id="144" name="Straight Connector 143">
          <a:extLst>
            <a:ext uri="{FF2B5EF4-FFF2-40B4-BE49-F238E27FC236}">
              <a16:creationId xmlns:a16="http://schemas.microsoft.com/office/drawing/2014/main" id="{D9528A2D-9F72-45E8-9140-6B0BAA489E6B}"/>
            </a:ext>
          </a:extLst>
        </xdr:cNvPr>
        <xdr:cNvCxnSpPr/>
      </xdr:nvCxnSpPr>
      <xdr:spPr>
        <a:xfrm flipV="1">
          <a:off x="11868511" y="7252677"/>
          <a:ext cx="1113502"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57761</xdr:colOff>
      <xdr:row>44</xdr:row>
      <xdr:rowOff>162046</xdr:rowOff>
    </xdr:from>
    <xdr:to>
      <xdr:col>20</xdr:col>
      <xdr:colOff>561663</xdr:colOff>
      <xdr:row>44</xdr:row>
      <xdr:rowOff>163364</xdr:rowOff>
    </xdr:to>
    <xdr:cxnSp macro="">
      <xdr:nvCxnSpPr>
        <xdr:cNvPr id="145" name="Straight Connector 144">
          <a:extLst>
            <a:ext uri="{FF2B5EF4-FFF2-40B4-BE49-F238E27FC236}">
              <a16:creationId xmlns:a16="http://schemas.microsoft.com/office/drawing/2014/main" id="{D3B9C621-A8DA-420D-9ECD-43BDB7504275}"/>
            </a:ext>
          </a:extLst>
        </xdr:cNvPr>
        <xdr:cNvCxnSpPr/>
      </xdr:nvCxnSpPr>
      <xdr:spPr>
        <a:xfrm flipV="1">
          <a:off x="11849711" y="7991596"/>
          <a:ext cx="1113502"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57761</xdr:colOff>
      <xdr:row>53</xdr:row>
      <xdr:rowOff>159446</xdr:rowOff>
    </xdr:from>
    <xdr:to>
      <xdr:col>20</xdr:col>
      <xdr:colOff>561663</xdr:colOff>
      <xdr:row>53</xdr:row>
      <xdr:rowOff>160764</xdr:rowOff>
    </xdr:to>
    <xdr:cxnSp macro="">
      <xdr:nvCxnSpPr>
        <xdr:cNvPr id="146" name="Straight Connector 145">
          <a:extLst>
            <a:ext uri="{FF2B5EF4-FFF2-40B4-BE49-F238E27FC236}">
              <a16:creationId xmlns:a16="http://schemas.microsoft.com/office/drawing/2014/main" id="{3D53BB59-1AF5-45D1-B671-1C70B34DB15D}"/>
            </a:ext>
          </a:extLst>
        </xdr:cNvPr>
        <xdr:cNvCxnSpPr/>
      </xdr:nvCxnSpPr>
      <xdr:spPr>
        <a:xfrm flipV="1">
          <a:off x="11849711" y="9493946"/>
          <a:ext cx="1113502"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57761</xdr:colOff>
      <xdr:row>54</xdr:row>
      <xdr:rowOff>161846</xdr:rowOff>
    </xdr:from>
    <xdr:to>
      <xdr:col>20</xdr:col>
      <xdr:colOff>561663</xdr:colOff>
      <xdr:row>54</xdr:row>
      <xdr:rowOff>163164</xdr:rowOff>
    </xdr:to>
    <xdr:cxnSp macro="">
      <xdr:nvCxnSpPr>
        <xdr:cNvPr id="147" name="Straight Connector 146">
          <a:extLst>
            <a:ext uri="{FF2B5EF4-FFF2-40B4-BE49-F238E27FC236}">
              <a16:creationId xmlns:a16="http://schemas.microsoft.com/office/drawing/2014/main" id="{F4A65285-8FD6-4F13-B75B-C1B923FEFA72}"/>
            </a:ext>
          </a:extLst>
        </xdr:cNvPr>
        <xdr:cNvCxnSpPr/>
      </xdr:nvCxnSpPr>
      <xdr:spPr>
        <a:xfrm flipV="1">
          <a:off x="11849711" y="9680496"/>
          <a:ext cx="1113502"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57761</xdr:colOff>
      <xdr:row>55</xdr:row>
      <xdr:rowOff>4246</xdr:rowOff>
    </xdr:from>
    <xdr:to>
      <xdr:col>20</xdr:col>
      <xdr:colOff>561663</xdr:colOff>
      <xdr:row>55</xdr:row>
      <xdr:rowOff>5564</xdr:rowOff>
    </xdr:to>
    <xdr:cxnSp macro="">
      <xdr:nvCxnSpPr>
        <xdr:cNvPr id="148" name="Straight Connector 147">
          <a:extLst>
            <a:ext uri="{FF2B5EF4-FFF2-40B4-BE49-F238E27FC236}">
              <a16:creationId xmlns:a16="http://schemas.microsoft.com/office/drawing/2014/main" id="{9AB7EA15-ED44-49F2-BFCD-D466D386249F}"/>
            </a:ext>
          </a:extLst>
        </xdr:cNvPr>
        <xdr:cNvCxnSpPr/>
      </xdr:nvCxnSpPr>
      <xdr:spPr>
        <a:xfrm flipV="1">
          <a:off x="11849711" y="9707046"/>
          <a:ext cx="1113502"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81638</xdr:colOff>
      <xdr:row>16</xdr:row>
      <xdr:rowOff>154837</xdr:rowOff>
    </xdr:from>
    <xdr:to>
      <xdr:col>20</xdr:col>
      <xdr:colOff>585586</xdr:colOff>
      <xdr:row>16</xdr:row>
      <xdr:rowOff>155994</xdr:rowOff>
    </xdr:to>
    <xdr:cxnSp macro="">
      <xdr:nvCxnSpPr>
        <xdr:cNvPr id="149" name="Straight Connector 148">
          <a:extLst>
            <a:ext uri="{FF2B5EF4-FFF2-40B4-BE49-F238E27FC236}">
              <a16:creationId xmlns:a16="http://schemas.microsoft.com/office/drawing/2014/main" id="{9D9E1064-60C4-4E70-9252-54035B3A94EF}"/>
            </a:ext>
          </a:extLst>
        </xdr:cNvPr>
        <xdr:cNvCxnSpPr/>
      </xdr:nvCxnSpPr>
      <xdr:spPr>
        <a:xfrm flipV="1">
          <a:off x="11873588" y="3088537"/>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81981</xdr:colOff>
      <xdr:row>24</xdr:row>
      <xdr:rowOff>191437</xdr:rowOff>
    </xdr:from>
    <xdr:to>
      <xdr:col>12</xdr:col>
      <xdr:colOff>585928</xdr:colOff>
      <xdr:row>24</xdr:row>
      <xdr:rowOff>192594</xdr:rowOff>
    </xdr:to>
    <xdr:cxnSp macro="">
      <xdr:nvCxnSpPr>
        <xdr:cNvPr id="150" name="Straight Connector 149">
          <a:extLst>
            <a:ext uri="{FF2B5EF4-FFF2-40B4-BE49-F238E27FC236}">
              <a16:creationId xmlns:a16="http://schemas.microsoft.com/office/drawing/2014/main" id="{5D2BFBE3-1EB5-48DC-8826-48C02377A478}"/>
            </a:ext>
          </a:extLst>
        </xdr:cNvPr>
        <xdr:cNvCxnSpPr/>
      </xdr:nvCxnSpPr>
      <xdr:spPr>
        <a:xfrm flipV="1">
          <a:off x="6997131" y="445863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81981</xdr:colOff>
      <xdr:row>25</xdr:row>
      <xdr:rowOff>5545</xdr:rowOff>
    </xdr:from>
    <xdr:to>
      <xdr:col>12</xdr:col>
      <xdr:colOff>585928</xdr:colOff>
      <xdr:row>25</xdr:row>
      <xdr:rowOff>6702</xdr:rowOff>
    </xdr:to>
    <xdr:cxnSp macro="">
      <xdr:nvCxnSpPr>
        <xdr:cNvPr id="151" name="Straight Connector 150">
          <a:extLst>
            <a:ext uri="{FF2B5EF4-FFF2-40B4-BE49-F238E27FC236}">
              <a16:creationId xmlns:a16="http://schemas.microsoft.com/office/drawing/2014/main" id="{5AD95C45-2AD9-4A83-81A6-DAB4A16A3C0A}"/>
            </a:ext>
          </a:extLst>
        </xdr:cNvPr>
        <xdr:cNvCxnSpPr/>
      </xdr:nvCxnSpPr>
      <xdr:spPr>
        <a:xfrm flipV="1">
          <a:off x="6997131" y="446324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81981</xdr:colOff>
      <xdr:row>24</xdr:row>
      <xdr:rowOff>191437</xdr:rowOff>
    </xdr:from>
    <xdr:to>
      <xdr:col>14</xdr:col>
      <xdr:colOff>585928</xdr:colOff>
      <xdr:row>24</xdr:row>
      <xdr:rowOff>192594</xdr:rowOff>
    </xdr:to>
    <xdr:cxnSp macro="">
      <xdr:nvCxnSpPr>
        <xdr:cNvPr id="152" name="Straight Connector 151">
          <a:extLst>
            <a:ext uri="{FF2B5EF4-FFF2-40B4-BE49-F238E27FC236}">
              <a16:creationId xmlns:a16="http://schemas.microsoft.com/office/drawing/2014/main" id="{69A893C0-0536-48C6-9919-5D3E0CCB1D31}"/>
            </a:ext>
          </a:extLst>
        </xdr:cNvPr>
        <xdr:cNvCxnSpPr/>
      </xdr:nvCxnSpPr>
      <xdr:spPr>
        <a:xfrm flipV="1">
          <a:off x="8216331" y="445863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81981</xdr:colOff>
      <xdr:row>25</xdr:row>
      <xdr:rowOff>5545</xdr:rowOff>
    </xdr:from>
    <xdr:to>
      <xdr:col>14</xdr:col>
      <xdr:colOff>585928</xdr:colOff>
      <xdr:row>25</xdr:row>
      <xdr:rowOff>6702</xdr:rowOff>
    </xdr:to>
    <xdr:cxnSp macro="">
      <xdr:nvCxnSpPr>
        <xdr:cNvPr id="153" name="Straight Connector 152">
          <a:extLst>
            <a:ext uri="{FF2B5EF4-FFF2-40B4-BE49-F238E27FC236}">
              <a16:creationId xmlns:a16="http://schemas.microsoft.com/office/drawing/2014/main" id="{AC1344C7-8E60-45D6-9D42-A7772BB9A291}"/>
            </a:ext>
          </a:extLst>
        </xdr:cNvPr>
        <xdr:cNvCxnSpPr/>
      </xdr:nvCxnSpPr>
      <xdr:spPr>
        <a:xfrm flipV="1">
          <a:off x="8216331" y="446324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81981</xdr:colOff>
      <xdr:row>24</xdr:row>
      <xdr:rowOff>191437</xdr:rowOff>
    </xdr:from>
    <xdr:to>
      <xdr:col>16</xdr:col>
      <xdr:colOff>585928</xdr:colOff>
      <xdr:row>24</xdr:row>
      <xdr:rowOff>192594</xdr:rowOff>
    </xdr:to>
    <xdr:cxnSp macro="">
      <xdr:nvCxnSpPr>
        <xdr:cNvPr id="154" name="Straight Connector 153">
          <a:extLst>
            <a:ext uri="{FF2B5EF4-FFF2-40B4-BE49-F238E27FC236}">
              <a16:creationId xmlns:a16="http://schemas.microsoft.com/office/drawing/2014/main" id="{5B2A824C-5C0D-449A-A799-AB73BB6435F3}"/>
            </a:ext>
          </a:extLst>
        </xdr:cNvPr>
        <xdr:cNvCxnSpPr/>
      </xdr:nvCxnSpPr>
      <xdr:spPr>
        <a:xfrm flipV="1">
          <a:off x="9435531" y="445863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81981</xdr:colOff>
      <xdr:row>25</xdr:row>
      <xdr:rowOff>5545</xdr:rowOff>
    </xdr:from>
    <xdr:to>
      <xdr:col>16</xdr:col>
      <xdr:colOff>585928</xdr:colOff>
      <xdr:row>25</xdr:row>
      <xdr:rowOff>6702</xdr:rowOff>
    </xdr:to>
    <xdr:cxnSp macro="">
      <xdr:nvCxnSpPr>
        <xdr:cNvPr id="155" name="Straight Connector 154">
          <a:extLst>
            <a:ext uri="{FF2B5EF4-FFF2-40B4-BE49-F238E27FC236}">
              <a16:creationId xmlns:a16="http://schemas.microsoft.com/office/drawing/2014/main" id="{4DF2F263-25D9-45AC-82AF-BAB69928563C}"/>
            </a:ext>
          </a:extLst>
        </xdr:cNvPr>
        <xdr:cNvCxnSpPr/>
      </xdr:nvCxnSpPr>
      <xdr:spPr>
        <a:xfrm flipV="1">
          <a:off x="9435531" y="446324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81981</xdr:colOff>
      <xdr:row>24</xdr:row>
      <xdr:rowOff>191437</xdr:rowOff>
    </xdr:from>
    <xdr:to>
      <xdr:col>18</xdr:col>
      <xdr:colOff>585928</xdr:colOff>
      <xdr:row>24</xdr:row>
      <xdr:rowOff>192594</xdr:rowOff>
    </xdr:to>
    <xdr:cxnSp macro="">
      <xdr:nvCxnSpPr>
        <xdr:cNvPr id="156" name="Straight Connector 155">
          <a:extLst>
            <a:ext uri="{FF2B5EF4-FFF2-40B4-BE49-F238E27FC236}">
              <a16:creationId xmlns:a16="http://schemas.microsoft.com/office/drawing/2014/main" id="{FEDA7139-AAE3-4166-A045-48CF86B5D38F}"/>
            </a:ext>
          </a:extLst>
        </xdr:cNvPr>
        <xdr:cNvCxnSpPr/>
      </xdr:nvCxnSpPr>
      <xdr:spPr>
        <a:xfrm flipV="1">
          <a:off x="10654731" y="445863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81981</xdr:colOff>
      <xdr:row>25</xdr:row>
      <xdr:rowOff>5545</xdr:rowOff>
    </xdr:from>
    <xdr:to>
      <xdr:col>18</xdr:col>
      <xdr:colOff>585928</xdr:colOff>
      <xdr:row>25</xdr:row>
      <xdr:rowOff>6702</xdr:rowOff>
    </xdr:to>
    <xdr:cxnSp macro="">
      <xdr:nvCxnSpPr>
        <xdr:cNvPr id="157" name="Straight Connector 156">
          <a:extLst>
            <a:ext uri="{FF2B5EF4-FFF2-40B4-BE49-F238E27FC236}">
              <a16:creationId xmlns:a16="http://schemas.microsoft.com/office/drawing/2014/main" id="{039D0EBF-3175-4790-86BD-72ABF3DD3B1E}"/>
            </a:ext>
          </a:extLst>
        </xdr:cNvPr>
        <xdr:cNvCxnSpPr/>
      </xdr:nvCxnSpPr>
      <xdr:spPr>
        <a:xfrm flipV="1">
          <a:off x="10654731" y="446324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81981</xdr:colOff>
      <xdr:row>24</xdr:row>
      <xdr:rowOff>191437</xdr:rowOff>
    </xdr:from>
    <xdr:to>
      <xdr:col>20</xdr:col>
      <xdr:colOff>585928</xdr:colOff>
      <xdr:row>24</xdr:row>
      <xdr:rowOff>192594</xdr:rowOff>
    </xdr:to>
    <xdr:cxnSp macro="">
      <xdr:nvCxnSpPr>
        <xdr:cNvPr id="158" name="Straight Connector 157">
          <a:extLst>
            <a:ext uri="{FF2B5EF4-FFF2-40B4-BE49-F238E27FC236}">
              <a16:creationId xmlns:a16="http://schemas.microsoft.com/office/drawing/2014/main" id="{BF26A118-E4D2-4B4A-934E-A2455CB6DF51}"/>
            </a:ext>
          </a:extLst>
        </xdr:cNvPr>
        <xdr:cNvCxnSpPr/>
      </xdr:nvCxnSpPr>
      <xdr:spPr>
        <a:xfrm flipV="1">
          <a:off x="11873931" y="445863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81981</xdr:colOff>
      <xdr:row>25</xdr:row>
      <xdr:rowOff>5545</xdr:rowOff>
    </xdr:from>
    <xdr:to>
      <xdr:col>20</xdr:col>
      <xdr:colOff>585928</xdr:colOff>
      <xdr:row>25</xdr:row>
      <xdr:rowOff>6702</xdr:rowOff>
    </xdr:to>
    <xdr:cxnSp macro="">
      <xdr:nvCxnSpPr>
        <xdr:cNvPr id="159" name="Straight Connector 158">
          <a:extLst>
            <a:ext uri="{FF2B5EF4-FFF2-40B4-BE49-F238E27FC236}">
              <a16:creationId xmlns:a16="http://schemas.microsoft.com/office/drawing/2014/main" id="{87719519-0007-48C9-B3BE-472A46C7BFBA}"/>
            </a:ext>
          </a:extLst>
        </xdr:cNvPr>
        <xdr:cNvCxnSpPr/>
      </xdr:nvCxnSpPr>
      <xdr:spPr>
        <a:xfrm flipV="1">
          <a:off x="11873931" y="446324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81981</xdr:colOff>
      <xdr:row>27</xdr:row>
      <xdr:rowOff>191437</xdr:rowOff>
    </xdr:from>
    <xdr:to>
      <xdr:col>10</xdr:col>
      <xdr:colOff>585928</xdr:colOff>
      <xdr:row>27</xdr:row>
      <xdr:rowOff>192594</xdr:rowOff>
    </xdr:to>
    <xdr:cxnSp macro="">
      <xdr:nvCxnSpPr>
        <xdr:cNvPr id="160" name="Straight Connector 159">
          <a:extLst>
            <a:ext uri="{FF2B5EF4-FFF2-40B4-BE49-F238E27FC236}">
              <a16:creationId xmlns:a16="http://schemas.microsoft.com/office/drawing/2014/main" id="{757BA3CB-A2C0-4F95-88EF-4AD1F5E05867}"/>
            </a:ext>
          </a:extLst>
        </xdr:cNvPr>
        <xdr:cNvCxnSpPr/>
      </xdr:nvCxnSpPr>
      <xdr:spPr>
        <a:xfrm flipV="1">
          <a:off x="5777931" y="501108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81981</xdr:colOff>
      <xdr:row>28</xdr:row>
      <xdr:rowOff>5545</xdr:rowOff>
    </xdr:from>
    <xdr:to>
      <xdr:col>10</xdr:col>
      <xdr:colOff>585928</xdr:colOff>
      <xdr:row>28</xdr:row>
      <xdr:rowOff>6702</xdr:rowOff>
    </xdr:to>
    <xdr:cxnSp macro="">
      <xdr:nvCxnSpPr>
        <xdr:cNvPr id="161" name="Straight Connector 160">
          <a:extLst>
            <a:ext uri="{FF2B5EF4-FFF2-40B4-BE49-F238E27FC236}">
              <a16:creationId xmlns:a16="http://schemas.microsoft.com/office/drawing/2014/main" id="{23FD8C28-AAB3-43AA-A3A2-74249B3A2289}"/>
            </a:ext>
          </a:extLst>
        </xdr:cNvPr>
        <xdr:cNvCxnSpPr/>
      </xdr:nvCxnSpPr>
      <xdr:spPr>
        <a:xfrm flipV="1">
          <a:off x="5777931" y="501569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81981</xdr:colOff>
      <xdr:row>27</xdr:row>
      <xdr:rowOff>191437</xdr:rowOff>
    </xdr:from>
    <xdr:to>
      <xdr:col>12</xdr:col>
      <xdr:colOff>585928</xdr:colOff>
      <xdr:row>27</xdr:row>
      <xdr:rowOff>192594</xdr:rowOff>
    </xdr:to>
    <xdr:cxnSp macro="">
      <xdr:nvCxnSpPr>
        <xdr:cNvPr id="162" name="Straight Connector 161">
          <a:extLst>
            <a:ext uri="{FF2B5EF4-FFF2-40B4-BE49-F238E27FC236}">
              <a16:creationId xmlns:a16="http://schemas.microsoft.com/office/drawing/2014/main" id="{AD698D09-013B-4E9A-8705-16505F001FA5}"/>
            </a:ext>
          </a:extLst>
        </xdr:cNvPr>
        <xdr:cNvCxnSpPr/>
      </xdr:nvCxnSpPr>
      <xdr:spPr>
        <a:xfrm flipV="1">
          <a:off x="6997131" y="501108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81981</xdr:colOff>
      <xdr:row>28</xdr:row>
      <xdr:rowOff>5545</xdr:rowOff>
    </xdr:from>
    <xdr:to>
      <xdr:col>12</xdr:col>
      <xdr:colOff>585928</xdr:colOff>
      <xdr:row>28</xdr:row>
      <xdr:rowOff>6702</xdr:rowOff>
    </xdr:to>
    <xdr:cxnSp macro="">
      <xdr:nvCxnSpPr>
        <xdr:cNvPr id="163" name="Straight Connector 162">
          <a:extLst>
            <a:ext uri="{FF2B5EF4-FFF2-40B4-BE49-F238E27FC236}">
              <a16:creationId xmlns:a16="http://schemas.microsoft.com/office/drawing/2014/main" id="{3346F84B-A28C-4CD0-B17C-704E346C6A39}"/>
            </a:ext>
          </a:extLst>
        </xdr:cNvPr>
        <xdr:cNvCxnSpPr/>
      </xdr:nvCxnSpPr>
      <xdr:spPr>
        <a:xfrm flipV="1">
          <a:off x="6997131" y="501569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81981</xdr:colOff>
      <xdr:row>27</xdr:row>
      <xdr:rowOff>191437</xdr:rowOff>
    </xdr:from>
    <xdr:to>
      <xdr:col>14</xdr:col>
      <xdr:colOff>585928</xdr:colOff>
      <xdr:row>27</xdr:row>
      <xdr:rowOff>192594</xdr:rowOff>
    </xdr:to>
    <xdr:cxnSp macro="">
      <xdr:nvCxnSpPr>
        <xdr:cNvPr id="164" name="Straight Connector 163">
          <a:extLst>
            <a:ext uri="{FF2B5EF4-FFF2-40B4-BE49-F238E27FC236}">
              <a16:creationId xmlns:a16="http://schemas.microsoft.com/office/drawing/2014/main" id="{6B918284-14D8-40D3-8F01-7D6BEC03DE9D}"/>
            </a:ext>
          </a:extLst>
        </xdr:cNvPr>
        <xdr:cNvCxnSpPr/>
      </xdr:nvCxnSpPr>
      <xdr:spPr>
        <a:xfrm flipV="1">
          <a:off x="8216331" y="501108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81981</xdr:colOff>
      <xdr:row>28</xdr:row>
      <xdr:rowOff>5545</xdr:rowOff>
    </xdr:from>
    <xdr:to>
      <xdr:col>14</xdr:col>
      <xdr:colOff>585928</xdr:colOff>
      <xdr:row>28</xdr:row>
      <xdr:rowOff>6702</xdr:rowOff>
    </xdr:to>
    <xdr:cxnSp macro="">
      <xdr:nvCxnSpPr>
        <xdr:cNvPr id="165" name="Straight Connector 164">
          <a:extLst>
            <a:ext uri="{FF2B5EF4-FFF2-40B4-BE49-F238E27FC236}">
              <a16:creationId xmlns:a16="http://schemas.microsoft.com/office/drawing/2014/main" id="{55942442-B57B-42EE-BBD9-6DB7B33C991F}"/>
            </a:ext>
          </a:extLst>
        </xdr:cNvPr>
        <xdr:cNvCxnSpPr/>
      </xdr:nvCxnSpPr>
      <xdr:spPr>
        <a:xfrm flipV="1">
          <a:off x="8216331" y="501569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81981</xdr:colOff>
      <xdr:row>27</xdr:row>
      <xdr:rowOff>191437</xdr:rowOff>
    </xdr:from>
    <xdr:to>
      <xdr:col>16</xdr:col>
      <xdr:colOff>585928</xdr:colOff>
      <xdr:row>27</xdr:row>
      <xdr:rowOff>192594</xdr:rowOff>
    </xdr:to>
    <xdr:cxnSp macro="">
      <xdr:nvCxnSpPr>
        <xdr:cNvPr id="166" name="Straight Connector 165">
          <a:extLst>
            <a:ext uri="{FF2B5EF4-FFF2-40B4-BE49-F238E27FC236}">
              <a16:creationId xmlns:a16="http://schemas.microsoft.com/office/drawing/2014/main" id="{3FB22847-3184-4600-829A-E0E132E09B38}"/>
            </a:ext>
          </a:extLst>
        </xdr:cNvPr>
        <xdr:cNvCxnSpPr/>
      </xdr:nvCxnSpPr>
      <xdr:spPr>
        <a:xfrm flipV="1">
          <a:off x="9435531" y="501108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81981</xdr:colOff>
      <xdr:row>28</xdr:row>
      <xdr:rowOff>5545</xdr:rowOff>
    </xdr:from>
    <xdr:to>
      <xdr:col>16</xdr:col>
      <xdr:colOff>585928</xdr:colOff>
      <xdr:row>28</xdr:row>
      <xdr:rowOff>6702</xdr:rowOff>
    </xdr:to>
    <xdr:cxnSp macro="">
      <xdr:nvCxnSpPr>
        <xdr:cNvPr id="167" name="Straight Connector 166">
          <a:extLst>
            <a:ext uri="{FF2B5EF4-FFF2-40B4-BE49-F238E27FC236}">
              <a16:creationId xmlns:a16="http://schemas.microsoft.com/office/drawing/2014/main" id="{CA3153D6-688E-46FC-BEC5-C774A9D1C4CF}"/>
            </a:ext>
          </a:extLst>
        </xdr:cNvPr>
        <xdr:cNvCxnSpPr/>
      </xdr:nvCxnSpPr>
      <xdr:spPr>
        <a:xfrm flipV="1">
          <a:off x="9435531" y="501569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81981</xdr:colOff>
      <xdr:row>27</xdr:row>
      <xdr:rowOff>191437</xdr:rowOff>
    </xdr:from>
    <xdr:to>
      <xdr:col>18</xdr:col>
      <xdr:colOff>585928</xdr:colOff>
      <xdr:row>27</xdr:row>
      <xdr:rowOff>192594</xdr:rowOff>
    </xdr:to>
    <xdr:cxnSp macro="">
      <xdr:nvCxnSpPr>
        <xdr:cNvPr id="168" name="Straight Connector 167">
          <a:extLst>
            <a:ext uri="{FF2B5EF4-FFF2-40B4-BE49-F238E27FC236}">
              <a16:creationId xmlns:a16="http://schemas.microsoft.com/office/drawing/2014/main" id="{34DF8A8B-50B4-4E28-A58B-C41017BC1AE2}"/>
            </a:ext>
          </a:extLst>
        </xdr:cNvPr>
        <xdr:cNvCxnSpPr/>
      </xdr:nvCxnSpPr>
      <xdr:spPr>
        <a:xfrm flipV="1">
          <a:off x="10654731" y="501108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81981</xdr:colOff>
      <xdr:row>28</xdr:row>
      <xdr:rowOff>5545</xdr:rowOff>
    </xdr:from>
    <xdr:to>
      <xdr:col>18</xdr:col>
      <xdr:colOff>585928</xdr:colOff>
      <xdr:row>28</xdr:row>
      <xdr:rowOff>6702</xdr:rowOff>
    </xdr:to>
    <xdr:cxnSp macro="">
      <xdr:nvCxnSpPr>
        <xdr:cNvPr id="169" name="Straight Connector 168">
          <a:extLst>
            <a:ext uri="{FF2B5EF4-FFF2-40B4-BE49-F238E27FC236}">
              <a16:creationId xmlns:a16="http://schemas.microsoft.com/office/drawing/2014/main" id="{E51731F3-D153-444B-ADDB-DE2E002441A8}"/>
            </a:ext>
          </a:extLst>
        </xdr:cNvPr>
        <xdr:cNvCxnSpPr/>
      </xdr:nvCxnSpPr>
      <xdr:spPr>
        <a:xfrm flipV="1">
          <a:off x="10654731" y="501569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81981</xdr:colOff>
      <xdr:row>27</xdr:row>
      <xdr:rowOff>191437</xdr:rowOff>
    </xdr:from>
    <xdr:to>
      <xdr:col>20</xdr:col>
      <xdr:colOff>585928</xdr:colOff>
      <xdr:row>27</xdr:row>
      <xdr:rowOff>192594</xdr:rowOff>
    </xdr:to>
    <xdr:cxnSp macro="">
      <xdr:nvCxnSpPr>
        <xdr:cNvPr id="170" name="Straight Connector 169">
          <a:extLst>
            <a:ext uri="{FF2B5EF4-FFF2-40B4-BE49-F238E27FC236}">
              <a16:creationId xmlns:a16="http://schemas.microsoft.com/office/drawing/2014/main" id="{04D892E6-658A-4C7C-90EE-CC1CBF56BEB2}"/>
            </a:ext>
          </a:extLst>
        </xdr:cNvPr>
        <xdr:cNvCxnSpPr/>
      </xdr:nvCxnSpPr>
      <xdr:spPr>
        <a:xfrm flipV="1">
          <a:off x="11873931" y="501108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81981</xdr:colOff>
      <xdr:row>28</xdr:row>
      <xdr:rowOff>5545</xdr:rowOff>
    </xdr:from>
    <xdr:to>
      <xdr:col>20</xdr:col>
      <xdr:colOff>585928</xdr:colOff>
      <xdr:row>28</xdr:row>
      <xdr:rowOff>6702</xdr:rowOff>
    </xdr:to>
    <xdr:cxnSp macro="">
      <xdr:nvCxnSpPr>
        <xdr:cNvPr id="171" name="Straight Connector 170">
          <a:extLst>
            <a:ext uri="{FF2B5EF4-FFF2-40B4-BE49-F238E27FC236}">
              <a16:creationId xmlns:a16="http://schemas.microsoft.com/office/drawing/2014/main" id="{95F7550E-CEB5-4481-A9E3-FDD76B75BCC1}"/>
            </a:ext>
          </a:extLst>
        </xdr:cNvPr>
        <xdr:cNvCxnSpPr/>
      </xdr:nvCxnSpPr>
      <xdr:spPr>
        <a:xfrm flipV="1">
          <a:off x="11873931" y="501569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58081</xdr:colOff>
      <xdr:row>44</xdr:row>
      <xdr:rowOff>162046</xdr:rowOff>
    </xdr:from>
    <xdr:to>
      <xdr:col>12</xdr:col>
      <xdr:colOff>562028</xdr:colOff>
      <xdr:row>44</xdr:row>
      <xdr:rowOff>163364</xdr:rowOff>
    </xdr:to>
    <xdr:cxnSp macro="">
      <xdr:nvCxnSpPr>
        <xdr:cNvPr id="172" name="Straight Connector 171">
          <a:extLst>
            <a:ext uri="{FF2B5EF4-FFF2-40B4-BE49-F238E27FC236}">
              <a16:creationId xmlns:a16="http://schemas.microsoft.com/office/drawing/2014/main" id="{126F70B9-5DA4-428B-890D-25FC45931B61}"/>
            </a:ext>
          </a:extLst>
        </xdr:cNvPr>
        <xdr:cNvCxnSpPr/>
      </xdr:nvCxnSpPr>
      <xdr:spPr>
        <a:xfrm flipV="1">
          <a:off x="6973231" y="79915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58081</xdr:colOff>
      <xdr:row>44</xdr:row>
      <xdr:rowOff>162046</xdr:rowOff>
    </xdr:from>
    <xdr:to>
      <xdr:col>14</xdr:col>
      <xdr:colOff>562028</xdr:colOff>
      <xdr:row>44</xdr:row>
      <xdr:rowOff>163364</xdr:rowOff>
    </xdr:to>
    <xdr:cxnSp macro="">
      <xdr:nvCxnSpPr>
        <xdr:cNvPr id="173" name="Straight Connector 172">
          <a:extLst>
            <a:ext uri="{FF2B5EF4-FFF2-40B4-BE49-F238E27FC236}">
              <a16:creationId xmlns:a16="http://schemas.microsoft.com/office/drawing/2014/main" id="{62A2B637-6A1A-4B21-96B0-F4664431FDA4}"/>
            </a:ext>
          </a:extLst>
        </xdr:cNvPr>
        <xdr:cNvCxnSpPr/>
      </xdr:nvCxnSpPr>
      <xdr:spPr>
        <a:xfrm flipV="1">
          <a:off x="8192431" y="79915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58081</xdr:colOff>
      <xdr:row>44</xdr:row>
      <xdr:rowOff>162046</xdr:rowOff>
    </xdr:from>
    <xdr:to>
      <xdr:col>16</xdr:col>
      <xdr:colOff>562028</xdr:colOff>
      <xdr:row>44</xdr:row>
      <xdr:rowOff>163364</xdr:rowOff>
    </xdr:to>
    <xdr:cxnSp macro="">
      <xdr:nvCxnSpPr>
        <xdr:cNvPr id="174" name="Straight Connector 173">
          <a:extLst>
            <a:ext uri="{FF2B5EF4-FFF2-40B4-BE49-F238E27FC236}">
              <a16:creationId xmlns:a16="http://schemas.microsoft.com/office/drawing/2014/main" id="{7FC68CB5-2C66-4F0F-9033-80193E0ECF00}"/>
            </a:ext>
          </a:extLst>
        </xdr:cNvPr>
        <xdr:cNvCxnSpPr/>
      </xdr:nvCxnSpPr>
      <xdr:spPr>
        <a:xfrm flipV="1">
          <a:off x="9411631" y="79915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58081</xdr:colOff>
      <xdr:row>44</xdr:row>
      <xdr:rowOff>162046</xdr:rowOff>
    </xdr:from>
    <xdr:to>
      <xdr:col>18</xdr:col>
      <xdr:colOff>562028</xdr:colOff>
      <xdr:row>44</xdr:row>
      <xdr:rowOff>163364</xdr:rowOff>
    </xdr:to>
    <xdr:cxnSp macro="">
      <xdr:nvCxnSpPr>
        <xdr:cNvPr id="175" name="Straight Connector 174">
          <a:extLst>
            <a:ext uri="{FF2B5EF4-FFF2-40B4-BE49-F238E27FC236}">
              <a16:creationId xmlns:a16="http://schemas.microsoft.com/office/drawing/2014/main" id="{8CEC3817-F713-4B2E-AD7E-46E517F06F97}"/>
            </a:ext>
          </a:extLst>
        </xdr:cNvPr>
        <xdr:cNvCxnSpPr/>
      </xdr:nvCxnSpPr>
      <xdr:spPr>
        <a:xfrm flipV="1">
          <a:off x="10630831" y="79915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58081</xdr:colOff>
      <xdr:row>44</xdr:row>
      <xdr:rowOff>162046</xdr:rowOff>
    </xdr:from>
    <xdr:to>
      <xdr:col>20</xdr:col>
      <xdr:colOff>562028</xdr:colOff>
      <xdr:row>44</xdr:row>
      <xdr:rowOff>163364</xdr:rowOff>
    </xdr:to>
    <xdr:cxnSp macro="">
      <xdr:nvCxnSpPr>
        <xdr:cNvPr id="176" name="Straight Connector 175">
          <a:extLst>
            <a:ext uri="{FF2B5EF4-FFF2-40B4-BE49-F238E27FC236}">
              <a16:creationId xmlns:a16="http://schemas.microsoft.com/office/drawing/2014/main" id="{1C01840C-F5AA-4D81-9A1F-E2CAB855D20F}"/>
            </a:ext>
          </a:extLst>
        </xdr:cNvPr>
        <xdr:cNvCxnSpPr/>
      </xdr:nvCxnSpPr>
      <xdr:spPr>
        <a:xfrm flipV="1">
          <a:off x="11850031" y="79915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58081</xdr:colOff>
      <xdr:row>53</xdr:row>
      <xdr:rowOff>159446</xdr:rowOff>
    </xdr:from>
    <xdr:to>
      <xdr:col>12</xdr:col>
      <xdr:colOff>562028</xdr:colOff>
      <xdr:row>53</xdr:row>
      <xdr:rowOff>160764</xdr:rowOff>
    </xdr:to>
    <xdr:cxnSp macro="">
      <xdr:nvCxnSpPr>
        <xdr:cNvPr id="177" name="Straight Connector 176">
          <a:extLst>
            <a:ext uri="{FF2B5EF4-FFF2-40B4-BE49-F238E27FC236}">
              <a16:creationId xmlns:a16="http://schemas.microsoft.com/office/drawing/2014/main" id="{0AC75512-CADC-4563-BFBF-1F2B02215102}"/>
            </a:ext>
          </a:extLst>
        </xdr:cNvPr>
        <xdr:cNvCxnSpPr/>
      </xdr:nvCxnSpPr>
      <xdr:spPr>
        <a:xfrm flipV="1">
          <a:off x="6973231" y="94939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58081</xdr:colOff>
      <xdr:row>53</xdr:row>
      <xdr:rowOff>159446</xdr:rowOff>
    </xdr:from>
    <xdr:to>
      <xdr:col>14</xdr:col>
      <xdr:colOff>562028</xdr:colOff>
      <xdr:row>53</xdr:row>
      <xdr:rowOff>160764</xdr:rowOff>
    </xdr:to>
    <xdr:cxnSp macro="">
      <xdr:nvCxnSpPr>
        <xdr:cNvPr id="178" name="Straight Connector 177">
          <a:extLst>
            <a:ext uri="{FF2B5EF4-FFF2-40B4-BE49-F238E27FC236}">
              <a16:creationId xmlns:a16="http://schemas.microsoft.com/office/drawing/2014/main" id="{6C0740AF-58D8-414F-B5CE-058303FB864C}"/>
            </a:ext>
          </a:extLst>
        </xdr:cNvPr>
        <xdr:cNvCxnSpPr/>
      </xdr:nvCxnSpPr>
      <xdr:spPr>
        <a:xfrm flipV="1">
          <a:off x="8192431" y="94939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58081</xdr:colOff>
      <xdr:row>53</xdr:row>
      <xdr:rowOff>159446</xdr:rowOff>
    </xdr:from>
    <xdr:to>
      <xdr:col>16</xdr:col>
      <xdr:colOff>562028</xdr:colOff>
      <xdr:row>53</xdr:row>
      <xdr:rowOff>160764</xdr:rowOff>
    </xdr:to>
    <xdr:cxnSp macro="">
      <xdr:nvCxnSpPr>
        <xdr:cNvPr id="179" name="Straight Connector 178">
          <a:extLst>
            <a:ext uri="{FF2B5EF4-FFF2-40B4-BE49-F238E27FC236}">
              <a16:creationId xmlns:a16="http://schemas.microsoft.com/office/drawing/2014/main" id="{D7AEEC6A-8C87-4A22-BAD6-8FC944E2393A}"/>
            </a:ext>
          </a:extLst>
        </xdr:cNvPr>
        <xdr:cNvCxnSpPr/>
      </xdr:nvCxnSpPr>
      <xdr:spPr>
        <a:xfrm flipV="1">
          <a:off x="9411631" y="94939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58081</xdr:colOff>
      <xdr:row>53</xdr:row>
      <xdr:rowOff>159446</xdr:rowOff>
    </xdr:from>
    <xdr:to>
      <xdr:col>18</xdr:col>
      <xdr:colOff>562028</xdr:colOff>
      <xdr:row>53</xdr:row>
      <xdr:rowOff>160764</xdr:rowOff>
    </xdr:to>
    <xdr:cxnSp macro="">
      <xdr:nvCxnSpPr>
        <xdr:cNvPr id="180" name="Straight Connector 179">
          <a:extLst>
            <a:ext uri="{FF2B5EF4-FFF2-40B4-BE49-F238E27FC236}">
              <a16:creationId xmlns:a16="http://schemas.microsoft.com/office/drawing/2014/main" id="{AABF803B-CF43-462B-9483-413965E9F917}"/>
            </a:ext>
          </a:extLst>
        </xdr:cNvPr>
        <xdr:cNvCxnSpPr/>
      </xdr:nvCxnSpPr>
      <xdr:spPr>
        <a:xfrm flipV="1">
          <a:off x="10630831" y="94939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58081</xdr:colOff>
      <xdr:row>53</xdr:row>
      <xdr:rowOff>159446</xdr:rowOff>
    </xdr:from>
    <xdr:to>
      <xdr:col>20</xdr:col>
      <xdr:colOff>562028</xdr:colOff>
      <xdr:row>53</xdr:row>
      <xdr:rowOff>160764</xdr:rowOff>
    </xdr:to>
    <xdr:cxnSp macro="">
      <xdr:nvCxnSpPr>
        <xdr:cNvPr id="181" name="Straight Connector 180">
          <a:extLst>
            <a:ext uri="{FF2B5EF4-FFF2-40B4-BE49-F238E27FC236}">
              <a16:creationId xmlns:a16="http://schemas.microsoft.com/office/drawing/2014/main" id="{D9768365-1381-4633-A4ED-F20C4DA6741D}"/>
            </a:ext>
          </a:extLst>
        </xdr:cNvPr>
        <xdr:cNvCxnSpPr/>
      </xdr:nvCxnSpPr>
      <xdr:spPr>
        <a:xfrm flipV="1">
          <a:off x="11850031" y="94939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58081</xdr:colOff>
      <xdr:row>54</xdr:row>
      <xdr:rowOff>159446</xdr:rowOff>
    </xdr:from>
    <xdr:to>
      <xdr:col>10</xdr:col>
      <xdr:colOff>562028</xdr:colOff>
      <xdr:row>54</xdr:row>
      <xdr:rowOff>160764</xdr:rowOff>
    </xdr:to>
    <xdr:cxnSp macro="">
      <xdr:nvCxnSpPr>
        <xdr:cNvPr id="182" name="Straight Connector 181">
          <a:extLst>
            <a:ext uri="{FF2B5EF4-FFF2-40B4-BE49-F238E27FC236}">
              <a16:creationId xmlns:a16="http://schemas.microsoft.com/office/drawing/2014/main" id="{A1F9A4CE-0C1C-4039-829A-683CAF83F280}"/>
            </a:ext>
          </a:extLst>
        </xdr:cNvPr>
        <xdr:cNvCxnSpPr/>
      </xdr:nvCxnSpPr>
      <xdr:spPr>
        <a:xfrm flipV="1">
          <a:off x="5754031" y="96780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58081</xdr:colOff>
      <xdr:row>54</xdr:row>
      <xdr:rowOff>161846</xdr:rowOff>
    </xdr:from>
    <xdr:to>
      <xdr:col>12</xdr:col>
      <xdr:colOff>562028</xdr:colOff>
      <xdr:row>54</xdr:row>
      <xdr:rowOff>163164</xdr:rowOff>
    </xdr:to>
    <xdr:cxnSp macro="">
      <xdr:nvCxnSpPr>
        <xdr:cNvPr id="183" name="Straight Connector 182">
          <a:extLst>
            <a:ext uri="{FF2B5EF4-FFF2-40B4-BE49-F238E27FC236}">
              <a16:creationId xmlns:a16="http://schemas.microsoft.com/office/drawing/2014/main" id="{B7B67AA6-541B-4B20-B97D-FBF99C37D9D1}"/>
            </a:ext>
          </a:extLst>
        </xdr:cNvPr>
        <xdr:cNvCxnSpPr/>
      </xdr:nvCxnSpPr>
      <xdr:spPr>
        <a:xfrm flipV="1">
          <a:off x="6973231" y="96804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58081</xdr:colOff>
      <xdr:row>54</xdr:row>
      <xdr:rowOff>159446</xdr:rowOff>
    </xdr:from>
    <xdr:to>
      <xdr:col>12</xdr:col>
      <xdr:colOff>562028</xdr:colOff>
      <xdr:row>54</xdr:row>
      <xdr:rowOff>160764</xdr:rowOff>
    </xdr:to>
    <xdr:cxnSp macro="">
      <xdr:nvCxnSpPr>
        <xdr:cNvPr id="184" name="Straight Connector 183">
          <a:extLst>
            <a:ext uri="{FF2B5EF4-FFF2-40B4-BE49-F238E27FC236}">
              <a16:creationId xmlns:a16="http://schemas.microsoft.com/office/drawing/2014/main" id="{32532BFF-40F1-408A-BA85-057854A8F1E9}"/>
            </a:ext>
          </a:extLst>
        </xdr:cNvPr>
        <xdr:cNvCxnSpPr/>
      </xdr:nvCxnSpPr>
      <xdr:spPr>
        <a:xfrm flipV="1">
          <a:off x="6973231" y="96780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58081</xdr:colOff>
      <xdr:row>54</xdr:row>
      <xdr:rowOff>161846</xdr:rowOff>
    </xdr:from>
    <xdr:to>
      <xdr:col>14</xdr:col>
      <xdr:colOff>562028</xdr:colOff>
      <xdr:row>54</xdr:row>
      <xdr:rowOff>163164</xdr:rowOff>
    </xdr:to>
    <xdr:cxnSp macro="">
      <xdr:nvCxnSpPr>
        <xdr:cNvPr id="185" name="Straight Connector 184">
          <a:extLst>
            <a:ext uri="{FF2B5EF4-FFF2-40B4-BE49-F238E27FC236}">
              <a16:creationId xmlns:a16="http://schemas.microsoft.com/office/drawing/2014/main" id="{A02EE0CE-785E-4AE7-804F-6AEC477B5DE0}"/>
            </a:ext>
          </a:extLst>
        </xdr:cNvPr>
        <xdr:cNvCxnSpPr/>
      </xdr:nvCxnSpPr>
      <xdr:spPr>
        <a:xfrm flipV="1">
          <a:off x="8192431" y="96804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58081</xdr:colOff>
      <xdr:row>54</xdr:row>
      <xdr:rowOff>159446</xdr:rowOff>
    </xdr:from>
    <xdr:to>
      <xdr:col>14</xdr:col>
      <xdr:colOff>562028</xdr:colOff>
      <xdr:row>54</xdr:row>
      <xdr:rowOff>160764</xdr:rowOff>
    </xdr:to>
    <xdr:cxnSp macro="">
      <xdr:nvCxnSpPr>
        <xdr:cNvPr id="186" name="Straight Connector 185">
          <a:extLst>
            <a:ext uri="{FF2B5EF4-FFF2-40B4-BE49-F238E27FC236}">
              <a16:creationId xmlns:a16="http://schemas.microsoft.com/office/drawing/2014/main" id="{FD8AC8F2-6056-4AD6-ADA6-3DE23376C830}"/>
            </a:ext>
          </a:extLst>
        </xdr:cNvPr>
        <xdr:cNvCxnSpPr/>
      </xdr:nvCxnSpPr>
      <xdr:spPr>
        <a:xfrm flipV="1">
          <a:off x="8192431" y="96780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58081</xdr:colOff>
      <xdr:row>54</xdr:row>
      <xdr:rowOff>161846</xdr:rowOff>
    </xdr:from>
    <xdr:to>
      <xdr:col>16</xdr:col>
      <xdr:colOff>562028</xdr:colOff>
      <xdr:row>54</xdr:row>
      <xdr:rowOff>163164</xdr:rowOff>
    </xdr:to>
    <xdr:cxnSp macro="">
      <xdr:nvCxnSpPr>
        <xdr:cNvPr id="187" name="Straight Connector 186">
          <a:extLst>
            <a:ext uri="{FF2B5EF4-FFF2-40B4-BE49-F238E27FC236}">
              <a16:creationId xmlns:a16="http://schemas.microsoft.com/office/drawing/2014/main" id="{0A9F6B02-DDFE-4886-892F-685E2B92DF0B}"/>
            </a:ext>
          </a:extLst>
        </xdr:cNvPr>
        <xdr:cNvCxnSpPr/>
      </xdr:nvCxnSpPr>
      <xdr:spPr>
        <a:xfrm flipV="1">
          <a:off x="9411631" y="96804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58081</xdr:colOff>
      <xdr:row>54</xdr:row>
      <xdr:rowOff>159446</xdr:rowOff>
    </xdr:from>
    <xdr:to>
      <xdr:col>16</xdr:col>
      <xdr:colOff>562028</xdr:colOff>
      <xdr:row>54</xdr:row>
      <xdr:rowOff>160764</xdr:rowOff>
    </xdr:to>
    <xdr:cxnSp macro="">
      <xdr:nvCxnSpPr>
        <xdr:cNvPr id="188" name="Straight Connector 187">
          <a:extLst>
            <a:ext uri="{FF2B5EF4-FFF2-40B4-BE49-F238E27FC236}">
              <a16:creationId xmlns:a16="http://schemas.microsoft.com/office/drawing/2014/main" id="{E73CD330-D769-46BC-AD4D-39376BE4D4E6}"/>
            </a:ext>
          </a:extLst>
        </xdr:cNvPr>
        <xdr:cNvCxnSpPr/>
      </xdr:nvCxnSpPr>
      <xdr:spPr>
        <a:xfrm flipV="1">
          <a:off x="9411631" y="96780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58081</xdr:colOff>
      <xdr:row>54</xdr:row>
      <xdr:rowOff>161846</xdr:rowOff>
    </xdr:from>
    <xdr:to>
      <xdr:col>18</xdr:col>
      <xdr:colOff>562028</xdr:colOff>
      <xdr:row>54</xdr:row>
      <xdr:rowOff>163164</xdr:rowOff>
    </xdr:to>
    <xdr:cxnSp macro="">
      <xdr:nvCxnSpPr>
        <xdr:cNvPr id="189" name="Straight Connector 188">
          <a:extLst>
            <a:ext uri="{FF2B5EF4-FFF2-40B4-BE49-F238E27FC236}">
              <a16:creationId xmlns:a16="http://schemas.microsoft.com/office/drawing/2014/main" id="{DAEE8A0C-9755-4D1C-8741-E9B7B572BEE4}"/>
            </a:ext>
          </a:extLst>
        </xdr:cNvPr>
        <xdr:cNvCxnSpPr/>
      </xdr:nvCxnSpPr>
      <xdr:spPr>
        <a:xfrm flipV="1">
          <a:off x="10630831" y="96804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58081</xdr:colOff>
      <xdr:row>54</xdr:row>
      <xdr:rowOff>159446</xdr:rowOff>
    </xdr:from>
    <xdr:to>
      <xdr:col>18</xdr:col>
      <xdr:colOff>562028</xdr:colOff>
      <xdr:row>54</xdr:row>
      <xdr:rowOff>160764</xdr:rowOff>
    </xdr:to>
    <xdr:cxnSp macro="">
      <xdr:nvCxnSpPr>
        <xdr:cNvPr id="190" name="Straight Connector 189">
          <a:extLst>
            <a:ext uri="{FF2B5EF4-FFF2-40B4-BE49-F238E27FC236}">
              <a16:creationId xmlns:a16="http://schemas.microsoft.com/office/drawing/2014/main" id="{95F028FA-9E93-49A4-8425-FF73B4AA4DFF}"/>
            </a:ext>
          </a:extLst>
        </xdr:cNvPr>
        <xdr:cNvCxnSpPr/>
      </xdr:nvCxnSpPr>
      <xdr:spPr>
        <a:xfrm flipV="1">
          <a:off x="10630831" y="96780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58081</xdr:colOff>
      <xdr:row>54</xdr:row>
      <xdr:rowOff>161846</xdr:rowOff>
    </xdr:from>
    <xdr:to>
      <xdr:col>20</xdr:col>
      <xdr:colOff>562028</xdr:colOff>
      <xdr:row>54</xdr:row>
      <xdr:rowOff>163164</xdr:rowOff>
    </xdr:to>
    <xdr:cxnSp macro="">
      <xdr:nvCxnSpPr>
        <xdr:cNvPr id="191" name="Straight Connector 190">
          <a:extLst>
            <a:ext uri="{FF2B5EF4-FFF2-40B4-BE49-F238E27FC236}">
              <a16:creationId xmlns:a16="http://schemas.microsoft.com/office/drawing/2014/main" id="{A0E182B3-F5F9-431D-8FF9-335ADC2B1D5F}"/>
            </a:ext>
          </a:extLst>
        </xdr:cNvPr>
        <xdr:cNvCxnSpPr/>
      </xdr:nvCxnSpPr>
      <xdr:spPr>
        <a:xfrm flipV="1">
          <a:off x="11850031" y="96804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58081</xdr:colOff>
      <xdr:row>54</xdr:row>
      <xdr:rowOff>159446</xdr:rowOff>
    </xdr:from>
    <xdr:to>
      <xdr:col>20</xdr:col>
      <xdr:colOff>562028</xdr:colOff>
      <xdr:row>54</xdr:row>
      <xdr:rowOff>160764</xdr:rowOff>
    </xdr:to>
    <xdr:cxnSp macro="">
      <xdr:nvCxnSpPr>
        <xdr:cNvPr id="192" name="Straight Connector 191">
          <a:extLst>
            <a:ext uri="{FF2B5EF4-FFF2-40B4-BE49-F238E27FC236}">
              <a16:creationId xmlns:a16="http://schemas.microsoft.com/office/drawing/2014/main" id="{F90BB80A-2FD7-4E34-A82F-96E1F1E83A30}"/>
            </a:ext>
          </a:extLst>
        </xdr:cNvPr>
        <xdr:cNvCxnSpPr/>
      </xdr:nvCxnSpPr>
      <xdr:spPr>
        <a:xfrm flipV="1">
          <a:off x="11850031" y="96780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58081</xdr:colOff>
      <xdr:row>55</xdr:row>
      <xdr:rowOff>4246</xdr:rowOff>
    </xdr:from>
    <xdr:to>
      <xdr:col>12</xdr:col>
      <xdr:colOff>562028</xdr:colOff>
      <xdr:row>55</xdr:row>
      <xdr:rowOff>5564</xdr:rowOff>
    </xdr:to>
    <xdr:cxnSp macro="">
      <xdr:nvCxnSpPr>
        <xdr:cNvPr id="193" name="Straight Connector 192">
          <a:extLst>
            <a:ext uri="{FF2B5EF4-FFF2-40B4-BE49-F238E27FC236}">
              <a16:creationId xmlns:a16="http://schemas.microsoft.com/office/drawing/2014/main" id="{46BA07A4-8E4C-47AA-876A-5D68ADB79959}"/>
            </a:ext>
          </a:extLst>
        </xdr:cNvPr>
        <xdr:cNvCxnSpPr/>
      </xdr:nvCxnSpPr>
      <xdr:spPr>
        <a:xfrm flipV="1">
          <a:off x="6973231" y="97070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58081</xdr:colOff>
      <xdr:row>55</xdr:row>
      <xdr:rowOff>4246</xdr:rowOff>
    </xdr:from>
    <xdr:to>
      <xdr:col>14</xdr:col>
      <xdr:colOff>562028</xdr:colOff>
      <xdr:row>55</xdr:row>
      <xdr:rowOff>5564</xdr:rowOff>
    </xdr:to>
    <xdr:cxnSp macro="">
      <xdr:nvCxnSpPr>
        <xdr:cNvPr id="194" name="Straight Connector 193">
          <a:extLst>
            <a:ext uri="{FF2B5EF4-FFF2-40B4-BE49-F238E27FC236}">
              <a16:creationId xmlns:a16="http://schemas.microsoft.com/office/drawing/2014/main" id="{3DCC8E23-8978-4968-8D1C-71AABD740583}"/>
            </a:ext>
          </a:extLst>
        </xdr:cNvPr>
        <xdr:cNvCxnSpPr/>
      </xdr:nvCxnSpPr>
      <xdr:spPr>
        <a:xfrm flipV="1">
          <a:off x="8192431" y="97070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58081</xdr:colOff>
      <xdr:row>55</xdr:row>
      <xdr:rowOff>4246</xdr:rowOff>
    </xdr:from>
    <xdr:to>
      <xdr:col>16</xdr:col>
      <xdr:colOff>562028</xdr:colOff>
      <xdr:row>55</xdr:row>
      <xdr:rowOff>5564</xdr:rowOff>
    </xdr:to>
    <xdr:cxnSp macro="">
      <xdr:nvCxnSpPr>
        <xdr:cNvPr id="195" name="Straight Connector 194">
          <a:extLst>
            <a:ext uri="{FF2B5EF4-FFF2-40B4-BE49-F238E27FC236}">
              <a16:creationId xmlns:a16="http://schemas.microsoft.com/office/drawing/2014/main" id="{02190C66-FBA1-414E-A1AF-6DA92F1A25A1}"/>
            </a:ext>
          </a:extLst>
        </xdr:cNvPr>
        <xdr:cNvCxnSpPr/>
      </xdr:nvCxnSpPr>
      <xdr:spPr>
        <a:xfrm flipV="1">
          <a:off x="9411631" y="97070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58081</xdr:colOff>
      <xdr:row>55</xdr:row>
      <xdr:rowOff>4246</xdr:rowOff>
    </xdr:from>
    <xdr:to>
      <xdr:col>18</xdr:col>
      <xdr:colOff>562028</xdr:colOff>
      <xdr:row>55</xdr:row>
      <xdr:rowOff>5564</xdr:rowOff>
    </xdr:to>
    <xdr:cxnSp macro="">
      <xdr:nvCxnSpPr>
        <xdr:cNvPr id="196" name="Straight Connector 195">
          <a:extLst>
            <a:ext uri="{FF2B5EF4-FFF2-40B4-BE49-F238E27FC236}">
              <a16:creationId xmlns:a16="http://schemas.microsoft.com/office/drawing/2014/main" id="{6B4F5C59-3250-49F2-9C99-FC75B9DFBCD9}"/>
            </a:ext>
          </a:extLst>
        </xdr:cNvPr>
        <xdr:cNvCxnSpPr/>
      </xdr:nvCxnSpPr>
      <xdr:spPr>
        <a:xfrm flipV="1">
          <a:off x="10630831" y="97070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58081</xdr:colOff>
      <xdr:row>55</xdr:row>
      <xdr:rowOff>4246</xdr:rowOff>
    </xdr:from>
    <xdr:to>
      <xdr:col>20</xdr:col>
      <xdr:colOff>562028</xdr:colOff>
      <xdr:row>55</xdr:row>
      <xdr:rowOff>5564</xdr:rowOff>
    </xdr:to>
    <xdr:cxnSp macro="">
      <xdr:nvCxnSpPr>
        <xdr:cNvPr id="197" name="Straight Connector 196">
          <a:extLst>
            <a:ext uri="{FF2B5EF4-FFF2-40B4-BE49-F238E27FC236}">
              <a16:creationId xmlns:a16="http://schemas.microsoft.com/office/drawing/2014/main" id="{9BF55A21-33F0-40DF-912F-0D21F060CD2D}"/>
            </a:ext>
          </a:extLst>
        </xdr:cNvPr>
        <xdr:cNvCxnSpPr/>
      </xdr:nvCxnSpPr>
      <xdr:spPr>
        <a:xfrm flipV="1">
          <a:off x="11850031" y="97070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69448</xdr:colOff>
      <xdr:row>20</xdr:row>
      <xdr:rowOff>166161</xdr:rowOff>
    </xdr:from>
    <xdr:to>
      <xdr:col>25</xdr:col>
      <xdr:colOff>709528</xdr:colOff>
      <xdr:row>20</xdr:row>
      <xdr:rowOff>166161</xdr:rowOff>
    </xdr:to>
    <xdr:cxnSp macro="">
      <xdr:nvCxnSpPr>
        <xdr:cNvPr id="198" name="Straight Connector 197">
          <a:extLst>
            <a:ext uri="{FF2B5EF4-FFF2-40B4-BE49-F238E27FC236}">
              <a16:creationId xmlns:a16="http://schemas.microsoft.com/office/drawing/2014/main" id="{E8F13169-1FB1-4829-991C-223F6E85C64F}"/>
            </a:ext>
          </a:extLst>
        </xdr:cNvPr>
        <xdr:cNvCxnSpPr/>
      </xdr:nvCxnSpPr>
      <xdr:spPr>
        <a:xfrm>
          <a:off x="15976198" y="3703111"/>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69448</xdr:colOff>
      <xdr:row>20</xdr:row>
      <xdr:rowOff>166161</xdr:rowOff>
    </xdr:from>
    <xdr:to>
      <xdr:col>25</xdr:col>
      <xdr:colOff>709528</xdr:colOff>
      <xdr:row>20</xdr:row>
      <xdr:rowOff>166161</xdr:rowOff>
    </xdr:to>
    <xdr:cxnSp macro="">
      <xdr:nvCxnSpPr>
        <xdr:cNvPr id="199" name="Straight Connector 198">
          <a:extLst>
            <a:ext uri="{FF2B5EF4-FFF2-40B4-BE49-F238E27FC236}">
              <a16:creationId xmlns:a16="http://schemas.microsoft.com/office/drawing/2014/main" id="{628E38DB-3A36-4B01-B187-D7D744793D8F}"/>
            </a:ext>
          </a:extLst>
        </xdr:cNvPr>
        <xdr:cNvCxnSpPr/>
      </xdr:nvCxnSpPr>
      <xdr:spPr>
        <a:xfrm>
          <a:off x="15976198" y="3703111"/>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71627</xdr:colOff>
      <xdr:row>34</xdr:row>
      <xdr:rowOff>164113</xdr:rowOff>
    </xdr:from>
    <xdr:to>
      <xdr:col>26</xdr:col>
      <xdr:colOff>711707</xdr:colOff>
      <xdr:row>34</xdr:row>
      <xdr:rowOff>164113</xdr:rowOff>
    </xdr:to>
    <xdr:cxnSp macro="">
      <xdr:nvCxnSpPr>
        <xdr:cNvPr id="200" name="Straight Connector 199">
          <a:extLst>
            <a:ext uri="{FF2B5EF4-FFF2-40B4-BE49-F238E27FC236}">
              <a16:creationId xmlns:a16="http://schemas.microsoft.com/office/drawing/2014/main" id="{9D74061E-B76E-4F57-A2A1-A73C94482D67}"/>
            </a:ext>
          </a:extLst>
        </xdr:cNvPr>
        <xdr:cNvCxnSpPr/>
      </xdr:nvCxnSpPr>
      <xdr:spPr>
        <a:xfrm>
          <a:off x="16740377" y="6291863"/>
          <a:ext cx="5765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81638</xdr:colOff>
      <xdr:row>11</xdr:row>
      <xdr:rowOff>169534</xdr:rowOff>
    </xdr:from>
    <xdr:to>
      <xdr:col>20</xdr:col>
      <xdr:colOff>585586</xdr:colOff>
      <xdr:row>11</xdr:row>
      <xdr:rowOff>170691</xdr:rowOff>
    </xdr:to>
    <xdr:cxnSp macro="">
      <xdr:nvCxnSpPr>
        <xdr:cNvPr id="201" name="Straight Connector 200">
          <a:extLst>
            <a:ext uri="{FF2B5EF4-FFF2-40B4-BE49-F238E27FC236}">
              <a16:creationId xmlns:a16="http://schemas.microsoft.com/office/drawing/2014/main" id="{96A8E671-A3AD-498C-940D-E99884583D96}"/>
            </a:ext>
          </a:extLst>
        </xdr:cNvPr>
        <xdr:cNvCxnSpPr/>
      </xdr:nvCxnSpPr>
      <xdr:spPr>
        <a:xfrm flipV="1">
          <a:off x="11873588" y="217613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74332</xdr:colOff>
      <xdr:row>64</xdr:row>
      <xdr:rowOff>159393</xdr:rowOff>
    </xdr:from>
    <xdr:to>
      <xdr:col>25</xdr:col>
      <xdr:colOff>714412</xdr:colOff>
      <xdr:row>64</xdr:row>
      <xdr:rowOff>159393</xdr:rowOff>
    </xdr:to>
    <xdr:cxnSp macro="">
      <xdr:nvCxnSpPr>
        <xdr:cNvPr id="202" name="Straight Connector 201">
          <a:extLst>
            <a:ext uri="{FF2B5EF4-FFF2-40B4-BE49-F238E27FC236}">
              <a16:creationId xmlns:a16="http://schemas.microsoft.com/office/drawing/2014/main" id="{1ADE644D-9093-4EAE-9475-F4D664D96658}"/>
            </a:ext>
          </a:extLst>
        </xdr:cNvPr>
        <xdr:cNvCxnSpPr/>
      </xdr:nvCxnSpPr>
      <xdr:spPr>
        <a:xfrm>
          <a:off x="15981082" y="11398893"/>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55843</xdr:colOff>
      <xdr:row>26</xdr:row>
      <xdr:rowOff>139492</xdr:rowOff>
    </xdr:from>
    <xdr:to>
      <xdr:col>4</xdr:col>
      <xdr:colOff>541946</xdr:colOff>
      <xdr:row>26</xdr:row>
      <xdr:rowOff>139492</xdr:rowOff>
    </xdr:to>
    <xdr:cxnSp macro="">
      <xdr:nvCxnSpPr>
        <xdr:cNvPr id="203" name="Straight Connector 202">
          <a:extLst>
            <a:ext uri="{FF2B5EF4-FFF2-40B4-BE49-F238E27FC236}">
              <a16:creationId xmlns:a16="http://schemas.microsoft.com/office/drawing/2014/main" id="{E5F94F65-CC5F-4AE0-BE1D-0ED074BCF888}"/>
            </a:ext>
          </a:extLst>
        </xdr:cNvPr>
        <xdr:cNvCxnSpPr/>
      </xdr:nvCxnSpPr>
      <xdr:spPr>
        <a:xfrm>
          <a:off x="2773643" y="4781342"/>
          <a:ext cx="486103"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55843</xdr:colOff>
      <xdr:row>32</xdr:row>
      <xdr:rowOff>169413</xdr:rowOff>
    </xdr:from>
    <xdr:to>
      <xdr:col>4</xdr:col>
      <xdr:colOff>541946</xdr:colOff>
      <xdr:row>32</xdr:row>
      <xdr:rowOff>169413</xdr:rowOff>
    </xdr:to>
    <xdr:cxnSp macro="">
      <xdr:nvCxnSpPr>
        <xdr:cNvPr id="204" name="Straight Connector 203">
          <a:extLst>
            <a:ext uri="{FF2B5EF4-FFF2-40B4-BE49-F238E27FC236}">
              <a16:creationId xmlns:a16="http://schemas.microsoft.com/office/drawing/2014/main" id="{23BCECAD-1212-4B96-9132-B7C6DC540A9D}"/>
            </a:ext>
          </a:extLst>
        </xdr:cNvPr>
        <xdr:cNvCxnSpPr/>
      </xdr:nvCxnSpPr>
      <xdr:spPr>
        <a:xfrm>
          <a:off x="2773643" y="5928863"/>
          <a:ext cx="486103"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55843</xdr:colOff>
      <xdr:row>33</xdr:row>
      <xdr:rowOff>167269</xdr:rowOff>
    </xdr:from>
    <xdr:to>
      <xdr:col>4</xdr:col>
      <xdr:colOff>541946</xdr:colOff>
      <xdr:row>33</xdr:row>
      <xdr:rowOff>167269</xdr:rowOff>
    </xdr:to>
    <xdr:cxnSp macro="">
      <xdr:nvCxnSpPr>
        <xdr:cNvPr id="205" name="Straight Connector 204">
          <a:extLst>
            <a:ext uri="{FF2B5EF4-FFF2-40B4-BE49-F238E27FC236}">
              <a16:creationId xmlns:a16="http://schemas.microsoft.com/office/drawing/2014/main" id="{D1404E23-4B7B-4EE3-9A2F-8C36BFAEF6C6}"/>
            </a:ext>
          </a:extLst>
        </xdr:cNvPr>
        <xdr:cNvCxnSpPr/>
      </xdr:nvCxnSpPr>
      <xdr:spPr>
        <a:xfrm>
          <a:off x="2773643" y="6110869"/>
          <a:ext cx="486103"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25099</xdr:colOff>
      <xdr:row>38</xdr:row>
      <xdr:rowOff>175830</xdr:rowOff>
    </xdr:from>
    <xdr:to>
      <xdr:col>2</xdr:col>
      <xdr:colOff>665179</xdr:colOff>
      <xdr:row>38</xdr:row>
      <xdr:rowOff>175830</xdr:rowOff>
    </xdr:to>
    <xdr:cxnSp macro="">
      <xdr:nvCxnSpPr>
        <xdr:cNvPr id="206" name="Straight Connector 205">
          <a:extLst>
            <a:ext uri="{FF2B5EF4-FFF2-40B4-BE49-F238E27FC236}">
              <a16:creationId xmlns:a16="http://schemas.microsoft.com/office/drawing/2014/main" id="{B05E0E8F-EF5B-4849-BEEF-C5A65277D45D}"/>
            </a:ext>
          </a:extLst>
        </xdr:cNvPr>
        <xdr:cNvCxnSpPr/>
      </xdr:nvCxnSpPr>
      <xdr:spPr>
        <a:xfrm>
          <a:off x="1244299" y="6900480"/>
          <a:ext cx="58293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26112</xdr:colOff>
      <xdr:row>38</xdr:row>
      <xdr:rowOff>170983</xdr:rowOff>
    </xdr:from>
    <xdr:to>
      <xdr:col>3</xdr:col>
      <xdr:colOff>848540</xdr:colOff>
      <xdr:row>38</xdr:row>
      <xdr:rowOff>170983</xdr:rowOff>
    </xdr:to>
    <xdr:cxnSp macro="">
      <xdr:nvCxnSpPr>
        <xdr:cNvPr id="207" name="Straight Connector 206">
          <a:extLst>
            <a:ext uri="{FF2B5EF4-FFF2-40B4-BE49-F238E27FC236}">
              <a16:creationId xmlns:a16="http://schemas.microsoft.com/office/drawing/2014/main" id="{8122E367-FA0F-4124-AEBD-57D740985BD9}"/>
            </a:ext>
          </a:extLst>
        </xdr:cNvPr>
        <xdr:cNvCxnSpPr/>
      </xdr:nvCxnSpPr>
      <xdr:spPr>
        <a:xfrm>
          <a:off x="1854912" y="6895633"/>
          <a:ext cx="822428"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22202</xdr:colOff>
      <xdr:row>38</xdr:row>
      <xdr:rowOff>170983</xdr:rowOff>
    </xdr:from>
    <xdr:to>
      <xdr:col>4</xdr:col>
      <xdr:colOff>589130</xdr:colOff>
      <xdr:row>38</xdr:row>
      <xdr:rowOff>170983</xdr:rowOff>
    </xdr:to>
    <xdr:cxnSp macro="">
      <xdr:nvCxnSpPr>
        <xdr:cNvPr id="208" name="Straight Connector 207">
          <a:extLst>
            <a:ext uri="{FF2B5EF4-FFF2-40B4-BE49-F238E27FC236}">
              <a16:creationId xmlns:a16="http://schemas.microsoft.com/office/drawing/2014/main" id="{33B913BC-92ED-48F8-9BC6-09467EDBCB1C}"/>
            </a:ext>
          </a:extLst>
        </xdr:cNvPr>
        <xdr:cNvCxnSpPr/>
      </xdr:nvCxnSpPr>
      <xdr:spPr>
        <a:xfrm>
          <a:off x="2740002" y="6895633"/>
          <a:ext cx="516128"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30719</xdr:colOff>
      <xdr:row>65</xdr:row>
      <xdr:rowOff>145082</xdr:rowOff>
    </xdr:from>
    <xdr:to>
      <xdr:col>2</xdr:col>
      <xdr:colOff>670799</xdr:colOff>
      <xdr:row>65</xdr:row>
      <xdr:rowOff>145082</xdr:rowOff>
    </xdr:to>
    <xdr:cxnSp macro="">
      <xdr:nvCxnSpPr>
        <xdr:cNvPr id="209" name="Straight Connector 208">
          <a:extLst>
            <a:ext uri="{FF2B5EF4-FFF2-40B4-BE49-F238E27FC236}">
              <a16:creationId xmlns:a16="http://schemas.microsoft.com/office/drawing/2014/main" id="{3EF9507F-83B4-41EC-BF13-ED2FA67C4396}"/>
            </a:ext>
          </a:extLst>
        </xdr:cNvPr>
        <xdr:cNvCxnSpPr/>
      </xdr:nvCxnSpPr>
      <xdr:spPr>
        <a:xfrm>
          <a:off x="1249919" y="11568732"/>
          <a:ext cx="5765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26112</xdr:colOff>
      <xdr:row>65</xdr:row>
      <xdr:rowOff>145082</xdr:rowOff>
    </xdr:from>
    <xdr:to>
      <xdr:col>3</xdr:col>
      <xdr:colOff>846666</xdr:colOff>
      <xdr:row>65</xdr:row>
      <xdr:rowOff>145082</xdr:rowOff>
    </xdr:to>
    <xdr:cxnSp macro="">
      <xdr:nvCxnSpPr>
        <xdr:cNvPr id="210" name="Straight Connector 209">
          <a:extLst>
            <a:ext uri="{FF2B5EF4-FFF2-40B4-BE49-F238E27FC236}">
              <a16:creationId xmlns:a16="http://schemas.microsoft.com/office/drawing/2014/main" id="{61E27698-DF04-42AB-9E0A-918D9983545F}"/>
            </a:ext>
          </a:extLst>
        </xdr:cNvPr>
        <xdr:cNvCxnSpPr/>
      </xdr:nvCxnSpPr>
      <xdr:spPr>
        <a:xfrm>
          <a:off x="1858541" y="11460177"/>
          <a:ext cx="820554"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22202</xdr:colOff>
      <xdr:row>65</xdr:row>
      <xdr:rowOff>145082</xdr:rowOff>
    </xdr:from>
    <xdr:to>
      <xdr:col>4</xdr:col>
      <xdr:colOff>589130</xdr:colOff>
      <xdr:row>65</xdr:row>
      <xdr:rowOff>145082</xdr:rowOff>
    </xdr:to>
    <xdr:cxnSp macro="">
      <xdr:nvCxnSpPr>
        <xdr:cNvPr id="211" name="Straight Connector 210">
          <a:extLst>
            <a:ext uri="{FF2B5EF4-FFF2-40B4-BE49-F238E27FC236}">
              <a16:creationId xmlns:a16="http://schemas.microsoft.com/office/drawing/2014/main" id="{6373D62B-19B6-4346-A5E7-C50008CFCCEE}"/>
            </a:ext>
          </a:extLst>
        </xdr:cNvPr>
        <xdr:cNvCxnSpPr/>
      </xdr:nvCxnSpPr>
      <xdr:spPr>
        <a:xfrm>
          <a:off x="2740002" y="11568732"/>
          <a:ext cx="516128"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81981</xdr:colOff>
      <xdr:row>11</xdr:row>
      <xdr:rowOff>169534</xdr:rowOff>
    </xdr:from>
    <xdr:to>
      <xdr:col>10</xdr:col>
      <xdr:colOff>585928</xdr:colOff>
      <xdr:row>11</xdr:row>
      <xdr:rowOff>170691</xdr:rowOff>
    </xdr:to>
    <xdr:cxnSp macro="">
      <xdr:nvCxnSpPr>
        <xdr:cNvPr id="212" name="Straight Connector 211">
          <a:extLst>
            <a:ext uri="{FF2B5EF4-FFF2-40B4-BE49-F238E27FC236}">
              <a16:creationId xmlns:a16="http://schemas.microsoft.com/office/drawing/2014/main" id="{2E89A71D-EEF9-4242-AAAF-7C95C6B3F02D}"/>
            </a:ext>
          </a:extLst>
        </xdr:cNvPr>
        <xdr:cNvCxnSpPr/>
      </xdr:nvCxnSpPr>
      <xdr:spPr>
        <a:xfrm flipV="1">
          <a:off x="5777931" y="2176134"/>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84473</xdr:colOff>
      <xdr:row>11</xdr:row>
      <xdr:rowOff>169534</xdr:rowOff>
    </xdr:from>
    <xdr:to>
      <xdr:col>12</xdr:col>
      <xdr:colOff>588420</xdr:colOff>
      <xdr:row>11</xdr:row>
      <xdr:rowOff>170691</xdr:rowOff>
    </xdr:to>
    <xdr:cxnSp macro="">
      <xdr:nvCxnSpPr>
        <xdr:cNvPr id="213" name="Straight Connector 212">
          <a:extLst>
            <a:ext uri="{FF2B5EF4-FFF2-40B4-BE49-F238E27FC236}">
              <a16:creationId xmlns:a16="http://schemas.microsoft.com/office/drawing/2014/main" id="{A9C50B39-8BAF-4A2B-9251-45A6EC59A0AF}"/>
            </a:ext>
          </a:extLst>
        </xdr:cNvPr>
        <xdr:cNvCxnSpPr/>
      </xdr:nvCxnSpPr>
      <xdr:spPr>
        <a:xfrm flipV="1">
          <a:off x="6999623" y="2176134"/>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82797</xdr:colOff>
      <xdr:row>11</xdr:row>
      <xdr:rowOff>169534</xdr:rowOff>
    </xdr:from>
    <xdr:to>
      <xdr:col>14</xdr:col>
      <xdr:colOff>586744</xdr:colOff>
      <xdr:row>11</xdr:row>
      <xdr:rowOff>170691</xdr:rowOff>
    </xdr:to>
    <xdr:cxnSp macro="">
      <xdr:nvCxnSpPr>
        <xdr:cNvPr id="214" name="Straight Connector 213">
          <a:extLst>
            <a:ext uri="{FF2B5EF4-FFF2-40B4-BE49-F238E27FC236}">
              <a16:creationId xmlns:a16="http://schemas.microsoft.com/office/drawing/2014/main" id="{EC27B2F1-08DB-45B9-90CD-B825C6A55EB2}"/>
            </a:ext>
          </a:extLst>
        </xdr:cNvPr>
        <xdr:cNvCxnSpPr/>
      </xdr:nvCxnSpPr>
      <xdr:spPr>
        <a:xfrm flipV="1">
          <a:off x="8217147" y="2176134"/>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77421</xdr:colOff>
      <xdr:row>11</xdr:row>
      <xdr:rowOff>169534</xdr:rowOff>
    </xdr:from>
    <xdr:to>
      <xdr:col>16</xdr:col>
      <xdr:colOff>581369</xdr:colOff>
      <xdr:row>11</xdr:row>
      <xdr:rowOff>170691</xdr:rowOff>
    </xdr:to>
    <xdr:cxnSp macro="">
      <xdr:nvCxnSpPr>
        <xdr:cNvPr id="215" name="Straight Connector 214">
          <a:extLst>
            <a:ext uri="{FF2B5EF4-FFF2-40B4-BE49-F238E27FC236}">
              <a16:creationId xmlns:a16="http://schemas.microsoft.com/office/drawing/2014/main" id="{92F8DCC7-18FF-4FE2-8395-179F176C82E0}"/>
            </a:ext>
          </a:extLst>
        </xdr:cNvPr>
        <xdr:cNvCxnSpPr/>
      </xdr:nvCxnSpPr>
      <xdr:spPr>
        <a:xfrm flipV="1">
          <a:off x="9430971" y="217613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81638</xdr:colOff>
      <xdr:row>11</xdr:row>
      <xdr:rowOff>169534</xdr:rowOff>
    </xdr:from>
    <xdr:to>
      <xdr:col>18</xdr:col>
      <xdr:colOff>585586</xdr:colOff>
      <xdr:row>11</xdr:row>
      <xdr:rowOff>170691</xdr:rowOff>
    </xdr:to>
    <xdr:cxnSp macro="">
      <xdr:nvCxnSpPr>
        <xdr:cNvPr id="216" name="Straight Connector 215">
          <a:extLst>
            <a:ext uri="{FF2B5EF4-FFF2-40B4-BE49-F238E27FC236}">
              <a16:creationId xmlns:a16="http://schemas.microsoft.com/office/drawing/2014/main" id="{15B453D7-7B11-42C4-B098-72960E81D265}"/>
            </a:ext>
          </a:extLst>
        </xdr:cNvPr>
        <xdr:cNvCxnSpPr/>
      </xdr:nvCxnSpPr>
      <xdr:spPr>
        <a:xfrm flipV="1">
          <a:off x="10654388" y="217613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81505</xdr:colOff>
      <xdr:row>11</xdr:row>
      <xdr:rowOff>169534</xdr:rowOff>
    </xdr:from>
    <xdr:to>
      <xdr:col>20</xdr:col>
      <xdr:colOff>585453</xdr:colOff>
      <xdr:row>11</xdr:row>
      <xdr:rowOff>170691</xdr:rowOff>
    </xdr:to>
    <xdr:cxnSp macro="">
      <xdr:nvCxnSpPr>
        <xdr:cNvPr id="217" name="Straight Connector 216">
          <a:extLst>
            <a:ext uri="{FF2B5EF4-FFF2-40B4-BE49-F238E27FC236}">
              <a16:creationId xmlns:a16="http://schemas.microsoft.com/office/drawing/2014/main" id="{C52F4AD7-9D98-4B40-9E4F-A11A69513023}"/>
            </a:ext>
          </a:extLst>
        </xdr:cNvPr>
        <xdr:cNvCxnSpPr/>
      </xdr:nvCxnSpPr>
      <xdr:spPr>
        <a:xfrm flipV="1">
          <a:off x="11873455" y="217613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81981</xdr:colOff>
      <xdr:row>13</xdr:row>
      <xdr:rowOff>154837</xdr:rowOff>
    </xdr:from>
    <xdr:to>
      <xdr:col>10</xdr:col>
      <xdr:colOff>585928</xdr:colOff>
      <xdr:row>13</xdr:row>
      <xdr:rowOff>155994</xdr:rowOff>
    </xdr:to>
    <xdr:cxnSp macro="">
      <xdr:nvCxnSpPr>
        <xdr:cNvPr id="218" name="Straight Connector 217">
          <a:extLst>
            <a:ext uri="{FF2B5EF4-FFF2-40B4-BE49-F238E27FC236}">
              <a16:creationId xmlns:a16="http://schemas.microsoft.com/office/drawing/2014/main" id="{876EABCD-78AD-4965-8BDE-0F3C05BC29F3}"/>
            </a:ext>
          </a:extLst>
        </xdr:cNvPr>
        <xdr:cNvCxnSpPr/>
      </xdr:nvCxnSpPr>
      <xdr:spPr>
        <a:xfrm flipV="1">
          <a:off x="5777931" y="253608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84473</xdr:colOff>
      <xdr:row>13</xdr:row>
      <xdr:rowOff>154837</xdr:rowOff>
    </xdr:from>
    <xdr:to>
      <xdr:col>12</xdr:col>
      <xdr:colOff>588420</xdr:colOff>
      <xdr:row>13</xdr:row>
      <xdr:rowOff>155994</xdr:rowOff>
    </xdr:to>
    <xdr:cxnSp macro="">
      <xdr:nvCxnSpPr>
        <xdr:cNvPr id="219" name="Straight Connector 218">
          <a:extLst>
            <a:ext uri="{FF2B5EF4-FFF2-40B4-BE49-F238E27FC236}">
              <a16:creationId xmlns:a16="http://schemas.microsoft.com/office/drawing/2014/main" id="{A90F9D7F-E1C1-443B-94A5-2E00C12590E0}"/>
            </a:ext>
          </a:extLst>
        </xdr:cNvPr>
        <xdr:cNvCxnSpPr/>
      </xdr:nvCxnSpPr>
      <xdr:spPr>
        <a:xfrm flipV="1">
          <a:off x="6999623" y="253608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82797</xdr:colOff>
      <xdr:row>13</xdr:row>
      <xdr:rowOff>154837</xdr:rowOff>
    </xdr:from>
    <xdr:to>
      <xdr:col>14</xdr:col>
      <xdr:colOff>586744</xdr:colOff>
      <xdr:row>13</xdr:row>
      <xdr:rowOff>155994</xdr:rowOff>
    </xdr:to>
    <xdr:cxnSp macro="">
      <xdr:nvCxnSpPr>
        <xdr:cNvPr id="220" name="Straight Connector 219">
          <a:extLst>
            <a:ext uri="{FF2B5EF4-FFF2-40B4-BE49-F238E27FC236}">
              <a16:creationId xmlns:a16="http://schemas.microsoft.com/office/drawing/2014/main" id="{35C44209-A558-4CA8-8E36-CD62D2DC0B23}"/>
            </a:ext>
          </a:extLst>
        </xdr:cNvPr>
        <xdr:cNvCxnSpPr/>
      </xdr:nvCxnSpPr>
      <xdr:spPr>
        <a:xfrm flipV="1">
          <a:off x="8217147" y="253608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92541</xdr:colOff>
      <xdr:row>13</xdr:row>
      <xdr:rowOff>154837</xdr:rowOff>
    </xdr:from>
    <xdr:to>
      <xdr:col>16</xdr:col>
      <xdr:colOff>596489</xdr:colOff>
      <xdr:row>13</xdr:row>
      <xdr:rowOff>155994</xdr:rowOff>
    </xdr:to>
    <xdr:cxnSp macro="">
      <xdr:nvCxnSpPr>
        <xdr:cNvPr id="221" name="Straight Connector 220">
          <a:extLst>
            <a:ext uri="{FF2B5EF4-FFF2-40B4-BE49-F238E27FC236}">
              <a16:creationId xmlns:a16="http://schemas.microsoft.com/office/drawing/2014/main" id="{2F5C8564-EB81-40A1-A2A9-F1330C8155D8}"/>
            </a:ext>
          </a:extLst>
        </xdr:cNvPr>
        <xdr:cNvCxnSpPr/>
      </xdr:nvCxnSpPr>
      <xdr:spPr>
        <a:xfrm flipV="1">
          <a:off x="9446091" y="2536087"/>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81638</xdr:colOff>
      <xdr:row>13</xdr:row>
      <xdr:rowOff>154837</xdr:rowOff>
    </xdr:from>
    <xdr:to>
      <xdr:col>18</xdr:col>
      <xdr:colOff>585586</xdr:colOff>
      <xdr:row>13</xdr:row>
      <xdr:rowOff>155994</xdr:rowOff>
    </xdr:to>
    <xdr:cxnSp macro="">
      <xdr:nvCxnSpPr>
        <xdr:cNvPr id="222" name="Straight Connector 221">
          <a:extLst>
            <a:ext uri="{FF2B5EF4-FFF2-40B4-BE49-F238E27FC236}">
              <a16:creationId xmlns:a16="http://schemas.microsoft.com/office/drawing/2014/main" id="{2A04C566-9A82-44FB-B59C-3CA5072D969A}"/>
            </a:ext>
          </a:extLst>
        </xdr:cNvPr>
        <xdr:cNvCxnSpPr/>
      </xdr:nvCxnSpPr>
      <xdr:spPr>
        <a:xfrm flipV="1">
          <a:off x="10654388" y="2536087"/>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81505</xdr:colOff>
      <xdr:row>13</xdr:row>
      <xdr:rowOff>154837</xdr:rowOff>
    </xdr:from>
    <xdr:to>
      <xdr:col>20</xdr:col>
      <xdr:colOff>585453</xdr:colOff>
      <xdr:row>13</xdr:row>
      <xdr:rowOff>155994</xdr:rowOff>
    </xdr:to>
    <xdr:cxnSp macro="">
      <xdr:nvCxnSpPr>
        <xdr:cNvPr id="223" name="Straight Connector 222">
          <a:extLst>
            <a:ext uri="{FF2B5EF4-FFF2-40B4-BE49-F238E27FC236}">
              <a16:creationId xmlns:a16="http://schemas.microsoft.com/office/drawing/2014/main" id="{8EA97BB9-DFB7-4520-B8DF-94229C1A35CA}"/>
            </a:ext>
          </a:extLst>
        </xdr:cNvPr>
        <xdr:cNvCxnSpPr/>
      </xdr:nvCxnSpPr>
      <xdr:spPr>
        <a:xfrm flipV="1">
          <a:off x="11873455" y="2536087"/>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81981</xdr:colOff>
      <xdr:row>16</xdr:row>
      <xdr:rowOff>158334</xdr:rowOff>
    </xdr:from>
    <xdr:to>
      <xdr:col>10</xdr:col>
      <xdr:colOff>585928</xdr:colOff>
      <xdr:row>16</xdr:row>
      <xdr:rowOff>159491</xdr:rowOff>
    </xdr:to>
    <xdr:cxnSp macro="">
      <xdr:nvCxnSpPr>
        <xdr:cNvPr id="224" name="Straight Connector 223">
          <a:extLst>
            <a:ext uri="{FF2B5EF4-FFF2-40B4-BE49-F238E27FC236}">
              <a16:creationId xmlns:a16="http://schemas.microsoft.com/office/drawing/2014/main" id="{BCE29A64-2641-40C5-A8FD-E472E08CB819}"/>
            </a:ext>
          </a:extLst>
        </xdr:cNvPr>
        <xdr:cNvCxnSpPr/>
      </xdr:nvCxnSpPr>
      <xdr:spPr>
        <a:xfrm flipV="1">
          <a:off x="5777931" y="3092034"/>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84473</xdr:colOff>
      <xdr:row>16</xdr:row>
      <xdr:rowOff>158334</xdr:rowOff>
    </xdr:from>
    <xdr:to>
      <xdr:col>12</xdr:col>
      <xdr:colOff>588420</xdr:colOff>
      <xdr:row>16</xdr:row>
      <xdr:rowOff>159491</xdr:rowOff>
    </xdr:to>
    <xdr:cxnSp macro="">
      <xdr:nvCxnSpPr>
        <xdr:cNvPr id="225" name="Straight Connector 224">
          <a:extLst>
            <a:ext uri="{FF2B5EF4-FFF2-40B4-BE49-F238E27FC236}">
              <a16:creationId xmlns:a16="http://schemas.microsoft.com/office/drawing/2014/main" id="{EB3EC954-CD2F-4BD4-AAC8-9CC0CB4FCCE7}"/>
            </a:ext>
          </a:extLst>
        </xdr:cNvPr>
        <xdr:cNvCxnSpPr/>
      </xdr:nvCxnSpPr>
      <xdr:spPr>
        <a:xfrm flipV="1">
          <a:off x="6999623" y="3092034"/>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82797</xdr:colOff>
      <xdr:row>16</xdr:row>
      <xdr:rowOff>158334</xdr:rowOff>
    </xdr:from>
    <xdr:to>
      <xdr:col>14</xdr:col>
      <xdr:colOff>586744</xdr:colOff>
      <xdr:row>16</xdr:row>
      <xdr:rowOff>159491</xdr:rowOff>
    </xdr:to>
    <xdr:cxnSp macro="">
      <xdr:nvCxnSpPr>
        <xdr:cNvPr id="226" name="Straight Connector 225">
          <a:extLst>
            <a:ext uri="{FF2B5EF4-FFF2-40B4-BE49-F238E27FC236}">
              <a16:creationId xmlns:a16="http://schemas.microsoft.com/office/drawing/2014/main" id="{0DAF8226-88AF-46A0-9393-EDD0C6767BBA}"/>
            </a:ext>
          </a:extLst>
        </xdr:cNvPr>
        <xdr:cNvCxnSpPr/>
      </xdr:nvCxnSpPr>
      <xdr:spPr>
        <a:xfrm flipV="1">
          <a:off x="8217147" y="3092034"/>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75886</xdr:colOff>
      <xdr:row>16</xdr:row>
      <xdr:rowOff>158334</xdr:rowOff>
    </xdr:from>
    <xdr:to>
      <xdr:col>16</xdr:col>
      <xdr:colOff>579834</xdr:colOff>
      <xdr:row>16</xdr:row>
      <xdr:rowOff>159491</xdr:rowOff>
    </xdr:to>
    <xdr:cxnSp macro="">
      <xdr:nvCxnSpPr>
        <xdr:cNvPr id="227" name="Straight Connector 226">
          <a:extLst>
            <a:ext uri="{FF2B5EF4-FFF2-40B4-BE49-F238E27FC236}">
              <a16:creationId xmlns:a16="http://schemas.microsoft.com/office/drawing/2014/main" id="{29CC8116-8041-4CD7-B782-D8A4C89A9937}"/>
            </a:ext>
          </a:extLst>
        </xdr:cNvPr>
        <xdr:cNvCxnSpPr/>
      </xdr:nvCxnSpPr>
      <xdr:spPr>
        <a:xfrm flipV="1">
          <a:off x="9429436" y="309203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81638</xdr:colOff>
      <xdr:row>16</xdr:row>
      <xdr:rowOff>158334</xdr:rowOff>
    </xdr:from>
    <xdr:to>
      <xdr:col>18</xdr:col>
      <xdr:colOff>585586</xdr:colOff>
      <xdr:row>16</xdr:row>
      <xdr:rowOff>159491</xdr:rowOff>
    </xdr:to>
    <xdr:cxnSp macro="">
      <xdr:nvCxnSpPr>
        <xdr:cNvPr id="228" name="Straight Connector 227">
          <a:extLst>
            <a:ext uri="{FF2B5EF4-FFF2-40B4-BE49-F238E27FC236}">
              <a16:creationId xmlns:a16="http://schemas.microsoft.com/office/drawing/2014/main" id="{03FDD7E7-32DC-4CE2-89AF-59B399B6E85F}"/>
            </a:ext>
          </a:extLst>
        </xdr:cNvPr>
        <xdr:cNvCxnSpPr/>
      </xdr:nvCxnSpPr>
      <xdr:spPr>
        <a:xfrm flipV="1">
          <a:off x="10654388" y="309203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81505</xdr:colOff>
      <xdr:row>16</xdr:row>
      <xdr:rowOff>158334</xdr:rowOff>
    </xdr:from>
    <xdr:to>
      <xdr:col>20</xdr:col>
      <xdr:colOff>585453</xdr:colOff>
      <xdr:row>16</xdr:row>
      <xdr:rowOff>159491</xdr:rowOff>
    </xdr:to>
    <xdr:cxnSp macro="">
      <xdr:nvCxnSpPr>
        <xdr:cNvPr id="229" name="Straight Connector 228">
          <a:extLst>
            <a:ext uri="{FF2B5EF4-FFF2-40B4-BE49-F238E27FC236}">
              <a16:creationId xmlns:a16="http://schemas.microsoft.com/office/drawing/2014/main" id="{13DE25F3-D6F7-40F1-8462-2CD356A647B5}"/>
            </a:ext>
          </a:extLst>
        </xdr:cNvPr>
        <xdr:cNvCxnSpPr/>
      </xdr:nvCxnSpPr>
      <xdr:spPr>
        <a:xfrm flipV="1">
          <a:off x="11873455" y="309203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81981</xdr:colOff>
      <xdr:row>18</xdr:row>
      <xdr:rowOff>166215</xdr:rowOff>
    </xdr:from>
    <xdr:to>
      <xdr:col>10</xdr:col>
      <xdr:colOff>585928</xdr:colOff>
      <xdr:row>18</xdr:row>
      <xdr:rowOff>167372</xdr:rowOff>
    </xdr:to>
    <xdr:cxnSp macro="">
      <xdr:nvCxnSpPr>
        <xdr:cNvPr id="230" name="Straight Connector 229">
          <a:extLst>
            <a:ext uri="{FF2B5EF4-FFF2-40B4-BE49-F238E27FC236}">
              <a16:creationId xmlns:a16="http://schemas.microsoft.com/office/drawing/2014/main" id="{13424AEF-FF87-4D17-A244-9C9A74AE998D}"/>
            </a:ext>
          </a:extLst>
        </xdr:cNvPr>
        <xdr:cNvCxnSpPr/>
      </xdr:nvCxnSpPr>
      <xdr:spPr>
        <a:xfrm flipV="1">
          <a:off x="5777931" y="346821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84473</xdr:colOff>
      <xdr:row>18</xdr:row>
      <xdr:rowOff>166215</xdr:rowOff>
    </xdr:from>
    <xdr:to>
      <xdr:col>12</xdr:col>
      <xdr:colOff>588420</xdr:colOff>
      <xdr:row>18</xdr:row>
      <xdr:rowOff>167372</xdr:rowOff>
    </xdr:to>
    <xdr:cxnSp macro="">
      <xdr:nvCxnSpPr>
        <xdr:cNvPr id="231" name="Straight Connector 230">
          <a:extLst>
            <a:ext uri="{FF2B5EF4-FFF2-40B4-BE49-F238E27FC236}">
              <a16:creationId xmlns:a16="http://schemas.microsoft.com/office/drawing/2014/main" id="{6DC64388-5663-4350-94EB-FE045B375047}"/>
            </a:ext>
          </a:extLst>
        </xdr:cNvPr>
        <xdr:cNvCxnSpPr/>
      </xdr:nvCxnSpPr>
      <xdr:spPr>
        <a:xfrm flipV="1">
          <a:off x="6999623" y="346821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82797</xdr:colOff>
      <xdr:row>18</xdr:row>
      <xdr:rowOff>166215</xdr:rowOff>
    </xdr:from>
    <xdr:to>
      <xdr:col>14</xdr:col>
      <xdr:colOff>586744</xdr:colOff>
      <xdr:row>18</xdr:row>
      <xdr:rowOff>167372</xdr:rowOff>
    </xdr:to>
    <xdr:cxnSp macro="">
      <xdr:nvCxnSpPr>
        <xdr:cNvPr id="232" name="Straight Connector 231">
          <a:extLst>
            <a:ext uri="{FF2B5EF4-FFF2-40B4-BE49-F238E27FC236}">
              <a16:creationId xmlns:a16="http://schemas.microsoft.com/office/drawing/2014/main" id="{15365175-60E2-4C45-8980-09941ED3855C}"/>
            </a:ext>
          </a:extLst>
        </xdr:cNvPr>
        <xdr:cNvCxnSpPr/>
      </xdr:nvCxnSpPr>
      <xdr:spPr>
        <a:xfrm flipV="1">
          <a:off x="8217147" y="346821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92941</xdr:colOff>
      <xdr:row>18</xdr:row>
      <xdr:rowOff>166215</xdr:rowOff>
    </xdr:from>
    <xdr:to>
      <xdr:col>16</xdr:col>
      <xdr:colOff>596889</xdr:colOff>
      <xdr:row>18</xdr:row>
      <xdr:rowOff>167372</xdr:rowOff>
    </xdr:to>
    <xdr:cxnSp macro="">
      <xdr:nvCxnSpPr>
        <xdr:cNvPr id="233" name="Straight Connector 232">
          <a:extLst>
            <a:ext uri="{FF2B5EF4-FFF2-40B4-BE49-F238E27FC236}">
              <a16:creationId xmlns:a16="http://schemas.microsoft.com/office/drawing/2014/main" id="{CB69434C-533E-49AB-BF11-59A042B08066}"/>
            </a:ext>
          </a:extLst>
        </xdr:cNvPr>
        <xdr:cNvCxnSpPr/>
      </xdr:nvCxnSpPr>
      <xdr:spPr>
        <a:xfrm flipV="1">
          <a:off x="9446491" y="3468215"/>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81638</xdr:colOff>
      <xdr:row>18</xdr:row>
      <xdr:rowOff>166215</xdr:rowOff>
    </xdr:from>
    <xdr:to>
      <xdr:col>18</xdr:col>
      <xdr:colOff>585586</xdr:colOff>
      <xdr:row>18</xdr:row>
      <xdr:rowOff>167372</xdr:rowOff>
    </xdr:to>
    <xdr:cxnSp macro="">
      <xdr:nvCxnSpPr>
        <xdr:cNvPr id="234" name="Straight Connector 233">
          <a:extLst>
            <a:ext uri="{FF2B5EF4-FFF2-40B4-BE49-F238E27FC236}">
              <a16:creationId xmlns:a16="http://schemas.microsoft.com/office/drawing/2014/main" id="{D6D39EA4-7870-4C7D-9014-0EDCDDB81BD0}"/>
            </a:ext>
          </a:extLst>
        </xdr:cNvPr>
        <xdr:cNvCxnSpPr/>
      </xdr:nvCxnSpPr>
      <xdr:spPr>
        <a:xfrm flipV="1">
          <a:off x="10654388" y="3468215"/>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81505</xdr:colOff>
      <xdr:row>18</xdr:row>
      <xdr:rowOff>166215</xdr:rowOff>
    </xdr:from>
    <xdr:to>
      <xdr:col>20</xdr:col>
      <xdr:colOff>585453</xdr:colOff>
      <xdr:row>18</xdr:row>
      <xdr:rowOff>167372</xdr:rowOff>
    </xdr:to>
    <xdr:cxnSp macro="">
      <xdr:nvCxnSpPr>
        <xdr:cNvPr id="235" name="Straight Connector 234">
          <a:extLst>
            <a:ext uri="{FF2B5EF4-FFF2-40B4-BE49-F238E27FC236}">
              <a16:creationId xmlns:a16="http://schemas.microsoft.com/office/drawing/2014/main" id="{4B717A9A-BB1E-4291-931E-353D78C3AD38}"/>
            </a:ext>
          </a:extLst>
        </xdr:cNvPr>
        <xdr:cNvCxnSpPr/>
      </xdr:nvCxnSpPr>
      <xdr:spPr>
        <a:xfrm flipV="1">
          <a:off x="11873455" y="3468215"/>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96981</xdr:colOff>
      <xdr:row>23</xdr:row>
      <xdr:rowOff>152197</xdr:rowOff>
    </xdr:from>
    <xdr:to>
      <xdr:col>10</xdr:col>
      <xdr:colOff>600928</xdr:colOff>
      <xdr:row>23</xdr:row>
      <xdr:rowOff>153354</xdr:rowOff>
    </xdr:to>
    <xdr:cxnSp macro="">
      <xdr:nvCxnSpPr>
        <xdr:cNvPr id="236" name="Straight Connector 235">
          <a:extLst>
            <a:ext uri="{FF2B5EF4-FFF2-40B4-BE49-F238E27FC236}">
              <a16:creationId xmlns:a16="http://schemas.microsoft.com/office/drawing/2014/main" id="{7CB35AF5-ED8B-4113-9F2A-DCEB2500E1D0}"/>
            </a:ext>
          </a:extLst>
        </xdr:cNvPr>
        <xdr:cNvCxnSpPr/>
      </xdr:nvCxnSpPr>
      <xdr:spPr>
        <a:xfrm flipV="1">
          <a:off x="5792931" y="424159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99035</xdr:colOff>
      <xdr:row>23</xdr:row>
      <xdr:rowOff>152197</xdr:rowOff>
    </xdr:from>
    <xdr:to>
      <xdr:col>12</xdr:col>
      <xdr:colOff>603858</xdr:colOff>
      <xdr:row>23</xdr:row>
      <xdr:rowOff>153354</xdr:rowOff>
    </xdr:to>
    <xdr:cxnSp macro="">
      <xdr:nvCxnSpPr>
        <xdr:cNvPr id="237" name="Straight Connector 236">
          <a:extLst>
            <a:ext uri="{FF2B5EF4-FFF2-40B4-BE49-F238E27FC236}">
              <a16:creationId xmlns:a16="http://schemas.microsoft.com/office/drawing/2014/main" id="{25D300AB-3498-4600-964C-85896D16C908}"/>
            </a:ext>
          </a:extLst>
        </xdr:cNvPr>
        <xdr:cNvCxnSpPr/>
      </xdr:nvCxnSpPr>
      <xdr:spPr>
        <a:xfrm flipV="1">
          <a:off x="7014185" y="4241597"/>
          <a:ext cx="1114423"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97360</xdr:colOff>
      <xdr:row>23</xdr:row>
      <xdr:rowOff>152197</xdr:rowOff>
    </xdr:from>
    <xdr:to>
      <xdr:col>14</xdr:col>
      <xdr:colOff>602182</xdr:colOff>
      <xdr:row>23</xdr:row>
      <xdr:rowOff>153354</xdr:rowOff>
    </xdr:to>
    <xdr:cxnSp macro="">
      <xdr:nvCxnSpPr>
        <xdr:cNvPr id="238" name="Straight Connector 237">
          <a:extLst>
            <a:ext uri="{FF2B5EF4-FFF2-40B4-BE49-F238E27FC236}">
              <a16:creationId xmlns:a16="http://schemas.microsoft.com/office/drawing/2014/main" id="{822F22BF-8B82-4388-ADB0-2AC3FD9AD0AF}"/>
            </a:ext>
          </a:extLst>
        </xdr:cNvPr>
        <xdr:cNvCxnSpPr/>
      </xdr:nvCxnSpPr>
      <xdr:spPr>
        <a:xfrm flipV="1">
          <a:off x="8231710" y="4241597"/>
          <a:ext cx="1114422"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107963</xdr:colOff>
      <xdr:row>23</xdr:row>
      <xdr:rowOff>152197</xdr:rowOff>
    </xdr:from>
    <xdr:to>
      <xdr:col>17</xdr:col>
      <xdr:colOff>1866</xdr:colOff>
      <xdr:row>23</xdr:row>
      <xdr:rowOff>153354</xdr:rowOff>
    </xdr:to>
    <xdr:cxnSp macro="">
      <xdr:nvCxnSpPr>
        <xdr:cNvPr id="239" name="Straight Connector 238">
          <a:extLst>
            <a:ext uri="{FF2B5EF4-FFF2-40B4-BE49-F238E27FC236}">
              <a16:creationId xmlns:a16="http://schemas.microsoft.com/office/drawing/2014/main" id="{9102841A-2D9B-47A3-A934-1F652E12820A}"/>
            </a:ext>
          </a:extLst>
        </xdr:cNvPr>
        <xdr:cNvCxnSpPr/>
      </xdr:nvCxnSpPr>
      <xdr:spPr>
        <a:xfrm flipV="1">
          <a:off x="9461513" y="4241597"/>
          <a:ext cx="1113103"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96661</xdr:colOff>
      <xdr:row>23</xdr:row>
      <xdr:rowOff>152197</xdr:rowOff>
    </xdr:from>
    <xdr:to>
      <xdr:col>18</xdr:col>
      <xdr:colOff>600563</xdr:colOff>
      <xdr:row>23</xdr:row>
      <xdr:rowOff>153354</xdr:rowOff>
    </xdr:to>
    <xdr:cxnSp macro="">
      <xdr:nvCxnSpPr>
        <xdr:cNvPr id="240" name="Straight Connector 239">
          <a:extLst>
            <a:ext uri="{FF2B5EF4-FFF2-40B4-BE49-F238E27FC236}">
              <a16:creationId xmlns:a16="http://schemas.microsoft.com/office/drawing/2014/main" id="{2AF66D7C-E620-4BDA-BAAF-AD4F09481310}"/>
            </a:ext>
          </a:extLst>
        </xdr:cNvPr>
        <xdr:cNvCxnSpPr/>
      </xdr:nvCxnSpPr>
      <xdr:spPr>
        <a:xfrm flipV="1">
          <a:off x="10669411" y="4241597"/>
          <a:ext cx="1113502"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81527</xdr:colOff>
      <xdr:row>23</xdr:row>
      <xdr:rowOff>152197</xdr:rowOff>
    </xdr:from>
    <xdr:to>
      <xdr:col>20</xdr:col>
      <xdr:colOff>585430</xdr:colOff>
      <xdr:row>23</xdr:row>
      <xdr:rowOff>153354</xdr:rowOff>
    </xdr:to>
    <xdr:cxnSp macro="">
      <xdr:nvCxnSpPr>
        <xdr:cNvPr id="241" name="Straight Connector 240">
          <a:extLst>
            <a:ext uri="{FF2B5EF4-FFF2-40B4-BE49-F238E27FC236}">
              <a16:creationId xmlns:a16="http://schemas.microsoft.com/office/drawing/2014/main" id="{DC6B7877-081A-44F7-A6E7-78772C55D27A}"/>
            </a:ext>
          </a:extLst>
        </xdr:cNvPr>
        <xdr:cNvCxnSpPr/>
      </xdr:nvCxnSpPr>
      <xdr:spPr>
        <a:xfrm flipV="1">
          <a:off x="11873477" y="4241597"/>
          <a:ext cx="1113503"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81981</xdr:colOff>
      <xdr:row>24</xdr:row>
      <xdr:rowOff>191437</xdr:rowOff>
    </xdr:from>
    <xdr:to>
      <xdr:col>10</xdr:col>
      <xdr:colOff>585928</xdr:colOff>
      <xdr:row>24</xdr:row>
      <xdr:rowOff>192594</xdr:rowOff>
    </xdr:to>
    <xdr:cxnSp macro="">
      <xdr:nvCxnSpPr>
        <xdr:cNvPr id="242" name="Straight Connector 241">
          <a:extLst>
            <a:ext uri="{FF2B5EF4-FFF2-40B4-BE49-F238E27FC236}">
              <a16:creationId xmlns:a16="http://schemas.microsoft.com/office/drawing/2014/main" id="{B9E3D47C-7897-4ADF-9426-0DE0E17054FB}"/>
            </a:ext>
          </a:extLst>
        </xdr:cNvPr>
        <xdr:cNvCxnSpPr/>
      </xdr:nvCxnSpPr>
      <xdr:spPr>
        <a:xfrm flipV="1">
          <a:off x="5777931" y="445863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84473</xdr:colOff>
      <xdr:row>24</xdr:row>
      <xdr:rowOff>191437</xdr:rowOff>
    </xdr:from>
    <xdr:to>
      <xdr:col>12</xdr:col>
      <xdr:colOff>588420</xdr:colOff>
      <xdr:row>24</xdr:row>
      <xdr:rowOff>192594</xdr:rowOff>
    </xdr:to>
    <xdr:cxnSp macro="">
      <xdr:nvCxnSpPr>
        <xdr:cNvPr id="243" name="Straight Connector 242">
          <a:extLst>
            <a:ext uri="{FF2B5EF4-FFF2-40B4-BE49-F238E27FC236}">
              <a16:creationId xmlns:a16="http://schemas.microsoft.com/office/drawing/2014/main" id="{AFC0F246-7419-440A-ABFA-9FCDE44504EC}"/>
            </a:ext>
          </a:extLst>
        </xdr:cNvPr>
        <xdr:cNvCxnSpPr/>
      </xdr:nvCxnSpPr>
      <xdr:spPr>
        <a:xfrm flipV="1">
          <a:off x="6999623" y="445863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82797</xdr:colOff>
      <xdr:row>24</xdr:row>
      <xdr:rowOff>191437</xdr:rowOff>
    </xdr:from>
    <xdr:to>
      <xdr:col>14</xdr:col>
      <xdr:colOff>586744</xdr:colOff>
      <xdr:row>24</xdr:row>
      <xdr:rowOff>192594</xdr:rowOff>
    </xdr:to>
    <xdr:cxnSp macro="">
      <xdr:nvCxnSpPr>
        <xdr:cNvPr id="244" name="Straight Connector 243">
          <a:extLst>
            <a:ext uri="{FF2B5EF4-FFF2-40B4-BE49-F238E27FC236}">
              <a16:creationId xmlns:a16="http://schemas.microsoft.com/office/drawing/2014/main" id="{B290F1AC-3544-42CC-AA56-DBB9CB45BD09}"/>
            </a:ext>
          </a:extLst>
        </xdr:cNvPr>
        <xdr:cNvCxnSpPr/>
      </xdr:nvCxnSpPr>
      <xdr:spPr>
        <a:xfrm flipV="1">
          <a:off x="8217147" y="445863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92941</xdr:colOff>
      <xdr:row>24</xdr:row>
      <xdr:rowOff>191437</xdr:rowOff>
    </xdr:from>
    <xdr:to>
      <xdr:col>16</xdr:col>
      <xdr:colOff>596889</xdr:colOff>
      <xdr:row>24</xdr:row>
      <xdr:rowOff>192594</xdr:rowOff>
    </xdr:to>
    <xdr:cxnSp macro="">
      <xdr:nvCxnSpPr>
        <xdr:cNvPr id="245" name="Straight Connector 244">
          <a:extLst>
            <a:ext uri="{FF2B5EF4-FFF2-40B4-BE49-F238E27FC236}">
              <a16:creationId xmlns:a16="http://schemas.microsoft.com/office/drawing/2014/main" id="{F43A38B3-BCBA-4073-8D2E-559BB66A27AF}"/>
            </a:ext>
          </a:extLst>
        </xdr:cNvPr>
        <xdr:cNvCxnSpPr/>
      </xdr:nvCxnSpPr>
      <xdr:spPr>
        <a:xfrm flipV="1">
          <a:off x="9446491" y="4458637"/>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81638</xdr:colOff>
      <xdr:row>24</xdr:row>
      <xdr:rowOff>191437</xdr:rowOff>
    </xdr:from>
    <xdr:to>
      <xdr:col>18</xdr:col>
      <xdr:colOff>585586</xdr:colOff>
      <xdr:row>24</xdr:row>
      <xdr:rowOff>192594</xdr:rowOff>
    </xdr:to>
    <xdr:cxnSp macro="">
      <xdr:nvCxnSpPr>
        <xdr:cNvPr id="246" name="Straight Connector 245">
          <a:extLst>
            <a:ext uri="{FF2B5EF4-FFF2-40B4-BE49-F238E27FC236}">
              <a16:creationId xmlns:a16="http://schemas.microsoft.com/office/drawing/2014/main" id="{2918AECB-4A1E-4E08-A9CE-F1CA99386ECC}"/>
            </a:ext>
          </a:extLst>
        </xdr:cNvPr>
        <xdr:cNvCxnSpPr/>
      </xdr:nvCxnSpPr>
      <xdr:spPr>
        <a:xfrm flipV="1">
          <a:off x="10654388" y="4458637"/>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81505</xdr:colOff>
      <xdr:row>24</xdr:row>
      <xdr:rowOff>191437</xdr:rowOff>
    </xdr:from>
    <xdr:to>
      <xdr:col>20</xdr:col>
      <xdr:colOff>585453</xdr:colOff>
      <xdr:row>24</xdr:row>
      <xdr:rowOff>192594</xdr:rowOff>
    </xdr:to>
    <xdr:cxnSp macro="">
      <xdr:nvCxnSpPr>
        <xdr:cNvPr id="247" name="Straight Connector 246">
          <a:extLst>
            <a:ext uri="{FF2B5EF4-FFF2-40B4-BE49-F238E27FC236}">
              <a16:creationId xmlns:a16="http://schemas.microsoft.com/office/drawing/2014/main" id="{A4CCB262-4EF3-421E-8177-37DA3821EFBD}"/>
            </a:ext>
          </a:extLst>
        </xdr:cNvPr>
        <xdr:cNvCxnSpPr/>
      </xdr:nvCxnSpPr>
      <xdr:spPr>
        <a:xfrm flipV="1">
          <a:off x="11873455" y="4458637"/>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81981</xdr:colOff>
      <xdr:row>25</xdr:row>
      <xdr:rowOff>5545</xdr:rowOff>
    </xdr:from>
    <xdr:to>
      <xdr:col>10</xdr:col>
      <xdr:colOff>585928</xdr:colOff>
      <xdr:row>25</xdr:row>
      <xdr:rowOff>6702</xdr:rowOff>
    </xdr:to>
    <xdr:cxnSp macro="">
      <xdr:nvCxnSpPr>
        <xdr:cNvPr id="248" name="Straight Connector 247">
          <a:extLst>
            <a:ext uri="{FF2B5EF4-FFF2-40B4-BE49-F238E27FC236}">
              <a16:creationId xmlns:a16="http://schemas.microsoft.com/office/drawing/2014/main" id="{B4E898C2-3F5D-41F9-9D13-8CA91E91DAFE}"/>
            </a:ext>
          </a:extLst>
        </xdr:cNvPr>
        <xdr:cNvCxnSpPr/>
      </xdr:nvCxnSpPr>
      <xdr:spPr>
        <a:xfrm flipV="1">
          <a:off x="5777931" y="446324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84473</xdr:colOff>
      <xdr:row>25</xdr:row>
      <xdr:rowOff>5545</xdr:rowOff>
    </xdr:from>
    <xdr:to>
      <xdr:col>12</xdr:col>
      <xdr:colOff>588420</xdr:colOff>
      <xdr:row>25</xdr:row>
      <xdr:rowOff>6702</xdr:rowOff>
    </xdr:to>
    <xdr:cxnSp macro="">
      <xdr:nvCxnSpPr>
        <xdr:cNvPr id="249" name="Straight Connector 248">
          <a:extLst>
            <a:ext uri="{FF2B5EF4-FFF2-40B4-BE49-F238E27FC236}">
              <a16:creationId xmlns:a16="http://schemas.microsoft.com/office/drawing/2014/main" id="{C0EF160A-A2D8-4D95-BBE5-0DDFDC1E498E}"/>
            </a:ext>
          </a:extLst>
        </xdr:cNvPr>
        <xdr:cNvCxnSpPr/>
      </xdr:nvCxnSpPr>
      <xdr:spPr>
        <a:xfrm flipV="1">
          <a:off x="6999623" y="446324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82797</xdr:colOff>
      <xdr:row>25</xdr:row>
      <xdr:rowOff>5545</xdr:rowOff>
    </xdr:from>
    <xdr:to>
      <xdr:col>14</xdr:col>
      <xdr:colOff>586744</xdr:colOff>
      <xdr:row>25</xdr:row>
      <xdr:rowOff>6702</xdr:rowOff>
    </xdr:to>
    <xdr:cxnSp macro="">
      <xdr:nvCxnSpPr>
        <xdr:cNvPr id="250" name="Straight Connector 249">
          <a:extLst>
            <a:ext uri="{FF2B5EF4-FFF2-40B4-BE49-F238E27FC236}">
              <a16:creationId xmlns:a16="http://schemas.microsoft.com/office/drawing/2014/main" id="{9FC08287-BF45-4F9D-A01B-36188C9E87BA}"/>
            </a:ext>
          </a:extLst>
        </xdr:cNvPr>
        <xdr:cNvCxnSpPr/>
      </xdr:nvCxnSpPr>
      <xdr:spPr>
        <a:xfrm flipV="1">
          <a:off x="8217147" y="446324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92941</xdr:colOff>
      <xdr:row>25</xdr:row>
      <xdr:rowOff>5545</xdr:rowOff>
    </xdr:from>
    <xdr:to>
      <xdr:col>16</xdr:col>
      <xdr:colOff>596889</xdr:colOff>
      <xdr:row>25</xdr:row>
      <xdr:rowOff>6702</xdr:rowOff>
    </xdr:to>
    <xdr:cxnSp macro="">
      <xdr:nvCxnSpPr>
        <xdr:cNvPr id="251" name="Straight Connector 250">
          <a:extLst>
            <a:ext uri="{FF2B5EF4-FFF2-40B4-BE49-F238E27FC236}">
              <a16:creationId xmlns:a16="http://schemas.microsoft.com/office/drawing/2014/main" id="{3607970F-7C5D-4045-8E2C-556C54C27AC8}"/>
            </a:ext>
          </a:extLst>
        </xdr:cNvPr>
        <xdr:cNvCxnSpPr/>
      </xdr:nvCxnSpPr>
      <xdr:spPr>
        <a:xfrm flipV="1">
          <a:off x="9446491" y="4463245"/>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81638</xdr:colOff>
      <xdr:row>25</xdr:row>
      <xdr:rowOff>5545</xdr:rowOff>
    </xdr:from>
    <xdr:to>
      <xdr:col>18</xdr:col>
      <xdr:colOff>585586</xdr:colOff>
      <xdr:row>25</xdr:row>
      <xdr:rowOff>6702</xdr:rowOff>
    </xdr:to>
    <xdr:cxnSp macro="">
      <xdr:nvCxnSpPr>
        <xdr:cNvPr id="252" name="Straight Connector 251">
          <a:extLst>
            <a:ext uri="{FF2B5EF4-FFF2-40B4-BE49-F238E27FC236}">
              <a16:creationId xmlns:a16="http://schemas.microsoft.com/office/drawing/2014/main" id="{776DDAFD-59CC-4D53-AFC0-938029CF8336}"/>
            </a:ext>
          </a:extLst>
        </xdr:cNvPr>
        <xdr:cNvCxnSpPr/>
      </xdr:nvCxnSpPr>
      <xdr:spPr>
        <a:xfrm flipV="1">
          <a:off x="10654388" y="4463245"/>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81505</xdr:colOff>
      <xdr:row>25</xdr:row>
      <xdr:rowOff>5545</xdr:rowOff>
    </xdr:from>
    <xdr:to>
      <xdr:col>20</xdr:col>
      <xdr:colOff>585453</xdr:colOff>
      <xdr:row>25</xdr:row>
      <xdr:rowOff>6702</xdr:rowOff>
    </xdr:to>
    <xdr:cxnSp macro="">
      <xdr:nvCxnSpPr>
        <xdr:cNvPr id="253" name="Straight Connector 252">
          <a:extLst>
            <a:ext uri="{FF2B5EF4-FFF2-40B4-BE49-F238E27FC236}">
              <a16:creationId xmlns:a16="http://schemas.microsoft.com/office/drawing/2014/main" id="{2478C06C-531F-46B8-87DD-C88BC8FD34C2}"/>
            </a:ext>
          </a:extLst>
        </xdr:cNvPr>
        <xdr:cNvCxnSpPr/>
      </xdr:nvCxnSpPr>
      <xdr:spPr>
        <a:xfrm flipV="1">
          <a:off x="11873455" y="4463245"/>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66609</xdr:colOff>
      <xdr:row>10</xdr:row>
      <xdr:rowOff>179312</xdr:rowOff>
    </xdr:from>
    <xdr:to>
      <xdr:col>14</xdr:col>
      <xdr:colOff>581713</xdr:colOff>
      <xdr:row>10</xdr:row>
      <xdr:rowOff>179312</xdr:rowOff>
    </xdr:to>
    <xdr:cxnSp macro="">
      <xdr:nvCxnSpPr>
        <xdr:cNvPr id="254" name="Straight Connector 253">
          <a:extLst>
            <a:ext uri="{FF2B5EF4-FFF2-40B4-BE49-F238E27FC236}">
              <a16:creationId xmlns:a16="http://schemas.microsoft.com/office/drawing/2014/main" id="{7B4BA55A-BDF2-44E3-8D22-37B7EF60F3A0}"/>
            </a:ext>
          </a:extLst>
        </xdr:cNvPr>
        <xdr:cNvCxnSpPr/>
      </xdr:nvCxnSpPr>
      <xdr:spPr>
        <a:xfrm>
          <a:off x="5762559" y="2001762"/>
          <a:ext cx="3563104"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9641</xdr:colOff>
      <xdr:row>31</xdr:row>
      <xdr:rowOff>163361</xdr:rowOff>
    </xdr:from>
    <xdr:to>
      <xdr:col>21</xdr:col>
      <xdr:colOff>41413</xdr:colOff>
      <xdr:row>31</xdr:row>
      <xdr:rowOff>163361</xdr:rowOff>
    </xdr:to>
    <xdr:cxnSp macro="">
      <xdr:nvCxnSpPr>
        <xdr:cNvPr id="255" name="Straight Connector 254">
          <a:extLst>
            <a:ext uri="{FF2B5EF4-FFF2-40B4-BE49-F238E27FC236}">
              <a16:creationId xmlns:a16="http://schemas.microsoft.com/office/drawing/2014/main" id="{BC8B2E37-7268-4537-BD2A-069D365CA756}"/>
            </a:ext>
          </a:extLst>
        </xdr:cNvPr>
        <xdr:cNvCxnSpPr/>
      </xdr:nvCxnSpPr>
      <xdr:spPr>
        <a:xfrm>
          <a:off x="3876791" y="5732311"/>
          <a:ext cx="9175772" cy="0"/>
        </a:xfrm>
        <a:prstGeom prst="line">
          <a:avLst/>
        </a:prstGeom>
        <a:ln w="12700">
          <a:solidFill>
            <a:schemeClr val="bg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76881</xdr:colOff>
      <xdr:row>33</xdr:row>
      <xdr:rowOff>162327</xdr:rowOff>
    </xdr:from>
    <xdr:to>
      <xdr:col>10</xdr:col>
      <xdr:colOff>580828</xdr:colOff>
      <xdr:row>33</xdr:row>
      <xdr:rowOff>163484</xdr:rowOff>
    </xdr:to>
    <xdr:cxnSp macro="">
      <xdr:nvCxnSpPr>
        <xdr:cNvPr id="256" name="Straight Connector 255">
          <a:extLst>
            <a:ext uri="{FF2B5EF4-FFF2-40B4-BE49-F238E27FC236}">
              <a16:creationId xmlns:a16="http://schemas.microsoft.com/office/drawing/2014/main" id="{6BDD570C-8D89-4DF4-9FEB-1A07E5805AF5}"/>
            </a:ext>
          </a:extLst>
        </xdr:cNvPr>
        <xdr:cNvCxnSpPr/>
      </xdr:nvCxnSpPr>
      <xdr:spPr>
        <a:xfrm flipV="1">
          <a:off x="5772831" y="610592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78935</xdr:colOff>
      <xdr:row>33</xdr:row>
      <xdr:rowOff>162327</xdr:rowOff>
    </xdr:from>
    <xdr:to>
      <xdr:col>12</xdr:col>
      <xdr:colOff>583758</xdr:colOff>
      <xdr:row>33</xdr:row>
      <xdr:rowOff>163484</xdr:rowOff>
    </xdr:to>
    <xdr:cxnSp macro="">
      <xdr:nvCxnSpPr>
        <xdr:cNvPr id="257" name="Straight Connector 256">
          <a:extLst>
            <a:ext uri="{FF2B5EF4-FFF2-40B4-BE49-F238E27FC236}">
              <a16:creationId xmlns:a16="http://schemas.microsoft.com/office/drawing/2014/main" id="{346C4126-D289-4D77-B7C9-C2BB16B28772}"/>
            </a:ext>
          </a:extLst>
        </xdr:cNvPr>
        <xdr:cNvCxnSpPr/>
      </xdr:nvCxnSpPr>
      <xdr:spPr>
        <a:xfrm flipV="1">
          <a:off x="6994085" y="6105927"/>
          <a:ext cx="1114423"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77260</xdr:colOff>
      <xdr:row>33</xdr:row>
      <xdr:rowOff>162327</xdr:rowOff>
    </xdr:from>
    <xdr:to>
      <xdr:col>14</xdr:col>
      <xdr:colOff>582082</xdr:colOff>
      <xdr:row>33</xdr:row>
      <xdr:rowOff>163484</xdr:rowOff>
    </xdr:to>
    <xdr:cxnSp macro="">
      <xdr:nvCxnSpPr>
        <xdr:cNvPr id="258" name="Straight Connector 257">
          <a:extLst>
            <a:ext uri="{FF2B5EF4-FFF2-40B4-BE49-F238E27FC236}">
              <a16:creationId xmlns:a16="http://schemas.microsoft.com/office/drawing/2014/main" id="{00BFCD4B-DFCF-41F7-8A03-8C1F1F3A25FC}"/>
            </a:ext>
          </a:extLst>
        </xdr:cNvPr>
        <xdr:cNvCxnSpPr/>
      </xdr:nvCxnSpPr>
      <xdr:spPr>
        <a:xfrm flipV="1">
          <a:off x="8211610" y="6105927"/>
          <a:ext cx="1114422"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87863</xdr:colOff>
      <xdr:row>33</xdr:row>
      <xdr:rowOff>162327</xdr:rowOff>
    </xdr:from>
    <xdr:to>
      <xdr:col>16</xdr:col>
      <xdr:colOff>591766</xdr:colOff>
      <xdr:row>33</xdr:row>
      <xdr:rowOff>163484</xdr:rowOff>
    </xdr:to>
    <xdr:cxnSp macro="">
      <xdr:nvCxnSpPr>
        <xdr:cNvPr id="259" name="Straight Connector 258">
          <a:extLst>
            <a:ext uri="{FF2B5EF4-FFF2-40B4-BE49-F238E27FC236}">
              <a16:creationId xmlns:a16="http://schemas.microsoft.com/office/drawing/2014/main" id="{EF22E3DF-D63E-4D6A-BEF6-F41F0C2CE926}"/>
            </a:ext>
          </a:extLst>
        </xdr:cNvPr>
        <xdr:cNvCxnSpPr/>
      </xdr:nvCxnSpPr>
      <xdr:spPr>
        <a:xfrm flipV="1">
          <a:off x="9441413" y="6105927"/>
          <a:ext cx="1113503"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76561</xdr:colOff>
      <xdr:row>33</xdr:row>
      <xdr:rowOff>162327</xdr:rowOff>
    </xdr:from>
    <xdr:to>
      <xdr:col>18</xdr:col>
      <xdr:colOff>580463</xdr:colOff>
      <xdr:row>33</xdr:row>
      <xdr:rowOff>163484</xdr:rowOff>
    </xdr:to>
    <xdr:cxnSp macro="">
      <xdr:nvCxnSpPr>
        <xdr:cNvPr id="260" name="Straight Connector 259">
          <a:extLst>
            <a:ext uri="{FF2B5EF4-FFF2-40B4-BE49-F238E27FC236}">
              <a16:creationId xmlns:a16="http://schemas.microsoft.com/office/drawing/2014/main" id="{19772EF0-A43E-43AF-962A-14EABCB9092D}"/>
            </a:ext>
          </a:extLst>
        </xdr:cNvPr>
        <xdr:cNvCxnSpPr/>
      </xdr:nvCxnSpPr>
      <xdr:spPr>
        <a:xfrm flipV="1">
          <a:off x="10649311" y="6105927"/>
          <a:ext cx="1113502"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61427</xdr:colOff>
      <xdr:row>33</xdr:row>
      <xdr:rowOff>162327</xdr:rowOff>
    </xdr:from>
    <xdr:to>
      <xdr:col>20</xdr:col>
      <xdr:colOff>565330</xdr:colOff>
      <xdr:row>33</xdr:row>
      <xdr:rowOff>163484</xdr:rowOff>
    </xdr:to>
    <xdr:cxnSp macro="">
      <xdr:nvCxnSpPr>
        <xdr:cNvPr id="261" name="Straight Connector 260">
          <a:extLst>
            <a:ext uri="{FF2B5EF4-FFF2-40B4-BE49-F238E27FC236}">
              <a16:creationId xmlns:a16="http://schemas.microsoft.com/office/drawing/2014/main" id="{704D8476-9E40-4265-B69E-6CE3A90577BB}"/>
            </a:ext>
          </a:extLst>
        </xdr:cNvPr>
        <xdr:cNvCxnSpPr/>
      </xdr:nvCxnSpPr>
      <xdr:spPr>
        <a:xfrm flipV="1">
          <a:off x="11853377" y="6105927"/>
          <a:ext cx="1113503"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76881</xdr:colOff>
      <xdr:row>40</xdr:row>
      <xdr:rowOff>159727</xdr:rowOff>
    </xdr:from>
    <xdr:to>
      <xdr:col>10</xdr:col>
      <xdr:colOff>580828</xdr:colOff>
      <xdr:row>40</xdr:row>
      <xdr:rowOff>160884</xdr:rowOff>
    </xdr:to>
    <xdr:cxnSp macro="">
      <xdr:nvCxnSpPr>
        <xdr:cNvPr id="262" name="Straight Connector 261">
          <a:extLst>
            <a:ext uri="{FF2B5EF4-FFF2-40B4-BE49-F238E27FC236}">
              <a16:creationId xmlns:a16="http://schemas.microsoft.com/office/drawing/2014/main" id="{8AB58F1D-DCF0-41C3-AD1F-C3CC1F1E511B}"/>
            </a:ext>
          </a:extLst>
        </xdr:cNvPr>
        <xdr:cNvCxnSpPr/>
      </xdr:nvCxnSpPr>
      <xdr:spPr>
        <a:xfrm flipV="1">
          <a:off x="5772831" y="725267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78935</xdr:colOff>
      <xdr:row>40</xdr:row>
      <xdr:rowOff>159727</xdr:rowOff>
    </xdr:from>
    <xdr:to>
      <xdr:col>12</xdr:col>
      <xdr:colOff>583758</xdr:colOff>
      <xdr:row>40</xdr:row>
      <xdr:rowOff>160884</xdr:rowOff>
    </xdr:to>
    <xdr:cxnSp macro="">
      <xdr:nvCxnSpPr>
        <xdr:cNvPr id="263" name="Straight Connector 262">
          <a:extLst>
            <a:ext uri="{FF2B5EF4-FFF2-40B4-BE49-F238E27FC236}">
              <a16:creationId xmlns:a16="http://schemas.microsoft.com/office/drawing/2014/main" id="{7176BF93-2006-4B60-BD12-FE87FB63370F}"/>
            </a:ext>
          </a:extLst>
        </xdr:cNvPr>
        <xdr:cNvCxnSpPr/>
      </xdr:nvCxnSpPr>
      <xdr:spPr>
        <a:xfrm flipV="1">
          <a:off x="6994085" y="7252677"/>
          <a:ext cx="1114423"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77260</xdr:colOff>
      <xdr:row>40</xdr:row>
      <xdr:rowOff>159727</xdr:rowOff>
    </xdr:from>
    <xdr:to>
      <xdr:col>14</xdr:col>
      <xdr:colOff>582082</xdr:colOff>
      <xdr:row>40</xdr:row>
      <xdr:rowOff>160884</xdr:rowOff>
    </xdr:to>
    <xdr:cxnSp macro="">
      <xdr:nvCxnSpPr>
        <xdr:cNvPr id="264" name="Straight Connector 263">
          <a:extLst>
            <a:ext uri="{FF2B5EF4-FFF2-40B4-BE49-F238E27FC236}">
              <a16:creationId xmlns:a16="http://schemas.microsoft.com/office/drawing/2014/main" id="{0E87BD24-6AE7-44FE-8791-0D08D61FD70E}"/>
            </a:ext>
          </a:extLst>
        </xdr:cNvPr>
        <xdr:cNvCxnSpPr/>
      </xdr:nvCxnSpPr>
      <xdr:spPr>
        <a:xfrm flipV="1">
          <a:off x="8211610" y="7252677"/>
          <a:ext cx="1114422"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87863</xdr:colOff>
      <xdr:row>40</xdr:row>
      <xdr:rowOff>159727</xdr:rowOff>
    </xdr:from>
    <xdr:to>
      <xdr:col>16</xdr:col>
      <xdr:colOff>591766</xdr:colOff>
      <xdr:row>40</xdr:row>
      <xdr:rowOff>160884</xdr:rowOff>
    </xdr:to>
    <xdr:cxnSp macro="">
      <xdr:nvCxnSpPr>
        <xdr:cNvPr id="265" name="Straight Connector 264">
          <a:extLst>
            <a:ext uri="{FF2B5EF4-FFF2-40B4-BE49-F238E27FC236}">
              <a16:creationId xmlns:a16="http://schemas.microsoft.com/office/drawing/2014/main" id="{107981F7-862F-4F93-8153-B8909F17768A}"/>
            </a:ext>
          </a:extLst>
        </xdr:cNvPr>
        <xdr:cNvCxnSpPr/>
      </xdr:nvCxnSpPr>
      <xdr:spPr>
        <a:xfrm flipV="1">
          <a:off x="9441413" y="7252677"/>
          <a:ext cx="1113503"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76561</xdr:colOff>
      <xdr:row>40</xdr:row>
      <xdr:rowOff>159727</xdr:rowOff>
    </xdr:from>
    <xdr:to>
      <xdr:col>18</xdr:col>
      <xdr:colOff>580463</xdr:colOff>
      <xdr:row>40</xdr:row>
      <xdr:rowOff>160884</xdr:rowOff>
    </xdr:to>
    <xdr:cxnSp macro="">
      <xdr:nvCxnSpPr>
        <xdr:cNvPr id="266" name="Straight Connector 265">
          <a:extLst>
            <a:ext uri="{FF2B5EF4-FFF2-40B4-BE49-F238E27FC236}">
              <a16:creationId xmlns:a16="http://schemas.microsoft.com/office/drawing/2014/main" id="{4C258961-C2D6-4474-84BB-2425F3474A4E}"/>
            </a:ext>
          </a:extLst>
        </xdr:cNvPr>
        <xdr:cNvCxnSpPr/>
      </xdr:nvCxnSpPr>
      <xdr:spPr>
        <a:xfrm flipV="1">
          <a:off x="10649311" y="7252677"/>
          <a:ext cx="1113502"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61427</xdr:colOff>
      <xdr:row>40</xdr:row>
      <xdr:rowOff>159727</xdr:rowOff>
    </xdr:from>
    <xdr:to>
      <xdr:col>20</xdr:col>
      <xdr:colOff>565330</xdr:colOff>
      <xdr:row>40</xdr:row>
      <xdr:rowOff>160884</xdr:rowOff>
    </xdr:to>
    <xdr:cxnSp macro="">
      <xdr:nvCxnSpPr>
        <xdr:cNvPr id="267" name="Straight Connector 266">
          <a:extLst>
            <a:ext uri="{FF2B5EF4-FFF2-40B4-BE49-F238E27FC236}">
              <a16:creationId xmlns:a16="http://schemas.microsoft.com/office/drawing/2014/main" id="{61E05AF5-D268-48CC-B640-61D39AF8B434}"/>
            </a:ext>
          </a:extLst>
        </xdr:cNvPr>
        <xdr:cNvCxnSpPr/>
      </xdr:nvCxnSpPr>
      <xdr:spPr>
        <a:xfrm flipV="1">
          <a:off x="11853377" y="7252677"/>
          <a:ext cx="1113503"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58081</xdr:colOff>
      <xdr:row>44</xdr:row>
      <xdr:rowOff>162046</xdr:rowOff>
    </xdr:from>
    <xdr:to>
      <xdr:col>10</xdr:col>
      <xdr:colOff>562028</xdr:colOff>
      <xdr:row>44</xdr:row>
      <xdr:rowOff>163364</xdr:rowOff>
    </xdr:to>
    <xdr:cxnSp macro="">
      <xdr:nvCxnSpPr>
        <xdr:cNvPr id="268" name="Straight Connector 267">
          <a:extLst>
            <a:ext uri="{FF2B5EF4-FFF2-40B4-BE49-F238E27FC236}">
              <a16:creationId xmlns:a16="http://schemas.microsoft.com/office/drawing/2014/main" id="{9BA964BA-3686-464F-A12B-3D342BED1CAC}"/>
            </a:ext>
          </a:extLst>
        </xdr:cNvPr>
        <xdr:cNvCxnSpPr/>
      </xdr:nvCxnSpPr>
      <xdr:spPr>
        <a:xfrm flipV="1">
          <a:off x="5754031" y="79915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60135</xdr:colOff>
      <xdr:row>44</xdr:row>
      <xdr:rowOff>162046</xdr:rowOff>
    </xdr:from>
    <xdr:to>
      <xdr:col>12</xdr:col>
      <xdr:colOff>564958</xdr:colOff>
      <xdr:row>44</xdr:row>
      <xdr:rowOff>163364</xdr:rowOff>
    </xdr:to>
    <xdr:cxnSp macro="">
      <xdr:nvCxnSpPr>
        <xdr:cNvPr id="269" name="Straight Connector 268">
          <a:extLst>
            <a:ext uri="{FF2B5EF4-FFF2-40B4-BE49-F238E27FC236}">
              <a16:creationId xmlns:a16="http://schemas.microsoft.com/office/drawing/2014/main" id="{D21E5BF4-8D75-4996-9B1F-F9E9475E735D}"/>
            </a:ext>
          </a:extLst>
        </xdr:cNvPr>
        <xdr:cNvCxnSpPr/>
      </xdr:nvCxnSpPr>
      <xdr:spPr>
        <a:xfrm flipV="1">
          <a:off x="6975285" y="7991596"/>
          <a:ext cx="1114423"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58460</xdr:colOff>
      <xdr:row>44</xdr:row>
      <xdr:rowOff>162046</xdr:rowOff>
    </xdr:from>
    <xdr:to>
      <xdr:col>14</xdr:col>
      <xdr:colOff>563282</xdr:colOff>
      <xdr:row>44</xdr:row>
      <xdr:rowOff>163364</xdr:rowOff>
    </xdr:to>
    <xdr:cxnSp macro="">
      <xdr:nvCxnSpPr>
        <xdr:cNvPr id="270" name="Straight Connector 269">
          <a:extLst>
            <a:ext uri="{FF2B5EF4-FFF2-40B4-BE49-F238E27FC236}">
              <a16:creationId xmlns:a16="http://schemas.microsoft.com/office/drawing/2014/main" id="{8ECB8E7F-9338-43D1-8FA3-EBBBB7D6ADB5}"/>
            </a:ext>
          </a:extLst>
        </xdr:cNvPr>
        <xdr:cNvCxnSpPr/>
      </xdr:nvCxnSpPr>
      <xdr:spPr>
        <a:xfrm flipV="1">
          <a:off x="8192810" y="7991596"/>
          <a:ext cx="1114422"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69063</xdr:colOff>
      <xdr:row>44</xdr:row>
      <xdr:rowOff>162046</xdr:rowOff>
    </xdr:from>
    <xdr:to>
      <xdr:col>16</xdr:col>
      <xdr:colOff>572966</xdr:colOff>
      <xdr:row>44</xdr:row>
      <xdr:rowOff>163364</xdr:rowOff>
    </xdr:to>
    <xdr:cxnSp macro="">
      <xdr:nvCxnSpPr>
        <xdr:cNvPr id="271" name="Straight Connector 270">
          <a:extLst>
            <a:ext uri="{FF2B5EF4-FFF2-40B4-BE49-F238E27FC236}">
              <a16:creationId xmlns:a16="http://schemas.microsoft.com/office/drawing/2014/main" id="{C18AF049-0D4D-45E7-85F1-7F8718D8AA2A}"/>
            </a:ext>
          </a:extLst>
        </xdr:cNvPr>
        <xdr:cNvCxnSpPr/>
      </xdr:nvCxnSpPr>
      <xdr:spPr>
        <a:xfrm flipV="1">
          <a:off x="9422613" y="7991596"/>
          <a:ext cx="1113503"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57761</xdr:colOff>
      <xdr:row>44</xdr:row>
      <xdr:rowOff>162046</xdr:rowOff>
    </xdr:from>
    <xdr:to>
      <xdr:col>18</xdr:col>
      <xdr:colOff>561663</xdr:colOff>
      <xdr:row>44</xdr:row>
      <xdr:rowOff>163364</xdr:rowOff>
    </xdr:to>
    <xdr:cxnSp macro="">
      <xdr:nvCxnSpPr>
        <xdr:cNvPr id="272" name="Straight Connector 271">
          <a:extLst>
            <a:ext uri="{FF2B5EF4-FFF2-40B4-BE49-F238E27FC236}">
              <a16:creationId xmlns:a16="http://schemas.microsoft.com/office/drawing/2014/main" id="{79091F98-20BE-49DA-AF93-4B9F40FE1299}"/>
            </a:ext>
          </a:extLst>
        </xdr:cNvPr>
        <xdr:cNvCxnSpPr/>
      </xdr:nvCxnSpPr>
      <xdr:spPr>
        <a:xfrm flipV="1">
          <a:off x="10630511" y="7991596"/>
          <a:ext cx="1113502"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42627</xdr:colOff>
      <xdr:row>44</xdr:row>
      <xdr:rowOff>162046</xdr:rowOff>
    </xdr:from>
    <xdr:to>
      <xdr:col>20</xdr:col>
      <xdr:colOff>546530</xdr:colOff>
      <xdr:row>44</xdr:row>
      <xdr:rowOff>163364</xdr:rowOff>
    </xdr:to>
    <xdr:cxnSp macro="">
      <xdr:nvCxnSpPr>
        <xdr:cNvPr id="273" name="Straight Connector 272">
          <a:extLst>
            <a:ext uri="{FF2B5EF4-FFF2-40B4-BE49-F238E27FC236}">
              <a16:creationId xmlns:a16="http://schemas.microsoft.com/office/drawing/2014/main" id="{4A3B311B-B611-4103-8BA6-497B017269B4}"/>
            </a:ext>
          </a:extLst>
        </xdr:cNvPr>
        <xdr:cNvCxnSpPr/>
      </xdr:nvCxnSpPr>
      <xdr:spPr>
        <a:xfrm flipV="1">
          <a:off x="11834577" y="7991596"/>
          <a:ext cx="1113503"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58081</xdr:colOff>
      <xdr:row>53</xdr:row>
      <xdr:rowOff>159446</xdr:rowOff>
    </xdr:from>
    <xdr:to>
      <xdr:col>10</xdr:col>
      <xdr:colOff>562028</xdr:colOff>
      <xdr:row>53</xdr:row>
      <xdr:rowOff>160764</xdr:rowOff>
    </xdr:to>
    <xdr:cxnSp macro="">
      <xdr:nvCxnSpPr>
        <xdr:cNvPr id="274" name="Straight Connector 273">
          <a:extLst>
            <a:ext uri="{FF2B5EF4-FFF2-40B4-BE49-F238E27FC236}">
              <a16:creationId xmlns:a16="http://schemas.microsoft.com/office/drawing/2014/main" id="{29D3E924-FDA1-4F72-A7CE-02F7924BC077}"/>
            </a:ext>
          </a:extLst>
        </xdr:cNvPr>
        <xdr:cNvCxnSpPr/>
      </xdr:nvCxnSpPr>
      <xdr:spPr>
        <a:xfrm flipV="1">
          <a:off x="5754031" y="94939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60135</xdr:colOff>
      <xdr:row>53</xdr:row>
      <xdr:rowOff>159446</xdr:rowOff>
    </xdr:from>
    <xdr:to>
      <xdr:col>12</xdr:col>
      <xdr:colOff>564958</xdr:colOff>
      <xdr:row>53</xdr:row>
      <xdr:rowOff>160764</xdr:rowOff>
    </xdr:to>
    <xdr:cxnSp macro="">
      <xdr:nvCxnSpPr>
        <xdr:cNvPr id="275" name="Straight Connector 274">
          <a:extLst>
            <a:ext uri="{FF2B5EF4-FFF2-40B4-BE49-F238E27FC236}">
              <a16:creationId xmlns:a16="http://schemas.microsoft.com/office/drawing/2014/main" id="{CD287289-9221-43B9-B125-440D77D57DA3}"/>
            </a:ext>
          </a:extLst>
        </xdr:cNvPr>
        <xdr:cNvCxnSpPr/>
      </xdr:nvCxnSpPr>
      <xdr:spPr>
        <a:xfrm flipV="1">
          <a:off x="6975285" y="9493946"/>
          <a:ext cx="1114423"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58460</xdr:colOff>
      <xdr:row>53</xdr:row>
      <xdr:rowOff>159446</xdr:rowOff>
    </xdr:from>
    <xdr:to>
      <xdr:col>14</xdr:col>
      <xdr:colOff>563282</xdr:colOff>
      <xdr:row>53</xdr:row>
      <xdr:rowOff>160764</xdr:rowOff>
    </xdr:to>
    <xdr:cxnSp macro="">
      <xdr:nvCxnSpPr>
        <xdr:cNvPr id="276" name="Straight Connector 275">
          <a:extLst>
            <a:ext uri="{FF2B5EF4-FFF2-40B4-BE49-F238E27FC236}">
              <a16:creationId xmlns:a16="http://schemas.microsoft.com/office/drawing/2014/main" id="{CC4772BF-CC86-4598-808E-14ECAA022757}"/>
            </a:ext>
          </a:extLst>
        </xdr:cNvPr>
        <xdr:cNvCxnSpPr/>
      </xdr:nvCxnSpPr>
      <xdr:spPr>
        <a:xfrm flipV="1">
          <a:off x="8192810" y="9493946"/>
          <a:ext cx="1114422"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69063</xdr:colOff>
      <xdr:row>53</xdr:row>
      <xdr:rowOff>159446</xdr:rowOff>
    </xdr:from>
    <xdr:to>
      <xdr:col>16</xdr:col>
      <xdr:colOff>572966</xdr:colOff>
      <xdr:row>53</xdr:row>
      <xdr:rowOff>160764</xdr:rowOff>
    </xdr:to>
    <xdr:cxnSp macro="">
      <xdr:nvCxnSpPr>
        <xdr:cNvPr id="277" name="Straight Connector 276">
          <a:extLst>
            <a:ext uri="{FF2B5EF4-FFF2-40B4-BE49-F238E27FC236}">
              <a16:creationId xmlns:a16="http://schemas.microsoft.com/office/drawing/2014/main" id="{29E7D840-D5BE-42D9-BA37-AF7CE456916E}"/>
            </a:ext>
          </a:extLst>
        </xdr:cNvPr>
        <xdr:cNvCxnSpPr/>
      </xdr:nvCxnSpPr>
      <xdr:spPr>
        <a:xfrm flipV="1">
          <a:off x="9422613" y="9493946"/>
          <a:ext cx="1113503"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57761</xdr:colOff>
      <xdr:row>53</xdr:row>
      <xdr:rowOff>159446</xdr:rowOff>
    </xdr:from>
    <xdr:to>
      <xdr:col>18</xdr:col>
      <xdr:colOff>561663</xdr:colOff>
      <xdr:row>53</xdr:row>
      <xdr:rowOff>160764</xdr:rowOff>
    </xdr:to>
    <xdr:cxnSp macro="">
      <xdr:nvCxnSpPr>
        <xdr:cNvPr id="278" name="Straight Connector 277">
          <a:extLst>
            <a:ext uri="{FF2B5EF4-FFF2-40B4-BE49-F238E27FC236}">
              <a16:creationId xmlns:a16="http://schemas.microsoft.com/office/drawing/2014/main" id="{359B4A11-D422-44A3-95A8-06D3F5E31959}"/>
            </a:ext>
          </a:extLst>
        </xdr:cNvPr>
        <xdr:cNvCxnSpPr/>
      </xdr:nvCxnSpPr>
      <xdr:spPr>
        <a:xfrm flipV="1">
          <a:off x="10630511" y="9493946"/>
          <a:ext cx="1113502"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42627</xdr:colOff>
      <xdr:row>53</xdr:row>
      <xdr:rowOff>159446</xdr:rowOff>
    </xdr:from>
    <xdr:to>
      <xdr:col>20</xdr:col>
      <xdr:colOff>546530</xdr:colOff>
      <xdr:row>53</xdr:row>
      <xdr:rowOff>160764</xdr:rowOff>
    </xdr:to>
    <xdr:cxnSp macro="">
      <xdr:nvCxnSpPr>
        <xdr:cNvPr id="279" name="Straight Connector 278">
          <a:extLst>
            <a:ext uri="{FF2B5EF4-FFF2-40B4-BE49-F238E27FC236}">
              <a16:creationId xmlns:a16="http://schemas.microsoft.com/office/drawing/2014/main" id="{E6A1AD2D-13AA-4EB3-97FA-3D77C1F9246C}"/>
            </a:ext>
          </a:extLst>
        </xdr:cNvPr>
        <xdr:cNvCxnSpPr/>
      </xdr:nvCxnSpPr>
      <xdr:spPr>
        <a:xfrm flipV="1">
          <a:off x="11834577" y="9493946"/>
          <a:ext cx="1113503"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58081</xdr:colOff>
      <xdr:row>54</xdr:row>
      <xdr:rowOff>161846</xdr:rowOff>
    </xdr:from>
    <xdr:to>
      <xdr:col>10</xdr:col>
      <xdr:colOff>562028</xdr:colOff>
      <xdr:row>54</xdr:row>
      <xdr:rowOff>163164</xdr:rowOff>
    </xdr:to>
    <xdr:cxnSp macro="">
      <xdr:nvCxnSpPr>
        <xdr:cNvPr id="280" name="Straight Connector 279">
          <a:extLst>
            <a:ext uri="{FF2B5EF4-FFF2-40B4-BE49-F238E27FC236}">
              <a16:creationId xmlns:a16="http://schemas.microsoft.com/office/drawing/2014/main" id="{E63B11B9-D70F-469B-AB4B-7E41AADD338A}"/>
            </a:ext>
          </a:extLst>
        </xdr:cNvPr>
        <xdr:cNvCxnSpPr/>
      </xdr:nvCxnSpPr>
      <xdr:spPr>
        <a:xfrm flipV="1">
          <a:off x="5754031" y="96804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60135</xdr:colOff>
      <xdr:row>54</xdr:row>
      <xdr:rowOff>161846</xdr:rowOff>
    </xdr:from>
    <xdr:to>
      <xdr:col>12</xdr:col>
      <xdr:colOff>564958</xdr:colOff>
      <xdr:row>54</xdr:row>
      <xdr:rowOff>163164</xdr:rowOff>
    </xdr:to>
    <xdr:cxnSp macro="">
      <xdr:nvCxnSpPr>
        <xdr:cNvPr id="281" name="Straight Connector 280">
          <a:extLst>
            <a:ext uri="{FF2B5EF4-FFF2-40B4-BE49-F238E27FC236}">
              <a16:creationId xmlns:a16="http://schemas.microsoft.com/office/drawing/2014/main" id="{056F4037-DFD1-4F3C-8436-5FABA122090C}"/>
            </a:ext>
          </a:extLst>
        </xdr:cNvPr>
        <xdr:cNvCxnSpPr/>
      </xdr:nvCxnSpPr>
      <xdr:spPr>
        <a:xfrm flipV="1">
          <a:off x="6975285" y="9680496"/>
          <a:ext cx="1114423"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58460</xdr:colOff>
      <xdr:row>54</xdr:row>
      <xdr:rowOff>161846</xdr:rowOff>
    </xdr:from>
    <xdr:to>
      <xdr:col>14</xdr:col>
      <xdr:colOff>563282</xdr:colOff>
      <xdr:row>54</xdr:row>
      <xdr:rowOff>163164</xdr:rowOff>
    </xdr:to>
    <xdr:cxnSp macro="">
      <xdr:nvCxnSpPr>
        <xdr:cNvPr id="282" name="Straight Connector 281">
          <a:extLst>
            <a:ext uri="{FF2B5EF4-FFF2-40B4-BE49-F238E27FC236}">
              <a16:creationId xmlns:a16="http://schemas.microsoft.com/office/drawing/2014/main" id="{66FC9A38-E59C-4740-99C2-9554D73C2652}"/>
            </a:ext>
          </a:extLst>
        </xdr:cNvPr>
        <xdr:cNvCxnSpPr/>
      </xdr:nvCxnSpPr>
      <xdr:spPr>
        <a:xfrm flipV="1">
          <a:off x="8192810" y="9680496"/>
          <a:ext cx="1114422"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69063</xdr:colOff>
      <xdr:row>54</xdr:row>
      <xdr:rowOff>161846</xdr:rowOff>
    </xdr:from>
    <xdr:to>
      <xdr:col>16</xdr:col>
      <xdr:colOff>572966</xdr:colOff>
      <xdr:row>54</xdr:row>
      <xdr:rowOff>163164</xdr:rowOff>
    </xdr:to>
    <xdr:cxnSp macro="">
      <xdr:nvCxnSpPr>
        <xdr:cNvPr id="283" name="Straight Connector 282">
          <a:extLst>
            <a:ext uri="{FF2B5EF4-FFF2-40B4-BE49-F238E27FC236}">
              <a16:creationId xmlns:a16="http://schemas.microsoft.com/office/drawing/2014/main" id="{77E932F0-73D0-4071-B693-40F9DBF5B713}"/>
            </a:ext>
          </a:extLst>
        </xdr:cNvPr>
        <xdr:cNvCxnSpPr/>
      </xdr:nvCxnSpPr>
      <xdr:spPr>
        <a:xfrm flipV="1">
          <a:off x="9422613" y="9680496"/>
          <a:ext cx="1113503"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57761</xdr:colOff>
      <xdr:row>54</xdr:row>
      <xdr:rowOff>161846</xdr:rowOff>
    </xdr:from>
    <xdr:to>
      <xdr:col>18</xdr:col>
      <xdr:colOff>561663</xdr:colOff>
      <xdr:row>54</xdr:row>
      <xdr:rowOff>163164</xdr:rowOff>
    </xdr:to>
    <xdr:cxnSp macro="">
      <xdr:nvCxnSpPr>
        <xdr:cNvPr id="284" name="Straight Connector 283">
          <a:extLst>
            <a:ext uri="{FF2B5EF4-FFF2-40B4-BE49-F238E27FC236}">
              <a16:creationId xmlns:a16="http://schemas.microsoft.com/office/drawing/2014/main" id="{B0874708-4E23-414B-9C69-7E3E0DF43BEB}"/>
            </a:ext>
          </a:extLst>
        </xdr:cNvPr>
        <xdr:cNvCxnSpPr/>
      </xdr:nvCxnSpPr>
      <xdr:spPr>
        <a:xfrm flipV="1">
          <a:off x="10630511" y="9680496"/>
          <a:ext cx="1113502"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42627</xdr:colOff>
      <xdr:row>54</xdr:row>
      <xdr:rowOff>161846</xdr:rowOff>
    </xdr:from>
    <xdr:to>
      <xdr:col>20</xdr:col>
      <xdr:colOff>546530</xdr:colOff>
      <xdr:row>54</xdr:row>
      <xdr:rowOff>163164</xdr:rowOff>
    </xdr:to>
    <xdr:cxnSp macro="">
      <xdr:nvCxnSpPr>
        <xdr:cNvPr id="285" name="Straight Connector 284">
          <a:extLst>
            <a:ext uri="{FF2B5EF4-FFF2-40B4-BE49-F238E27FC236}">
              <a16:creationId xmlns:a16="http://schemas.microsoft.com/office/drawing/2014/main" id="{B048F709-6009-48AB-B349-C2E2F10132CB}"/>
            </a:ext>
          </a:extLst>
        </xdr:cNvPr>
        <xdr:cNvCxnSpPr/>
      </xdr:nvCxnSpPr>
      <xdr:spPr>
        <a:xfrm flipV="1">
          <a:off x="11834577" y="9680496"/>
          <a:ext cx="1113503"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58081</xdr:colOff>
      <xdr:row>55</xdr:row>
      <xdr:rowOff>4246</xdr:rowOff>
    </xdr:from>
    <xdr:to>
      <xdr:col>10</xdr:col>
      <xdr:colOff>562028</xdr:colOff>
      <xdr:row>55</xdr:row>
      <xdr:rowOff>5564</xdr:rowOff>
    </xdr:to>
    <xdr:cxnSp macro="">
      <xdr:nvCxnSpPr>
        <xdr:cNvPr id="286" name="Straight Connector 285">
          <a:extLst>
            <a:ext uri="{FF2B5EF4-FFF2-40B4-BE49-F238E27FC236}">
              <a16:creationId xmlns:a16="http://schemas.microsoft.com/office/drawing/2014/main" id="{AE2D618D-60BB-4661-9556-A36DA253DBB5}"/>
            </a:ext>
          </a:extLst>
        </xdr:cNvPr>
        <xdr:cNvCxnSpPr/>
      </xdr:nvCxnSpPr>
      <xdr:spPr>
        <a:xfrm flipV="1">
          <a:off x="5754031" y="97070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60135</xdr:colOff>
      <xdr:row>55</xdr:row>
      <xdr:rowOff>4246</xdr:rowOff>
    </xdr:from>
    <xdr:to>
      <xdr:col>12</xdr:col>
      <xdr:colOff>564958</xdr:colOff>
      <xdr:row>55</xdr:row>
      <xdr:rowOff>5564</xdr:rowOff>
    </xdr:to>
    <xdr:cxnSp macro="">
      <xdr:nvCxnSpPr>
        <xdr:cNvPr id="287" name="Straight Connector 286">
          <a:extLst>
            <a:ext uri="{FF2B5EF4-FFF2-40B4-BE49-F238E27FC236}">
              <a16:creationId xmlns:a16="http://schemas.microsoft.com/office/drawing/2014/main" id="{7DADF4C3-2907-49F3-920E-C9487D5B0A8B}"/>
            </a:ext>
          </a:extLst>
        </xdr:cNvPr>
        <xdr:cNvCxnSpPr/>
      </xdr:nvCxnSpPr>
      <xdr:spPr>
        <a:xfrm flipV="1">
          <a:off x="6975285" y="9707046"/>
          <a:ext cx="1114423"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58460</xdr:colOff>
      <xdr:row>55</xdr:row>
      <xdr:rowOff>4246</xdr:rowOff>
    </xdr:from>
    <xdr:to>
      <xdr:col>14</xdr:col>
      <xdr:colOff>563282</xdr:colOff>
      <xdr:row>55</xdr:row>
      <xdr:rowOff>5564</xdr:rowOff>
    </xdr:to>
    <xdr:cxnSp macro="">
      <xdr:nvCxnSpPr>
        <xdr:cNvPr id="288" name="Straight Connector 287">
          <a:extLst>
            <a:ext uri="{FF2B5EF4-FFF2-40B4-BE49-F238E27FC236}">
              <a16:creationId xmlns:a16="http://schemas.microsoft.com/office/drawing/2014/main" id="{E1146DD8-07B5-48BF-B787-5F341A837A91}"/>
            </a:ext>
          </a:extLst>
        </xdr:cNvPr>
        <xdr:cNvCxnSpPr/>
      </xdr:nvCxnSpPr>
      <xdr:spPr>
        <a:xfrm flipV="1">
          <a:off x="8192810" y="9707046"/>
          <a:ext cx="1114422"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69063</xdr:colOff>
      <xdr:row>55</xdr:row>
      <xdr:rowOff>4246</xdr:rowOff>
    </xdr:from>
    <xdr:to>
      <xdr:col>16</xdr:col>
      <xdr:colOff>572966</xdr:colOff>
      <xdr:row>55</xdr:row>
      <xdr:rowOff>5564</xdr:rowOff>
    </xdr:to>
    <xdr:cxnSp macro="">
      <xdr:nvCxnSpPr>
        <xdr:cNvPr id="289" name="Straight Connector 288">
          <a:extLst>
            <a:ext uri="{FF2B5EF4-FFF2-40B4-BE49-F238E27FC236}">
              <a16:creationId xmlns:a16="http://schemas.microsoft.com/office/drawing/2014/main" id="{BFCEDD1B-F098-4A49-B2F7-12F079BF22B7}"/>
            </a:ext>
          </a:extLst>
        </xdr:cNvPr>
        <xdr:cNvCxnSpPr/>
      </xdr:nvCxnSpPr>
      <xdr:spPr>
        <a:xfrm flipV="1">
          <a:off x="9422613" y="9707046"/>
          <a:ext cx="1113503"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57761</xdr:colOff>
      <xdr:row>55</xdr:row>
      <xdr:rowOff>4246</xdr:rowOff>
    </xdr:from>
    <xdr:to>
      <xdr:col>18</xdr:col>
      <xdr:colOff>561663</xdr:colOff>
      <xdr:row>55</xdr:row>
      <xdr:rowOff>5564</xdr:rowOff>
    </xdr:to>
    <xdr:cxnSp macro="">
      <xdr:nvCxnSpPr>
        <xdr:cNvPr id="290" name="Straight Connector 289">
          <a:extLst>
            <a:ext uri="{FF2B5EF4-FFF2-40B4-BE49-F238E27FC236}">
              <a16:creationId xmlns:a16="http://schemas.microsoft.com/office/drawing/2014/main" id="{0CA9A8E5-812F-4D5B-89A2-F3702F3FB571}"/>
            </a:ext>
          </a:extLst>
        </xdr:cNvPr>
        <xdr:cNvCxnSpPr/>
      </xdr:nvCxnSpPr>
      <xdr:spPr>
        <a:xfrm flipV="1">
          <a:off x="10630511" y="9707046"/>
          <a:ext cx="1113502"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42627</xdr:colOff>
      <xdr:row>55</xdr:row>
      <xdr:rowOff>4246</xdr:rowOff>
    </xdr:from>
    <xdr:to>
      <xdr:col>20</xdr:col>
      <xdr:colOff>546530</xdr:colOff>
      <xdr:row>55</xdr:row>
      <xdr:rowOff>5564</xdr:rowOff>
    </xdr:to>
    <xdr:cxnSp macro="">
      <xdr:nvCxnSpPr>
        <xdr:cNvPr id="291" name="Straight Connector 290">
          <a:extLst>
            <a:ext uri="{FF2B5EF4-FFF2-40B4-BE49-F238E27FC236}">
              <a16:creationId xmlns:a16="http://schemas.microsoft.com/office/drawing/2014/main" id="{9AF05E7E-DF08-4371-98AD-D33C340DF4AE}"/>
            </a:ext>
          </a:extLst>
        </xdr:cNvPr>
        <xdr:cNvCxnSpPr/>
      </xdr:nvCxnSpPr>
      <xdr:spPr>
        <a:xfrm flipV="1">
          <a:off x="11834577" y="9707046"/>
          <a:ext cx="1113503"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9641</xdr:colOff>
      <xdr:row>61</xdr:row>
      <xdr:rowOff>152722</xdr:rowOff>
    </xdr:from>
    <xdr:to>
      <xdr:col>21</xdr:col>
      <xdr:colOff>41413</xdr:colOff>
      <xdr:row>61</xdr:row>
      <xdr:rowOff>152722</xdr:rowOff>
    </xdr:to>
    <xdr:cxnSp macro="">
      <xdr:nvCxnSpPr>
        <xdr:cNvPr id="292" name="Straight Connector 291">
          <a:extLst>
            <a:ext uri="{FF2B5EF4-FFF2-40B4-BE49-F238E27FC236}">
              <a16:creationId xmlns:a16="http://schemas.microsoft.com/office/drawing/2014/main" id="{22DFC0C9-D29B-486E-9AA0-5F9D49F3BAAA}"/>
            </a:ext>
          </a:extLst>
        </xdr:cNvPr>
        <xdr:cNvCxnSpPr/>
      </xdr:nvCxnSpPr>
      <xdr:spPr>
        <a:xfrm>
          <a:off x="3876791" y="10833422"/>
          <a:ext cx="9175772" cy="0"/>
        </a:xfrm>
        <a:prstGeom prst="line">
          <a:avLst/>
        </a:prstGeom>
        <a:ln w="12700">
          <a:solidFill>
            <a:schemeClr val="bg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0</xdr:colOff>
      <xdr:row>64</xdr:row>
      <xdr:rowOff>155963</xdr:rowOff>
    </xdr:from>
    <xdr:to>
      <xdr:col>5</xdr:col>
      <xdr:colOff>0</xdr:colOff>
      <xdr:row>64</xdr:row>
      <xdr:rowOff>163262</xdr:rowOff>
    </xdr:to>
    <xdr:cxnSp macro="">
      <xdr:nvCxnSpPr>
        <xdr:cNvPr id="293" name="Straight Connector 292">
          <a:extLst>
            <a:ext uri="{FF2B5EF4-FFF2-40B4-BE49-F238E27FC236}">
              <a16:creationId xmlns:a16="http://schemas.microsoft.com/office/drawing/2014/main" id="{2F8EFF4F-CCF7-4698-A018-AB334056AE50}"/>
            </a:ext>
          </a:extLst>
        </xdr:cNvPr>
        <xdr:cNvCxnSpPr/>
      </xdr:nvCxnSpPr>
      <xdr:spPr>
        <a:xfrm>
          <a:off x="609600" y="11395463"/>
          <a:ext cx="2647950" cy="7299"/>
        </a:xfrm>
        <a:prstGeom prst="line">
          <a:avLst/>
        </a:prstGeom>
        <a:ln w="12700">
          <a:solidFill>
            <a:schemeClr val="bg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604796</xdr:colOff>
      <xdr:row>68</xdr:row>
      <xdr:rowOff>154145</xdr:rowOff>
    </xdr:from>
    <xdr:to>
      <xdr:col>27</xdr:col>
      <xdr:colOff>0</xdr:colOff>
      <xdr:row>68</xdr:row>
      <xdr:rowOff>157534</xdr:rowOff>
    </xdr:to>
    <xdr:cxnSp macro="">
      <xdr:nvCxnSpPr>
        <xdr:cNvPr id="294" name="Straight Connector 293">
          <a:extLst>
            <a:ext uri="{FF2B5EF4-FFF2-40B4-BE49-F238E27FC236}">
              <a16:creationId xmlns:a16="http://schemas.microsoft.com/office/drawing/2014/main" id="{5D93834F-9083-481D-861A-BD83F81358B2}"/>
            </a:ext>
          </a:extLst>
        </xdr:cNvPr>
        <xdr:cNvCxnSpPr/>
      </xdr:nvCxnSpPr>
      <xdr:spPr>
        <a:xfrm flipV="1">
          <a:off x="3862346" y="12136595"/>
          <a:ext cx="13454104" cy="3389"/>
        </a:xfrm>
        <a:prstGeom prst="line">
          <a:avLst/>
        </a:prstGeom>
        <a:ln w="12700">
          <a:solidFill>
            <a:schemeClr val="bg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0</xdr:colOff>
      <xdr:row>38</xdr:row>
      <xdr:rowOff>155032</xdr:rowOff>
    </xdr:from>
    <xdr:to>
      <xdr:col>27</xdr:col>
      <xdr:colOff>0</xdr:colOff>
      <xdr:row>38</xdr:row>
      <xdr:rowOff>155124</xdr:rowOff>
    </xdr:to>
    <xdr:cxnSp macro="">
      <xdr:nvCxnSpPr>
        <xdr:cNvPr id="295" name="Straight Connector 294">
          <a:extLst>
            <a:ext uri="{FF2B5EF4-FFF2-40B4-BE49-F238E27FC236}">
              <a16:creationId xmlns:a16="http://schemas.microsoft.com/office/drawing/2014/main" id="{18D33F90-FD06-479D-B501-4E8BD8C14B97}"/>
            </a:ext>
          </a:extLst>
        </xdr:cNvPr>
        <xdr:cNvCxnSpPr/>
      </xdr:nvCxnSpPr>
      <xdr:spPr>
        <a:xfrm flipV="1">
          <a:off x="13620750" y="6879682"/>
          <a:ext cx="3695700" cy="92"/>
        </a:xfrm>
        <a:prstGeom prst="line">
          <a:avLst/>
        </a:prstGeom>
        <a:ln w="12700">
          <a:solidFill>
            <a:schemeClr val="bg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62365</xdr:colOff>
      <xdr:row>9</xdr:row>
      <xdr:rowOff>159148</xdr:rowOff>
    </xdr:from>
    <xdr:to>
      <xdr:col>25</xdr:col>
      <xdr:colOff>702445</xdr:colOff>
      <xdr:row>9</xdr:row>
      <xdr:rowOff>159148</xdr:rowOff>
    </xdr:to>
    <xdr:cxnSp macro="">
      <xdr:nvCxnSpPr>
        <xdr:cNvPr id="296" name="Straight Connector 295">
          <a:extLst>
            <a:ext uri="{FF2B5EF4-FFF2-40B4-BE49-F238E27FC236}">
              <a16:creationId xmlns:a16="http://schemas.microsoft.com/office/drawing/2014/main" id="{A0A9C8CA-10E8-495D-B83E-1C613ADB516B}"/>
            </a:ext>
          </a:extLst>
        </xdr:cNvPr>
        <xdr:cNvCxnSpPr/>
      </xdr:nvCxnSpPr>
      <xdr:spPr>
        <a:xfrm>
          <a:off x="15969115" y="1797448"/>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58251</xdr:colOff>
      <xdr:row>9</xdr:row>
      <xdr:rowOff>159148</xdr:rowOff>
    </xdr:from>
    <xdr:to>
      <xdr:col>26</xdr:col>
      <xdr:colOff>698331</xdr:colOff>
      <xdr:row>9</xdr:row>
      <xdr:rowOff>159148</xdr:rowOff>
    </xdr:to>
    <xdr:cxnSp macro="">
      <xdr:nvCxnSpPr>
        <xdr:cNvPr id="297" name="Straight Connector 296">
          <a:extLst>
            <a:ext uri="{FF2B5EF4-FFF2-40B4-BE49-F238E27FC236}">
              <a16:creationId xmlns:a16="http://schemas.microsoft.com/office/drawing/2014/main" id="{CB33626F-AB0B-4DAE-B8F7-2D9A85D47528}"/>
            </a:ext>
          </a:extLst>
        </xdr:cNvPr>
        <xdr:cNvCxnSpPr/>
      </xdr:nvCxnSpPr>
      <xdr:spPr>
        <a:xfrm>
          <a:off x="16727001" y="1797448"/>
          <a:ext cx="5892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67196</xdr:colOff>
      <xdr:row>13</xdr:row>
      <xdr:rowOff>159506</xdr:rowOff>
    </xdr:from>
    <xdr:to>
      <xdr:col>25</xdr:col>
      <xdr:colOff>707276</xdr:colOff>
      <xdr:row>13</xdr:row>
      <xdr:rowOff>159506</xdr:rowOff>
    </xdr:to>
    <xdr:cxnSp macro="">
      <xdr:nvCxnSpPr>
        <xdr:cNvPr id="298" name="Straight Connector 297">
          <a:extLst>
            <a:ext uri="{FF2B5EF4-FFF2-40B4-BE49-F238E27FC236}">
              <a16:creationId xmlns:a16="http://schemas.microsoft.com/office/drawing/2014/main" id="{E6845337-AF5E-459B-813D-4EE0EDD976A4}"/>
            </a:ext>
          </a:extLst>
        </xdr:cNvPr>
        <xdr:cNvCxnSpPr/>
      </xdr:nvCxnSpPr>
      <xdr:spPr>
        <a:xfrm>
          <a:off x="15973946" y="2540756"/>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63082</xdr:colOff>
      <xdr:row>13</xdr:row>
      <xdr:rowOff>159506</xdr:rowOff>
    </xdr:from>
    <xdr:to>
      <xdr:col>25</xdr:col>
      <xdr:colOff>703162</xdr:colOff>
      <xdr:row>13</xdr:row>
      <xdr:rowOff>159506</xdr:rowOff>
    </xdr:to>
    <xdr:cxnSp macro="">
      <xdr:nvCxnSpPr>
        <xdr:cNvPr id="299" name="Straight Connector 298">
          <a:extLst>
            <a:ext uri="{FF2B5EF4-FFF2-40B4-BE49-F238E27FC236}">
              <a16:creationId xmlns:a16="http://schemas.microsoft.com/office/drawing/2014/main" id="{2B62DE7D-1A11-48A0-A57C-3527A6010794}"/>
            </a:ext>
          </a:extLst>
        </xdr:cNvPr>
        <xdr:cNvCxnSpPr/>
      </xdr:nvCxnSpPr>
      <xdr:spPr>
        <a:xfrm>
          <a:off x="15969832" y="2540756"/>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68004</xdr:colOff>
      <xdr:row>18</xdr:row>
      <xdr:rowOff>171282</xdr:rowOff>
    </xdr:from>
    <xdr:to>
      <xdr:col>25</xdr:col>
      <xdr:colOff>708084</xdr:colOff>
      <xdr:row>18</xdr:row>
      <xdr:rowOff>171282</xdr:rowOff>
    </xdr:to>
    <xdr:cxnSp macro="">
      <xdr:nvCxnSpPr>
        <xdr:cNvPr id="300" name="Straight Connector 299">
          <a:extLst>
            <a:ext uri="{FF2B5EF4-FFF2-40B4-BE49-F238E27FC236}">
              <a16:creationId xmlns:a16="http://schemas.microsoft.com/office/drawing/2014/main" id="{9991B42C-C9DC-4597-A486-9CA8BC619DF8}"/>
            </a:ext>
          </a:extLst>
        </xdr:cNvPr>
        <xdr:cNvCxnSpPr/>
      </xdr:nvCxnSpPr>
      <xdr:spPr>
        <a:xfrm>
          <a:off x="15974754" y="3473282"/>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63890</xdr:colOff>
      <xdr:row>18</xdr:row>
      <xdr:rowOff>171282</xdr:rowOff>
    </xdr:from>
    <xdr:to>
      <xdr:col>25</xdr:col>
      <xdr:colOff>703970</xdr:colOff>
      <xdr:row>18</xdr:row>
      <xdr:rowOff>171282</xdr:rowOff>
    </xdr:to>
    <xdr:cxnSp macro="">
      <xdr:nvCxnSpPr>
        <xdr:cNvPr id="301" name="Straight Connector 300">
          <a:extLst>
            <a:ext uri="{FF2B5EF4-FFF2-40B4-BE49-F238E27FC236}">
              <a16:creationId xmlns:a16="http://schemas.microsoft.com/office/drawing/2014/main" id="{0AC69817-DC95-4660-9E89-6C586FCE6A11}"/>
            </a:ext>
          </a:extLst>
        </xdr:cNvPr>
        <xdr:cNvCxnSpPr/>
      </xdr:nvCxnSpPr>
      <xdr:spPr>
        <a:xfrm>
          <a:off x="15970640" y="3473282"/>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69448</xdr:colOff>
      <xdr:row>20</xdr:row>
      <xdr:rowOff>166161</xdr:rowOff>
    </xdr:from>
    <xdr:to>
      <xdr:col>25</xdr:col>
      <xdr:colOff>709528</xdr:colOff>
      <xdr:row>20</xdr:row>
      <xdr:rowOff>166161</xdr:rowOff>
    </xdr:to>
    <xdr:cxnSp macro="">
      <xdr:nvCxnSpPr>
        <xdr:cNvPr id="302" name="Straight Connector 301">
          <a:extLst>
            <a:ext uri="{FF2B5EF4-FFF2-40B4-BE49-F238E27FC236}">
              <a16:creationId xmlns:a16="http://schemas.microsoft.com/office/drawing/2014/main" id="{B115437C-8A8B-40CD-B66C-D1BB59ECCB37}"/>
            </a:ext>
          </a:extLst>
        </xdr:cNvPr>
        <xdr:cNvCxnSpPr/>
      </xdr:nvCxnSpPr>
      <xdr:spPr>
        <a:xfrm>
          <a:off x="15976198" y="3703111"/>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65334</xdr:colOff>
      <xdr:row>20</xdr:row>
      <xdr:rowOff>166161</xdr:rowOff>
    </xdr:from>
    <xdr:to>
      <xdr:col>25</xdr:col>
      <xdr:colOff>705414</xdr:colOff>
      <xdr:row>20</xdr:row>
      <xdr:rowOff>166161</xdr:rowOff>
    </xdr:to>
    <xdr:cxnSp macro="">
      <xdr:nvCxnSpPr>
        <xdr:cNvPr id="303" name="Straight Connector 302">
          <a:extLst>
            <a:ext uri="{FF2B5EF4-FFF2-40B4-BE49-F238E27FC236}">
              <a16:creationId xmlns:a16="http://schemas.microsoft.com/office/drawing/2014/main" id="{C52E789F-4281-43F3-93C5-236D23803B7B}"/>
            </a:ext>
          </a:extLst>
        </xdr:cNvPr>
        <xdr:cNvCxnSpPr/>
      </xdr:nvCxnSpPr>
      <xdr:spPr>
        <a:xfrm>
          <a:off x="15972084" y="3703111"/>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74167</xdr:colOff>
      <xdr:row>24</xdr:row>
      <xdr:rowOff>159033</xdr:rowOff>
    </xdr:from>
    <xdr:to>
      <xdr:col>25</xdr:col>
      <xdr:colOff>714247</xdr:colOff>
      <xdr:row>24</xdr:row>
      <xdr:rowOff>159033</xdr:rowOff>
    </xdr:to>
    <xdr:cxnSp macro="">
      <xdr:nvCxnSpPr>
        <xdr:cNvPr id="304" name="Straight Connector 303">
          <a:extLst>
            <a:ext uri="{FF2B5EF4-FFF2-40B4-BE49-F238E27FC236}">
              <a16:creationId xmlns:a16="http://schemas.microsoft.com/office/drawing/2014/main" id="{9F749121-BDC9-4723-8374-24B84229DE88}"/>
            </a:ext>
          </a:extLst>
        </xdr:cNvPr>
        <xdr:cNvCxnSpPr/>
      </xdr:nvCxnSpPr>
      <xdr:spPr>
        <a:xfrm>
          <a:off x="15980917" y="4432583"/>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70053</xdr:colOff>
      <xdr:row>24</xdr:row>
      <xdr:rowOff>159033</xdr:rowOff>
    </xdr:from>
    <xdr:to>
      <xdr:col>26</xdr:col>
      <xdr:colOff>710133</xdr:colOff>
      <xdr:row>24</xdr:row>
      <xdr:rowOff>159033</xdr:rowOff>
    </xdr:to>
    <xdr:cxnSp macro="">
      <xdr:nvCxnSpPr>
        <xdr:cNvPr id="305" name="Straight Connector 304">
          <a:extLst>
            <a:ext uri="{FF2B5EF4-FFF2-40B4-BE49-F238E27FC236}">
              <a16:creationId xmlns:a16="http://schemas.microsoft.com/office/drawing/2014/main" id="{E97A86C3-AECB-4F2A-AA1C-63144F71B6C3}"/>
            </a:ext>
          </a:extLst>
        </xdr:cNvPr>
        <xdr:cNvCxnSpPr/>
      </xdr:nvCxnSpPr>
      <xdr:spPr>
        <a:xfrm>
          <a:off x="16738803" y="4432583"/>
          <a:ext cx="5765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74167</xdr:colOff>
      <xdr:row>28</xdr:row>
      <xdr:rowOff>166653</xdr:rowOff>
    </xdr:from>
    <xdr:to>
      <xdr:col>25</xdr:col>
      <xdr:colOff>714247</xdr:colOff>
      <xdr:row>28</xdr:row>
      <xdr:rowOff>166653</xdr:rowOff>
    </xdr:to>
    <xdr:cxnSp macro="">
      <xdr:nvCxnSpPr>
        <xdr:cNvPr id="306" name="Straight Connector 305">
          <a:extLst>
            <a:ext uri="{FF2B5EF4-FFF2-40B4-BE49-F238E27FC236}">
              <a16:creationId xmlns:a16="http://schemas.microsoft.com/office/drawing/2014/main" id="{F91593F0-B9D6-4813-88D3-38804F1BA80C}"/>
            </a:ext>
          </a:extLst>
        </xdr:cNvPr>
        <xdr:cNvCxnSpPr/>
      </xdr:nvCxnSpPr>
      <xdr:spPr>
        <a:xfrm>
          <a:off x="15980917" y="5176803"/>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70053</xdr:colOff>
      <xdr:row>28</xdr:row>
      <xdr:rowOff>166653</xdr:rowOff>
    </xdr:from>
    <xdr:to>
      <xdr:col>26</xdr:col>
      <xdr:colOff>710133</xdr:colOff>
      <xdr:row>28</xdr:row>
      <xdr:rowOff>166653</xdr:rowOff>
    </xdr:to>
    <xdr:cxnSp macro="">
      <xdr:nvCxnSpPr>
        <xdr:cNvPr id="307" name="Straight Connector 306">
          <a:extLst>
            <a:ext uri="{FF2B5EF4-FFF2-40B4-BE49-F238E27FC236}">
              <a16:creationId xmlns:a16="http://schemas.microsoft.com/office/drawing/2014/main" id="{9005BAF5-F6C8-4B25-B818-1832DBD77260}"/>
            </a:ext>
          </a:extLst>
        </xdr:cNvPr>
        <xdr:cNvCxnSpPr/>
      </xdr:nvCxnSpPr>
      <xdr:spPr>
        <a:xfrm>
          <a:off x="16738803" y="5176803"/>
          <a:ext cx="5765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74167</xdr:colOff>
      <xdr:row>33</xdr:row>
      <xdr:rowOff>161573</xdr:rowOff>
    </xdr:from>
    <xdr:to>
      <xdr:col>25</xdr:col>
      <xdr:colOff>714247</xdr:colOff>
      <xdr:row>33</xdr:row>
      <xdr:rowOff>161573</xdr:rowOff>
    </xdr:to>
    <xdr:cxnSp macro="">
      <xdr:nvCxnSpPr>
        <xdr:cNvPr id="308" name="Straight Connector 307">
          <a:extLst>
            <a:ext uri="{FF2B5EF4-FFF2-40B4-BE49-F238E27FC236}">
              <a16:creationId xmlns:a16="http://schemas.microsoft.com/office/drawing/2014/main" id="{A5A32B43-DCAD-4645-9D0E-1F6347A46705}"/>
            </a:ext>
          </a:extLst>
        </xdr:cNvPr>
        <xdr:cNvCxnSpPr/>
      </xdr:nvCxnSpPr>
      <xdr:spPr>
        <a:xfrm>
          <a:off x="15980917" y="6105173"/>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70053</xdr:colOff>
      <xdr:row>33</xdr:row>
      <xdr:rowOff>161573</xdr:rowOff>
    </xdr:from>
    <xdr:to>
      <xdr:col>26</xdr:col>
      <xdr:colOff>710133</xdr:colOff>
      <xdr:row>33</xdr:row>
      <xdr:rowOff>161573</xdr:rowOff>
    </xdr:to>
    <xdr:cxnSp macro="">
      <xdr:nvCxnSpPr>
        <xdr:cNvPr id="309" name="Straight Connector 308">
          <a:extLst>
            <a:ext uri="{FF2B5EF4-FFF2-40B4-BE49-F238E27FC236}">
              <a16:creationId xmlns:a16="http://schemas.microsoft.com/office/drawing/2014/main" id="{633C5BCA-0BDE-4CED-94A3-9C47EF2FFFB8}"/>
            </a:ext>
          </a:extLst>
        </xdr:cNvPr>
        <xdr:cNvCxnSpPr/>
      </xdr:nvCxnSpPr>
      <xdr:spPr>
        <a:xfrm>
          <a:off x="16738803" y="6105173"/>
          <a:ext cx="5765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71627</xdr:colOff>
      <xdr:row>34</xdr:row>
      <xdr:rowOff>164113</xdr:rowOff>
    </xdr:from>
    <xdr:to>
      <xdr:col>25</xdr:col>
      <xdr:colOff>711707</xdr:colOff>
      <xdr:row>34</xdr:row>
      <xdr:rowOff>164113</xdr:rowOff>
    </xdr:to>
    <xdr:cxnSp macro="">
      <xdr:nvCxnSpPr>
        <xdr:cNvPr id="310" name="Straight Connector 309">
          <a:extLst>
            <a:ext uri="{FF2B5EF4-FFF2-40B4-BE49-F238E27FC236}">
              <a16:creationId xmlns:a16="http://schemas.microsoft.com/office/drawing/2014/main" id="{FB0A16EE-B87D-4834-AC27-73968E3A3CD9}"/>
            </a:ext>
          </a:extLst>
        </xdr:cNvPr>
        <xdr:cNvCxnSpPr/>
      </xdr:nvCxnSpPr>
      <xdr:spPr>
        <a:xfrm>
          <a:off x="15978377" y="6291863"/>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67513</xdr:colOff>
      <xdr:row>34</xdr:row>
      <xdr:rowOff>164113</xdr:rowOff>
    </xdr:from>
    <xdr:to>
      <xdr:col>26</xdr:col>
      <xdr:colOff>707593</xdr:colOff>
      <xdr:row>34</xdr:row>
      <xdr:rowOff>164113</xdr:rowOff>
    </xdr:to>
    <xdr:cxnSp macro="">
      <xdr:nvCxnSpPr>
        <xdr:cNvPr id="311" name="Straight Connector 310">
          <a:extLst>
            <a:ext uri="{FF2B5EF4-FFF2-40B4-BE49-F238E27FC236}">
              <a16:creationId xmlns:a16="http://schemas.microsoft.com/office/drawing/2014/main" id="{3E7F9F2D-925F-4AF3-9981-80C39B3C2669}"/>
            </a:ext>
          </a:extLst>
        </xdr:cNvPr>
        <xdr:cNvCxnSpPr/>
      </xdr:nvCxnSpPr>
      <xdr:spPr>
        <a:xfrm>
          <a:off x="16736263" y="6291863"/>
          <a:ext cx="58293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67221</xdr:colOff>
      <xdr:row>41</xdr:row>
      <xdr:rowOff>164521</xdr:rowOff>
    </xdr:from>
    <xdr:to>
      <xdr:col>26</xdr:col>
      <xdr:colOff>707301</xdr:colOff>
      <xdr:row>41</xdr:row>
      <xdr:rowOff>164521</xdr:rowOff>
    </xdr:to>
    <xdr:cxnSp macro="">
      <xdr:nvCxnSpPr>
        <xdr:cNvPr id="312" name="Straight Connector 311">
          <a:extLst>
            <a:ext uri="{FF2B5EF4-FFF2-40B4-BE49-F238E27FC236}">
              <a16:creationId xmlns:a16="http://schemas.microsoft.com/office/drawing/2014/main" id="{2C907E93-822A-4C63-A29B-1EF035E05327}"/>
            </a:ext>
          </a:extLst>
        </xdr:cNvPr>
        <xdr:cNvCxnSpPr/>
      </xdr:nvCxnSpPr>
      <xdr:spPr>
        <a:xfrm>
          <a:off x="16735971" y="7441621"/>
          <a:ext cx="58293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67221</xdr:colOff>
      <xdr:row>43</xdr:row>
      <xdr:rowOff>165008</xdr:rowOff>
    </xdr:from>
    <xdr:to>
      <xdr:col>26</xdr:col>
      <xdr:colOff>707301</xdr:colOff>
      <xdr:row>43</xdr:row>
      <xdr:rowOff>165008</xdr:rowOff>
    </xdr:to>
    <xdr:cxnSp macro="">
      <xdr:nvCxnSpPr>
        <xdr:cNvPr id="313" name="Straight Connector 312">
          <a:extLst>
            <a:ext uri="{FF2B5EF4-FFF2-40B4-BE49-F238E27FC236}">
              <a16:creationId xmlns:a16="http://schemas.microsoft.com/office/drawing/2014/main" id="{75F88AF3-6AFA-455F-B5B7-68B5F42FF82B}"/>
            </a:ext>
          </a:extLst>
        </xdr:cNvPr>
        <xdr:cNvCxnSpPr/>
      </xdr:nvCxnSpPr>
      <xdr:spPr>
        <a:xfrm>
          <a:off x="16735971" y="7810408"/>
          <a:ext cx="58293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64183</xdr:colOff>
      <xdr:row>48</xdr:row>
      <xdr:rowOff>167497</xdr:rowOff>
    </xdr:from>
    <xdr:to>
      <xdr:col>22</xdr:col>
      <xdr:colOff>704263</xdr:colOff>
      <xdr:row>48</xdr:row>
      <xdr:rowOff>167497</xdr:rowOff>
    </xdr:to>
    <xdr:cxnSp macro="">
      <xdr:nvCxnSpPr>
        <xdr:cNvPr id="314" name="Straight Connector 313">
          <a:extLst>
            <a:ext uri="{FF2B5EF4-FFF2-40B4-BE49-F238E27FC236}">
              <a16:creationId xmlns:a16="http://schemas.microsoft.com/office/drawing/2014/main" id="{D51CC70E-2993-4DCF-8697-D3F146907AC8}"/>
            </a:ext>
          </a:extLst>
        </xdr:cNvPr>
        <xdr:cNvCxnSpPr/>
      </xdr:nvCxnSpPr>
      <xdr:spPr>
        <a:xfrm>
          <a:off x="13684933" y="8733647"/>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606525</xdr:colOff>
      <xdr:row>46</xdr:row>
      <xdr:rowOff>139367</xdr:rowOff>
    </xdr:from>
    <xdr:to>
      <xdr:col>27</xdr:col>
      <xdr:colOff>0</xdr:colOff>
      <xdr:row>46</xdr:row>
      <xdr:rowOff>139367</xdr:rowOff>
    </xdr:to>
    <xdr:cxnSp macro="">
      <xdr:nvCxnSpPr>
        <xdr:cNvPr id="315" name="Straight Connector 314">
          <a:extLst>
            <a:ext uri="{FF2B5EF4-FFF2-40B4-BE49-F238E27FC236}">
              <a16:creationId xmlns:a16="http://schemas.microsoft.com/office/drawing/2014/main" id="{74D04C89-D0C7-4257-BE5E-F2C232FDDA3A}"/>
            </a:ext>
          </a:extLst>
        </xdr:cNvPr>
        <xdr:cNvCxnSpPr/>
      </xdr:nvCxnSpPr>
      <xdr:spPr>
        <a:xfrm>
          <a:off x="13617675" y="8337217"/>
          <a:ext cx="3698775"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61632</xdr:colOff>
      <xdr:row>48</xdr:row>
      <xdr:rowOff>167497</xdr:rowOff>
    </xdr:from>
    <xdr:to>
      <xdr:col>23</xdr:col>
      <xdr:colOff>701712</xdr:colOff>
      <xdr:row>48</xdr:row>
      <xdr:rowOff>167497</xdr:rowOff>
    </xdr:to>
    <xdr:cxnSp macro="">
      <xdr:nvCxnSpPr>
        <xdr:cNvPr id="316" name="Straight Connector 315">
          <a:extLst>
            <a:ext uri="{FF2B5EF4-FFF2-40B4-BE49-F238E27FC236}">
              <a16:creationId xmlns:a16="http://schemas.microsoft.com/office/drawing/2014/main" id="{48A4DCC4-ECF1-4A1C-BF13-4D2796138B7D}"/>
            </a:ext>
          </a:extLst>
        </xdr:cNvPr>
        <xdr:cNvCxnSpPr/>
      </xdr:nvCxnSpPr>
      <xdr:spPr>
        <a:xfrm>
          <a:off x="14444382" y="8733647"/>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24</xdr:col>
      <xdr:colOff>59079</xdr:colOff>
      <xdr:row>48</xdr:row>
      <xdr:rowOff>167497</xdr:rowOff>
    </xdr:from>
    <xdr:to>
      <xdr:col>24</xdr:col>
      <xdr:colOff>699159</xdr:colOff>
      <xdr:row>48</xdr:row>
      <xdr:rowOff>167497</xdr:rowOff>
    </xdr:to>
    <xdr:cxnSp macro="">
      <xdr:nvCxnSpPr>
        <xdr:cNvPr id="317" name="Straight Connector 316">
          <a:extLst>
            <a:ext uri="{FF2B5EF4-FFF2-40B4-BE49-F238E27FC236}">
              <a16:creationId xmlns:a16="http://schemas.microsoft.com/office/drawing/2014/main" id="{C58972D6-5236-400D-BBFF-805718169E3B}"/>
            </a:ext>
          </a:extLst>
        </xdr:cNvPr>
        <xdr:cNvCxnSpPr/>
      </xdr:nvCxnSpPr>
      <xdr:spPr>
        <a:xfrm>
          <a:off x="15203829" y="8733647"/>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68679</xdr:colOff>
      <xdr:row>48</xdr:row>
      <xdr:rowOff>167497</xdr:rowOff>
    </xdr:from>
    <xdr:to>
      <xdr:col>25</xdr:col>
      <xdr:colOff>708759</xdr:colOff>
      <xdr:row>48</xdr:row>
      <xdr:rowOff>167497</xdr:rowOff>
    </xdr:to>
    <xdr:cxnSp macro="">
      <xdr:nvCxnSpPr>
        <xdr:cNvPr id="318" name="Straight Connector 317">
          <a:extLst>
            <a:ext uri="{FF2B5EF4-FFF2-40B4-BE49-F238E27FC236}">
              <a16:creationId xmlns:a16="http://schemas.microsoft.com/office/drawing/2014/main" id="{EF4ABC99-9E77-4BD5-8B52-D55E5875F95E}"/>
            </a:ext>
          </a:extLst>
        </xdr:cNvPr>
        <xdr:cNvCxnSpPr/>
      </xdr:nvCxnSpPr>
      <xdr:spPr>
        <a:xfrm>
          <a:off x="15975429" y="8733647"/>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63090</xdr:colOff>
      <xdr:row>48</xdr:row>
      <xdr:rowOff>167497</xdr:rowOff>
    </xdr:from>
    <xdr:to>
      <xdr:col>26</xdr:col>
      <xdr:colOff>703170</xdr:colOff>
      <xdr:row>48</xdr:row>
      <xdr:rowOff>167497</xdr:rowOff>
    </xdr:to>
    <xdr:cxnSp macro="">
      <xdr:nvCxnSpPr>
        <xdr:cNvPr id="319" name="Straight Connector 318">
          <a:extLst>
            <a:ext uri="{FF2B5EF4-FFF2-40B4-BE49-F238E27FC236}">
              <a16:creationId xmlns:a16="http://schemas.microsoft.com/office/drawing/2014/main" id="{F2BD89FB-1149-40D2-92A6-9BA8D95954F8}"/>
            </a:ext>
          </a:extLst>
        </xdr:cNvPr>
        <xdr:cNvCxnSpPr/>
      </xdr:nvCxnSpPr>
      <xdr:spPr>
        <a:xfrm>
          <a:off x="16731840" y="8733647"/>
          <a:ext cx="58293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61274</xdr:colOff>
      <xdr:row>54</xdr:row>
      <xdr:rowOff>154333</xdr:rowOff>
    </xdr:from>
    <xdr:to>
      <xdr:col>23</xdr:col>
      <xdr:colOff>701354</xdr:colOff>
      <xdr:row>54</xdr:row>
      <xdr:rowOff>154333</xdr:rowOff>
    </xdr:to>
    <xdr:cxnSp macro="">
      <xdr:nvCxnSpPr>
        <xdr:cNvPr id="320" name="Straight Connector 319">
          <a:extLst>
            <a:ext uri="{FF2B5EF4-FFF2-40B4-BE49-F238E27FC236}">
              <a16:creationId xmlns:a16="http://schemas.microsoft.com/office/drawing/2014/main" id="{4F9146B1-C64A-4AA8-B2E7-DD69F090BD9E}"/>
            </a:ext>
          </a:extLst>
        </xdr:cNvPr>
        <xdr:cNvCxnSpPr/>
      </xdr:nvCxnSpPr>
      <xdr:spPr>
        <a:xfrm>
          <a:off x="14444024" y="9672983"/>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24</xdr:col>
      <xdr:colOff>58721</xdr:colOff>
      <xdr:row>54</xdr:row>
      <xdr:rowOff>154333</xdr:rowOff>
    </xdr:from>
    <xdr:to>
      <xdr:col>24</xdr:col>
      <xdr:colOff>698801</xdr:colOff>
      <xdr:row>54</xdr:row>
      <xdr:rowOff>154333</xdr:rowOff>
    </xdr:to>
    <xdr:cxnSp macro="">
      <xdr:nvCxnSpPr>
        <xdr:cNvPr id="321" name="Straight Connector 320">
          <a:extLst>
            <a:ext uri="{FF2B5EF4-FFF2-40B4-BE49-F238E27FC236}">
              <a16:creationId xmlns:a16="http://schemas.microsoft.com/office/drawing/2014/main" id="{054A7096-8AAB-4B7C-B97B-8958A468CAD8}"/>
            </a:ext>
          </a:extLst>
        </xdr:cNvPr>
        <xdr:cNvCxnSpPr/>
      </xdr:nvCxnSpPr>
      <xdr:spPr>
        <a:xfrm>
          <a:off x="15203471" y="9672983"/>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14238</xdr:colOff>
      <xdr:row>57</xdr:row>
      <xdr:rowOff>155953</xdr:rowOff>
    </xdr:from>
    <xdr:to>
      <xdr:col>27</xdr:col>
      <xdr:colOff>0</xdr:colOff>
      <xdr:row>57</xdr:row>
      <xdr:rowOff>156614</xdr:rowOff>
    </xdr:to>
    <xdr:cxnSp macro="">
      <xdr:nvCxnSpPr>
        <xdr:cNvPr id="322" name="Straight Connector 321">
          <a:extLst>
            <a:ext uri="{FF2B5EF4-FFF2-40B4-BE49-F238E27FC236}">
              <a16:creationId xmlns:a16="http://schemas.microsoft.com/office/drawing/2014/main" id="{E9E22039-2C70-4660-8955-042E15169D5F}"/>
            </a:ext>
          </a:extLst>
        </xdr:cNvPr>
        <xdr:cNvCxnSpPr/>
      </xdr:nvCxnSpPr>
      <xdr:spPr>
        <a:xfrm flipV="1">
          <a:off x="13634988" y="10093703"/>
          <a:ext cx="3681462" cy="661"/>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73838</xdr:colOff>
      <xdr:row>59</xdr:row>
      <xdr:rowOff>155229</xdr:rowOff>
    </xdr:from>
    <xdr:to>
      <xdr:col>23</xdr:col>
      <xdr:colOff>713918</xdr:colOff>
      <xdr:row>59</xdr:row>
      <xdr:rowOff>155229</xdr:rowOff>
    </xdr:to>
    <xdr:cxnSp macro="">
      <xdr:nvCxnSpPr>
        <xdr:cNvPr id="323" name="Straight Connector 322">
          <a:extLst>
            <a:ext uri="{FF2B5EF4-FFF2-40B4-BE49-F238E27FC236}">
              <a16:creationId xmlns:a16="http://schemas.microsoft.com/office/drawing/2014/main" id="{04348246-4C37-4CD1-B058-0FA00ABE05C3}"/>
            </a:ext>
          </a:extLst>
        </xdr:cNvPr>
        <xdr:cNvCxnSpPr/>
      </xdr:nvCxnSpPr>
      <xdr:spPr>
        <a:xfrm>
          <a:off x="14456588" y="10467629"/>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24</xdr:col>
      <xdr:colOff>71285</xdr:colOff>
      <xdr:row>59</xdr:row>
      <xdr:rowOff>155229</xdr:rowOff>
    </xdr:from>
    <xdr:to>
      <xdr:col>24</xdr:col>
      <xdr:colOff>711365</xdr:colOff>
      <xdr:row>59</xdr:row>
      <xdr:rowOff>155229</xdr:rowOff>
    </xdr:to>
    <xdr:cxnSp macro="">
      <xdr:nvCxnSpPr>
        <xdr:cNvPr id="324" name="Straight Connector 323">
          <a:extLst>
            <a:ext uri="{FF2B5EF4-FFF2-40B4-BE49-F238E27FC236}">
              <a16:creationId xmlns:a16="http://schemas.microsoft.com/office/drawing/2014/main" id="{1EE0C60F-E95D-4CA4-9187-DC76FB3F4E78}"/>
            </a:ext>
          </a:extLst>
        </xdr:cNvPr>
        <xdr:cNvCxnSpPr/>
      </xdr:nvCxnSpPr>
      <xdr:spPr>
        <a:xfrm>
          <a:off x="15216035" y="10467629"/>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80885</xdr:colOff>
      <xdr:row>59</xdr:row>
      <xdr:rowOff>155229</xdr:rowOff>
    </xdr:from>
    <xdr:to>
      <xdr:col>25</xdr:col>
      <xdr:colOff>720965</xdr:colOff>
      <xdr:row>59</xdr:row>
      <xdr:rowOff>155229</xdr:rowOff>
    </xdr:to>
    <xdr:cxnSp macro="">
      <xdr:nvCxnSpPr>
        <xdr:cNvPr id="325" name="Straight Connector 324">
          <a:extLst>
            <a:ext uri="{FF2B5EF4-FFF2-40B4-BE49-F238E27FC236}">
              <a16:creationId xmlns:a16="http://schemas.microsoft.com/office/drawing/2014/main" id="{E5095BCF-48BF-4B5B-9E2B-AE5C411188C2}"/>
            </a:ext>
          </a:extLst>
        </xdr:cNvPr>
        <xdr:cNvCxnSpPr/>
      </xdr:nvCxnSpPr>
      <xdr:spPr>
        <a:xfrm>
          <a:off x="15987635" y="10467629"/>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75296</xdr:colOff>
      <xdr:row>59</xdr:row>
      <xdr:rowOff>155229</xdr:rowOff>
    </xdr:from>
    <xdr:to>
      <xdr:col>26</xdr:col>
      <xdr:colOff>715376</xdr:colOff>
      <xdr:row>59</xdr:row>
      <xdr:rowOff>155229</xdr:rowOff>
    </xdr:to>
    <xdr:cxnSp macro="">
      <xdr:nvCxnSpPr>
        <xdr:cNvPr id="326" name="Straight Connector 325">
          <a:extLst>
            <a:ext uri="{FF2B5EF4-FFF2-40B4-BE49-F238E27FC236}">
              <a16:creationId xmlns:a16="http://schemas.microsoft.com/office/drawing/2014/main" id="{382CA7FB-3B54-40D6-BB5F-EAF0044FCE25}"/>
            </a:ext>
          </a:extLst>
        </xdr:cNvPr>
        <xdr:cNvCxnSpPr/>
      </xdr:nvCxnSpPr>
      <xdr:spPr>
        <a:xfrm>
          <a:off x="16744046" y="10467629"/>
          <a:ext cx="57023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76885</xdr:colOff>
      <xdr:row>64</xdr:row>
      <xdr:rowOff>159393</xdr:rowOff>
    </xdr:from>
    <xdr:to>
      <xdr:col>23</xdr:col>
      <xdr:colOff>716965</xdr:colOff>
      <xdr:row>64</xdr:row>
      <xdr:rowOff>159393</xdr:rowOff>
    </xdr:to>
    <xdr:cxnSp macro="">
      <xdr:nvCxnSpPr>
        <xdr:cNvPr id="327" name="Straight Connector 326">
          <a:extLst>
            <a:ext uri="{FF2B5EF4-FFF2-40B4-BE49-F238E27FC236}">
              <a16:creationId xmlns:a16="http://schemas.microsoft.com/office/drawing/2014/main" id="{ECFA3A17-4025-487A-A68D-7C3AC70B6C5D}"/>
            </a:ext>
          </a:extLst>
        </xdr:cNvPr>
        <xdr:cNvCxnSpPr/>
      </xdr:nvCxnSpPr>
      <xdr:spPr>
        <a:xfrm>
          <a:off x="14459635" y="11398893"/>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24</xdr:col>
      <xdr:colOff>74332</xdr:colOff>
      <xdr:row>64</xdr:row>
      <xdr:rowOff>159393</xdr:rowOff>
    </xdr:from>
    <xdr:to>
      <xdr:col>24</xdr:col>
      <xdr:colOff>714412</xdr:colOff>
      <xdr:row>64</xdr:row>
      <xdr:rowOff>159393</xdr:rowOff>
    </xdr:to>
    <xdr:cxnSp macro="">
      <xdr:nvCxnSpPr>
        <xdr:cNvPr id="328" name="Straight Connector 327">
          <a:extLst>
            <a:ext uri="{FF2B5EF4-FFF2-40B4-BE49-F238E27FC236}">
              <a16:creationId xmlns:a16="http://schemas.microsoft.com/office/drawing/2014/main" id="{D6D4622C-4FA2-4DA6-A0BB-92490B4CC5AD}"/>
            </a:ext>
          </a:extLst>
        </xdr:cNvPr>
        <xdr:cNvCxnSpPr/>
      </xdr:nvCxnSpPr>
      <xdr:spPr>
        <a:xfrm>
          <a:off x="15219082" y="11398893"/>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83932</xdr:colOff>
      <xdr:row>64</xdr:row>
      <xdr:rowOff>159393</xdr:rowOff>
    </xdr:from>
    <xdr:to>
      <xdr:col>25</xdr:col>
      <xdr:colOff>724012</xdr:colOff>
      <xdr:row>64</xdr:row>
      <xdr:rowOff>159393</xdr:rowOff>
    </xdr:to>
    <xdr:cxnSp macro="">
      <xdr:nvCxnSpPr>
        <xdr:cNvPr id="329" name="Straight Connector 328">
          <a:extLst>
            <a:ext uri="{FF2B5EF4-FFF2-40B4-BE49-F238E27FC236}">
              <a16:creationId xmlns:a16="http://schemas.microsoft.com/office/drawing/2014/main" id="{5DE03C46-B39F-45AD-A2C7-F516960E6AB8}"/>
            </a:ext>
          </a:extLst>
        </xdr:cNvPr>
        <xdr:cNvCxnSpPr/>
      </xdr:nvCxnSpPr>
      <xdr:spPr>
        <a:xfrm>
          <a:off x="15990682" y="11398893"/>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78343</xdr:colOff>
      <xdr:row>64</xdr:row>
      <xdr:rowOff>159393</xdr:rowOff>
    </xdr:from>
    <xdr:to>
      <xdr:col>26</xdr:col>
      <xdr:colOff>718423</xdr:colOff>
      <xdr:row>64</xdr:row>
      <xdr:rowOff>159393</xdr:rowOff>
    </xdr:to>
    <xdr:cxnSp macro="">
      <xdr:nvCxnSpPr>
        <xdr:cNvPr id="330" name="Straight Connector 329">
          <a:extLst>
            <a:ext uri="{FF2B5EF4-FFF2-40B4-BE49-F238E27FC236}">
              <a16:creationId xmlns:a16="http://schemas.microsoft.com/office/drawing/2014/main" id="{6B1E9E85-2FEA-49F1-B313-518166601AF0}"/>
            </a:ext>
          </a:extLst>
        </xdr:cNvPr>
        <xdr:cNvCxnSpPr/>
      </xdr:nvCxnSpPr>
      <xdr:spPr>
        <a:xfrm>
          <a:off x="16747093" y="11398893"/>
          <a:ext cx="57023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9922</xdr:colOff>
      <xdr:row>1</xdr:row>
      <xdr:rowOff>169058</xdr:rowOff>
    </xdr:from>
    <xdr:to>
      <xdr:col>26</xdr:col>
      <xdr:colOff>616824</xdr:colOff>
      <xdr:row>1</xdr:row>
      <xdr:rowOff>169150</xdr:rowOff>
    </xdr:to>
    <xdr:cxnSp macro="">
      <xdr:nvCxnSpPr>
        <xdr:cNvPr id="331" name="Straight Connector 330">
          <a:extLst>
            <a:ext uri="{FF2B5EF4-FFF2-40B4-BE49-F238E27FC236}">
              <a16:creationId xmlns:a16="http://schemas.microsoft.com/office/drawing/2014/main" id="{1B0F58E1-ECD2-46B5-9835-FB3418E29190}"/>
            </a:ext>
          </a:extLst>
        </xdr:cNvPr>
        <xdr:cNvCxnSpPr/>
      </xdr:nvCxnSpPr>
      <xdr:spPr>
        <a:xfrm flipV="1">
          <a:off x="13630672" y="353208"/>
          <a:ext cx="3654902" cy="92"/>
        </a:xfrm>
        <a:prstGeom prst="line">
          <a:avLst/>
        </a:prstGeom>
        <a:ln w="12700">
          <a:solidFill>
            <a:schemeClr val="bg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81638</xdr:colOff>
      <xdr:row>11</xdr:row>
      <xdr:rowOff>169534</xdr:rowOff>
    </xdr:from>
    <xdr:to>
      <xdr:col>20</xdr:col>
      <xdr:colOff>585586</xdr:colOff>
      <xdr:row>11</xdr:row>
      <xdr:rowOff>170691</xdr:rowOff>
    </xdr:to>
    <xdr:cxnSp macro="">
      <xdr:nvCxnSpPr>
        <xdr:cNvPr id="332" name="Straight Connector 331">
          <a:extLst>
            <a:ext uri="{FF2B5EF4-FFF2-40B4-BE49-F238E27FC236}">
              <a16:creationId xmlns:a16="http://schemas.microsoft.com/office/drawing/2014/main" id="{F3C07CE1-6B61-486E-B535-EB0F13399E06}"/>
            </a:ext>
          </a:extLst>
        </xdr:cNvPr>
        <xdr:cNvCxnSpPr/>
      </xdr:nvCxnSpPr>
      <xdr:spPr>
        <a:xfrm flipV="1">
          <a:off x="11873588" y="217613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81981</xdr:colOff>
      <xdr:row>16</xdr:row>
      <xdr:rowOff>154837</xdr:rowOff>
    </xdr:from>
    <xdr:to>
      <xdr:col>10</xdr:col>
      <xdr:colOff>585928</xdr:colOff>
      <xdr:row>16</xdr:row>
      <xdr:rowOff>155994</xdr:rowOff>
    </xdr:to>
    <xdr:cxnSp macro="">
      <xdr:nvCxnSpPr>
        <xdr:cNvPr id="333" name="Straight Connector 332">
          <a:extLst>
            <a:ext uri="{FF2B5EF4-FFF2-40B4-BE49-F238E27FC236}">
              <a16:creationId xmlns:a16="http://schemas.microsoft.com/office/drawing/2014/main" id="{D775ED96-78DC-450F-B877-BE5A338C7224}"/>
            </a:ext>
          </a:extLst>
        </xdr:cNvPr>
        <xdr:cNvCxnSpPr/>
      </xdr:nvCxnSpPr>
      <xdr:spPr>
        <a:xfrm flipV="1">
          <a:off x="5777931" y="308853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84473</xdr:colOff>
      <xdr:row>16</xdr:row>
      <xdr:rowOff>154837</xdr:rowOff>
    </xdr:from>
    <xdr:to>
      <xdr:col>12</xdr:col>
      <xdr:colOff>588420</xdr:colOff>
      <xdr:row>16</xdr:row>
      <xdr:rowOff>155994</xdr:rowOff>
    </xdr:to>
    <xdr:cxnSp macro="">
      <xdr:nvCxnSpPr>
        <xdr:cNvPr id="334" name="Straight Connector 333">
          <a:extLst>
            <a:ext uri="{FF2B5EF4-FFF2-40B4-BE49-F238E27FC236}">
              <a16:creationId xmlns:a16="http://schemas.microsoft.com/office/drawing/2014/main" id="{B54940EB-D50D-467F-821F-536FDE38E7AD}"/>
            </a:ext>
          </a:extLst>
        </xdr:cNvPr>
        <xdr:cNvCxnSpPr/>
      </xdr:nvCxnSpPr>
      <xdr:spPr>
        <a:xfrm flipV="1">
          <a:off x="6999623" y="308853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82797</xdr:colOff>
      <xdr:row>16</xdr:row>
      <xdr:rowOff>154837</xdr:rowOff>
    </xdr:from>
    <xdr:to>
      <xdr:col>14</xdr:col>
      <xdr:colOff>586744</xdr:colOff>
      <xdr:row>16</xdr:row>
      <xdr:rowOff>155994</xdr:rowOff>
    </xdr:to>
    <xdr:cxnSp macro="">
      <xdr:nvCxnSpPr>
        <xdr:cNvPr id="335" name="Straight Connector 334">
          <a:extLst>
            <a:ext uri="{FF2B5EF4-FFF2-40B4-BE49-F238E27FC236}">
              <a16:creationId xmlns:a16="http://schemas.microsoft.com/office/drawing/2014/main" id="{35686327-B67D-40E6-A86B-C1B73E4B381C}"/>
            </a:ext>
          </a:extLst>
        </xdr:cNvPr>
        <xdr:cNvCxnSpPr/>
      </xdr:nvCxnSpPr>
      <xdr:spPr>
        <a:xfrm flipV="1">
          <a:off x="8217147" y="308853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92541</xdr:colOff>
      <xdr:row>16</xdr:row>
      <xdr:rowOff>154837</xdr:rowOff>
    </xdr:from>
    <xdr:to>
      <xdr:col>16</xdr:col>
      <xdr:colOff>596489</xdr:colOff>
      <xdr:row>16</xdr:row>
      <xdr:rowOff>155994</xdr:rowOff>
    </xdr:to>
    <xdr:cxnSp macro="">
      <xdr:nvCxnSpPr>
        <xdr:cNvPr id="336" name="Straight Connector 335">
          <a:extLst>
            <a:ext uri="{FF2B5EF4-FFF2-40B4-BE49-F238E27FC236}">
              <a16:creationId xmlns:a16="http://schemas.microsoft.com/office/drawing/2014/main" id="{CA38B676-34EE-4CF5-8A8F-9461E5B91013}"/>
            </a:ext>
          </a:extLst>
        </xdr:cNvPr>
        <xdr:cNvCxnSpPr/>
      </xdr:nvCxnSpPr>
      <xdr:spPr>
        <a:xfrm flipV="1">
          <a:off x="9446091" y="3088537"/>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81638</xdr:colOff>
      <xdr:row>16</xdr:row>
      <xdr:rowOff>154837</xdr:rowOff>
    </xdr:from>
    <xdr:to>
      <xdr:col>18</xdr:col>
      <xdr:colOff>585586</xdr:colOff>
      <xdr:row>16</xdr:row>
      <xdr:rowOff>155994</xdr:rowOff>
    </xdr:to>
    <xdr:cxnSp macro="">
      <xdr:nvCxnSpPr>
        <xdr:cNvPr id="337" name="Straight Connector 336">
          <a:extLst>
            <a:ext uri="{FF2B5EF4-FFF2-40B4-BE49-F238E27FC236}">
              <a16:creationId xmlns:a16="http://schemas.microsoft.com/office/drawing/2014/main" id="{EA3C95B4-BB27-4E73-8BE4-3682081F70AC}"/>
            </a:ext>
          </a:extLst>
        </xdr:cNvPr>
        <xdr:cNvCxnSpPr/>
      </xdr:nvCxnSpPr>
      <xdr:spPr>
        <a:xfrm flipV="1">
          <a:off x="10654388" y="3088537"/>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81638</xdr:colOff>
      <xdr:row>11</xdr:row>
      <xdr:rowOff>169534</xdr:rowOff>
    </xdr:from>
    <xdr:to>
      <xdr:col>20</xdr:col>
      <xdr:colOff>585586</xdr:colOff>
      <xdr:row>11</xdr:row>
      <xdr:rowOff>170691</xdr:rowOff>
    </xdr:to>
    <xdr:cxnSp macro="">
      <xdr:nvCxnSpPr>
        <xdr:cNvPr id="338" name="Straight Connector 337">
          <a:extLst>
            <a:ext uri="{FF2B5EF4-FFF2-40B4-BE49-F238E27FC236}">
              <a16:creationId xmlns:a16="http://schemas.microsoft.com/office/drawing/2014/main" id="{66D0A253-54C6-468B-AAD7-C3178A0D0CB7}"/>
            </a:ext>
          </a:extLst>
        </xdr:cNvPr>
        <xdr:cNvCxnSpPr/>
      </xdr:nvCxnSpPr>
      <xdr:spPr>
        <a:xfrm flipV="1">
          <a:off x="11873588" y="217613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81638</xdr:colOff>
      <xdr:row>13</xdr:row>
      <xdr:rowOff>154837</xdr:rowOff>
    </xdr:from>
    <xdr:to>
      <xdr:col>20</xdr:col>
      <xdr:colOff>585586</xdr:colOff>
      <xdr:row>13</xdr:row>
      <xdr:rowOff>155994</xdr:rowOff>
    </xdr:to>
    <xdr:cxnSp macro="">
      <xdr:nvCxnSpPr>
        <xdr:cNvPr id="339" name="Straight Connector 338">
          <a:extLst>
            <a:ext uri="{FF2B5EF4-FFF2-40B4-BE49-F238E27FC236}">
              <a16:creationId xmlns:a16="http://schemas.microsoft.com/office/drawing/2014/main" id="{1837BD2D-C3D4-4DB0-BAEF-7F7DFAFF8330}"/>
            </a:ext>
          </a:extLst>
        </xdr:cNvPr>
        <xdr:cNvCxnSpPr/>
      </xdr:nvCxnSpPr>
      <xdr:spPr>
        <a:xfrm flipV="1">
          <a:off x="11873588" y="2536087"/>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81638</xdr:colOff>
      <xdr:row>16</xdr:row>
      <xdr:rowOff>158334</xdr:rowOff>
    </xdr:from>
    <xdr:to>
      <xdr:col>20</xdr:col>
      <xdr:colOff>585586</xdr:colOff>
      <xdr:row>16</xdr:row>
      <xdr:rowOff>159491</xdr:rowOff>
    </xdr:to>
    <xdr:cxnSp macro="">
      <xdr:nvCxnSpPr>
        <xdr:cNvPr id="340" name="Straight Connector 339">
          <a:extLst>
            <a:ext uri="{FF2B5EF4-FFF2-40B4-BE49-F238E27FC236}">
              <a16:creationId xmlns:a16="http://schemas.microsoft.com/office/drawing/2014/main" id="{73134B51-11F5-451C-9BDF-912ABA5B5EF4}"/>
            </a:ext>
          </a:extLst>
        </xdr:cNvPr>
        <xdr:cNvCxnSpPr/>
      </xdr:nvCxnSpPr>
      <xdr:spPr>
        <a:xfrm flipV="1">
          <a:off x="11873588" y="309203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81638</xdr:colOff>
      <xdr:row>18</xdr:row>
      <xdr:rowOff>166215</xdr:rowOff>
    </xdr:from>
    <xdr:to>
      <xdr:col>20</xdr:col>
      <xdr:colOff>585586</xdr:colOff>
      <xdr:row>18</xdr:row>
      <xdr:rowOff>167372</xdr:rowOff>
    </xdr:to>
    <xdr:cxnSp macro="">
      <xdr:nvCxnSpPr>
        <xdr:cNvPr id="341" name="Straight Connector 340">
          <a:extLst>
            <a:ext uri="{FF2B5EF4-FFF2-40B4-BE49-F238E27FC236}">
              <a16:creationId xmlns:a16="http://schemas.microsoft.com/office/drawing/2014/main" id="{65862717-6D7B-4BE6-885C-E9CC33813647}"/>
            </a:ext>
          </a:extLst>
        </xdr:cNvPr>
        <xdr:cNvCxnSpPr/>
      </xdr:nvCxnSpPr>
      <xdr:spPr>
        <a:xfrm flipV="1">
          <a:off x="11873588" y="3468215"/>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96661</xdr:colOff>
      <xdr:row>23</xdr:row>
      <xdr:rowOff>152197</xdr:rowOff>
    </xdr:from>
    <xdr:to>
      <xdr:col>20</xdr:col>
      <xdr:colOff>600563</xdr:colOff>
      <xdr:row>23</xdr:row>
      <xdr:rowOff>153354</xdr:rowOff>
    </xdr:to>
    <xdr:cxnSp macro="">
      <xdr:nvCxnSpPr>
        <xdr:cNvPr id="342" name="Straight Connector 341">
          <a:extLst>
            <a:ext uri="{FF2B5EF4-FFF2-40B4-BE49-F238E27FC236}">
              <a16:creationId xmlns:a16="http://schemas.microsoft.com/office/drawing/2014/main" id="{64F5AE93-B770-439A-BAFB-87A4B5CFACB4}"/>
            </a:ext>
          </a:extLst>
        </xdr:cNvPr>
        <xdr:cNvCxnSpPr/>
      </xdr:nvCxnSpPr>
      <xdr:spPr>
        <a:xfrm flipV="1">
          <a:off x="11888611" y="4241597"/>
          <a:ext cx="1113502"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81638</xdr:colOff>
      <xdr:row>24</xdr:row>
      <xdr:rowOff>191437</xdr:rowOff>
    </xdr:from>
    <xdr:to>
      <xdr:col>20</xdr:col>
      <xdr:colOff>585586</xdr:colOff>
      <xdr:row>24</xdr:row>
      <xdr:rowOff>192594</xdr:rowOff>
    </xdr:to>
    <xdr:cxnSp macro="">
      <xdr:nvCxnSpPr>
        <xdr:cNvPr id="343" name="Straight Connector 342">
          <a:extLst>
            <a:ext uri="{FF2B5EF4-FFF2-40B4-BE49-F238E27FC236}">
              <a16:creationId xmlns:a16="http://schemas.microsoft.com/office/drawing/2014/main" id="{DF0C716E-D325-467A-9557-4A5CE58830DB}"/>
            </a:ext>
          </a:extLst>
        </xdr:cNvPr>
        <xdr:cNvCxnSpPr/>
      </xdr:nvCxnSpPr>
      <xdr:spPr>
        <a:xfrm flipV="1">
          <a:off x="11873588" y="4458637"/>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81638</xdr:colOff>
      <xdr:row>25</xdr:row>
      <xdr:rowOff>5545</xdr:rowOff>
    </xdr:from>
    <xdr:to>
      <xdr:col>20</xdr:col>
      <xdr:colOff>585586</xdr:colOff>
      <xdr:row>25</xdr:row>
      <xdr:rowOff>6702</xdr:rowOff>
    </xdr:to>
    <xdr:cxnSp macro="">
      <xdr:nvCxnSpPr>
        <xdr:cNvPr id="344" name="Straight Connector 343">
          <a:extLst>
            <a:ext uri="{FF2B5EF4-FFF2-40B4-BE49-F238E27FC236}">
              <a16:creationId xmlns:a16="http://schemas.microsoft.com/office/drawing/2014/main" id="{6FCF41BE-2050-4A49-8823-AFB86F9160D2}"/>
            </a:ext>
          </a:extLst>
        </xdr:cNvPr>
        <xdr:cNvCxnSpPr/>
      </xdr:nvCxnSpPr>
      <xdr:spPr>
        <a:xfrm flipV="1">
          <a:off x="11873588" y="4463245"/>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76561</xdr:colOff>
      <xdr:row>33</xdr:row>
      <xdr:rowOff>162327</xdr:rowOff>
    </xdr:from>
    <xdr:to>
      <xdr:col>20</xdr:col>
      <xdr:colOff>580463</xdr:colOff>
      <xdr:row>33</xdr:row>
      <xdr:rowOff>163484</xdr:rowOff>
    </xdr:to>
    <xdr:cxnSp macro="">
      <xdr:nvCxnSpPr>
        <xdr:cNvPr id="345" name="Straight Connector 344">
          <a:extLst>
            <a:ext uri="{FF2B5EF4-FFF2-40B4-BE49-F238E27FC236}">
              <a16:creationId xmlns:a16="http://schemas.microsoft.com/office/drawing/2014/main" id="{538BD2F0-23FD-4619-86B0-EBD82286FB39}"/>
            </a:ext>
          </a:extLst>
        </xdr:cNvPr>
        <xdr:cNvCxnSpPr/>
      </xdr:nvCxnSpPr>
      <xdr:spPr>
        <a:xfrm flipV="1">
          <a:off x="11868511" y="6105927"/>
          <a:ext cx="1113502"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76561</xdr:colOff>
      <xdr:row>40</xdr:row>
      <xdr:rowOff>159727</xdr:rowOff>
    </xdr:from>
    <xdr:to>
      <xdr:col>20</xdr:col>
      <xdr:colOff>580463</xdr:colOff>
      <xdr:row>40</xdr:row>
      <xdr:rowOff>160884</xdr:rowOff>
    </xdr:to>
    <xdr:cxnSp macro="">
      <xdr:nvCxnSpPr>
        <xdr:cNvPr id="346" name="Straight Connector 345">
          <a:extLst>
            <a:ext uri="{FF2B5EF4-FFF2-40B4-BE49-F238E27FC236}">
              <a16:creationId xmlns:a16="http://schemas.microsoft.com/office/drawing/2014/main" id="{EBD22555-3EDB-47C1-B1AC-5AA4FFCD19BE}"/>
            </a:ext>
          </a:extLst>
        </xdr:cNvPr>
        <xdr:cNvCxnSpPr/>
      </xdr:nvCxnSpPr>
      <xdr:spPr>
        <a:xfrm flipV="1">
          <a:off x="11868511" y="7252677"/>
          <a:ext cx="1113502"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57761</xdr:colOff>
      <xdr:row>44</xdr:row>
      <xdr:rowOff>162046</xdr:rowOff>
    </xdr:from>
    <xdr:to>
      <xdr:col>20</xdr:col>
      <xdr:colOff>561663</xdr:colOff>
      <xdr:row>44</xdr:row>
      <xdr:rowOff>163364</xdr:rowOff>
    </xdr:to>
    <xdr:cxnSp macro="">
      <xdr:nvCxnSpPr>
        <xdr:cNvPr id="347" name="Straight Connector 346">
          <a:extLst>
            <a:ext uri="{FF2B5EF4-FFF2-40B4-BE49-F238E27FC236}">
              <a16:creationId xmlns:a16="http://schemas.microsoft.com/office/drawing/2014/main" id="{C2E7C072-C0CB-4AF9-A88C-14B29DA8A9CE}"/>
            </a:ext>
          </a:extLst>
        </xdr:cNvPr>
        <xdr:cNvCxnSpPr/>
      </xdr:nvCxnSpPr>
      <xdr:spPr>
        <a:xfrm flipV="1">
          <a:off x="11849711" y="7991596"/>
          <a:ext cx="1113502"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57761</xdr:colOff>
      <xdr:row>53</xdr:row>
      <xdr:rowOff>159446</xdr:rowOff>
    </xdr:from>
    <xdr:to>
      <xdr:col>20</xdr:col>
      <xdr:colOff>561663</xdr:colOff>
      <xdr:row>53</xdr:row>
      <xdr:rowOff>160764</xdr:rowOff>
    </xdr:to>
    <xdr:cxnSp macro="">
      <xdr:nvCxnSpPr>
        <xdr:cNvPr id="348" name="Straight Connector 347">
          <a:extLst>
            <a:ext uri="{FF2B5EF4-FFF2-40B4-BE49-F238E27FC236}">
              <a16:creationId xmlns:a16="http://schemas.microsoft.com/office/drawing/2014/main" id="{28453AD3-7C6E-4E31-8A8A-A12767B67056}"/>
            </a:ext>
          </a:extLst>
        </xdr:cNvPr>
        <xdr:cNvCxnSpPr/>
      </xdr:nvCxnSpPr>
      <xdr:spPr>
        <a:xfrm flipV="1">
          <a:off x="11849711" y="9493946"/>
          <a:ext cx="1113502"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57761</xdr:colOff>
      <xdr:row>54</xdr:row>
      <xdr:rowOff>161846</xdr:rowOff>
    </xdr:from>
    <xdr:to>
      <xdr:col>20</xdr:col>
      <xdr:colOff>561663</xdr:colOff>
      <xdr:row>54</xdr:row>
      <xdr:rowOff>163164</xdr:rowOff>
    </xdr:to>
    <xdr:cxnSp macro="">
      <xdr:nvCxnSpPr>
        <xdr:cNvPr id="349" name="Straight Connector 348">
          <a:extLst>
            <a:ext uri="{FF2B5EF4-FFF2-40B4-BE49-F238E27FC236}">
              <a16:creationId xmlns:a16="http://schemas.microsoft.com/office/drawing/2014/main" id="{9D991F05-0E05-4FFA-8589-BEBF2A118F61}"/>
            </a:ext>
          </a:extLst>
        </xdr:cNvPr>
        <xdr:cNvCxnSpPr/>
      </xdr:nvCxnSpPr>
      <xdr:spPr>
        <a:xfrm flipV="1">
          <a:off x="11849711" y="9680496"/>
          <a:ext cx="1113502"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57761</xdr:colOff>
      <xdr:row>55</xdr:row>
      <xdr:rowOff>4246</xdr:rowOff>
    </xdr:from>
    <xdr:to>
      <xdr:col>20</xdr:col>
      <xdr:colOff>561663</xdr:colOff>
      <xdr:row>55</xdr:row>
      <xdr:rowOff>5564</xdr:rowOff>
    </xdr:to>
    <xdr:cxnSp macro="">
      <xdr:nvCxnSpPr>
        <xdr:cNvPr id="350" name="Straight Connector 349">
          <a:extLst>
            <a:ext uri="{FF2B5EF4-FFF2-40B4-BE49-F238E27FC236}">
              <a16:creationId xmlns:a16="http://schemas.microsoft.com/office/drawing/2014/main" id="{06BB7E84-DDDC-4ED2-B534-7CB207351CE8}"/>
            </a:ext>
          </a:extLst>
        </xdr:cNvPr>
        <xdr:cNvCxnSpPr/>
      </xdr:nvCxnSpPr>
      <xdr:spPr>
        <a:xfrm flipV="1">
          <a:off x="11849711" y="9707046"/>
          <a:ext cx="1113502"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81638</xdr:colOff>
      <xdr:row>16</xdr:row>
      <xdr:rowOff>154837</xdr:rowOff>
    </xdr:from>
    <xdr:to>
      <xdr:col>20</xdr:col>
      <xdr:colOff>585586</xdr:colOff>
      <xdr:row>16</xdr:row>
      <xdr:rowOff>155994</xdr:rowOff>
    </xdr:to>
    <xdr:cxnSp macro="">
      <xdr:nvCxnSpPr>
        <xdr:cNvPr id="351" name="Straight Connector 350">
          <a:extLst>
            <a:ext uri="{FF2B5EF4-FFF2-40B4-BE49-F238E27FC236}">
              <a16:creationId xmlns:a16="http://schemas.microsoft.com/office/drawing/2014/main" id="{84D7172B-5437-46C7-A8AC-7FF4C37A3C6F}"/>
            </a:ext>
          </a:extLst>
        </xdr:cNvPr>
        <xdr:cNvCxnSpPr/>
      </xdr:nvCxnSpPr>
      <xdr:spPr>
        <a:xfrm flipV="1">
          <a:off x="11873588" y="3088537"/>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81981</xdr:colOff>
      <xdr:row>24</xdr:row>
      <xdr:rowOff>191437</xdr:rowOff>
    </xdr:from>
    <xdr:to>
      <xdr:col>12</xdr:col>
      <xdr:colOff>585928</xdr:colOff>
      <xdr:row>24</xdr:row>
      <xdr:rowOff>192594</xdr:rowOff>
    </xdr:to>
    <xdr:cxnSp macro="">
      <xdr:nvCxnSpPr>
        <xdr:cNvPr id="352" name="Straight Connector 351">
          <a:extLst>
            <a:ext uri="{FF2B5EF4-FFF2-40B4-BE49-F238E27FC236}">
              <a16:creationId xmlns:a16="http://schemas.microsoft.com/office/drawing/2014/main" id="{5176D216-07C9-44B4-A7B8-1C125CD15C98}"/>
            </a:ext>
          </a:extLst>
        </xdr:cNvPr>
        <xdr:cNvCxnSpPr/>
      </xdr:nvCxnSpPr>
      <xdr:spPr>
        <a:xfrm flipV="1">
          <a:off x="6997131" y="445863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81981</xdr:colOff>
      <xdr:row>25</xdr:row>
      <xdr:rowOff>5545</xdr:rowOff>
    </xdr:from>
    <xdr:to>
      <xdr:col>12</xdr:col>
      <xdr:colOff>585928</xdr:colOff>
      <xdr:row>25</xdr:row>
      <xdr:rowOff>6702</xdr:rowOff>
    </xdr:to>
    <xdr:cxnSp macro="">
      <xdr:nvCxnSpPr>
        <xdr:cNvPr id="353" name="Straight Connector 352">
          <a:extLst>
            <a:ext uri="{FF2B5EF4-FFF2-40B4-BE49-F238E27FC236}">
              <a16:creationId xmlns:a16="http://schemas.microsoft.com/office/drawing/2014/main" id="{5D593A96-28D7-435A-A144-4D024B77CF9C}"/>
            </a:ext>
          </a:extLst>
        </xdr:cNvPr>
        <xdr:cNvCxnSpPr/>
      </xdr:nvCxnSpPr>
      <xdr:spPr>
        <a:xfrm flipV="1">
          <a:off x="6997131" y="446324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81981</xdr:colOff>
      <xdr:row>24</xdr:row>
      <xdr:rowOff>191437</xdr:rowOff>
    </xdr:from>
    <xdr:to>
      <xdr:col>14</xdr:col>
      <xdr:colOff>585928</xdr:colOff>
      <xdr:row>24</xdr:row>
      <xdr:rowOff>192594</xdr:rowOff>
    </xdr:to>
    <xdr:cxnSp macro="">
      <xdr:nvCxnSpPr>
        <xdr:cNvPr id="354" name="Straight Connector 353">
          <a:extLst>
            <a:ext uri="{FF2B5EF4-FFF2-40B4-BE49-F238E27FC236}">
              <a16:creationId xmlns:a16="http://schemas.microsoft.com/office/drawing/2014/main" id="{13C01F92-A530-4D0F-9B9B-2750600D5310}"/>
            </a:ext>
          </a:extLst>
        </xdr:cNvPr>
        <xdr:cNvCxnSpPr/>
      </xdr:nvCxnSpPr>
      <xdr:spPr>
        <a:xfrm flipV="1">
          <a:off x="8216331" y="445863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81981</xdr:colOff>
      <xdr:row>25</xdr:row>
      <xdr:rowOff>5545</xdr:rowOff>
    </xdr:from>
    <xdr:to>
      <xdr:col>14</xdr:col>
      <xdr:colOff>585928</xdr:colOff>
      <xdr:row>25</xdr:row>
      <xdr:rowOff>6702</xdr:rowOff>
    </xdr:to>
    <xdr:cxnSp macro="">
      <xdr:nvCxnSpPr>
        <xdr:cNvPr id="355" name="Straight Connector 354">
          <a:extLst>
            <a:ext uri="{FF2B5EF4-FFF2-40B4-BE49-F238E27FC236}">
              <a16:creationId xmlns:a16="http://schemas.microsoft.com/office/drawing/2014/main" id="{B5AB2E5B-68C5-408F-9B68-618290E69B58}"/>
            </a:ext>
          </a:extLst>
        </xdr:cNvPr>
        <xdr:cNvCxnSpPr/>
      </xdr:nvCxnSpPr>
      <xdr:spPr>
        <a:xfrm flipV="1">
          <a:off x="8216331" y="446324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81981</xdr:colOff>
      <xdr:row>24</xdr:row>
      <xdr:rowOff>191437</xdr:rowOff>
    </xdr:from>
    <xdr:to>
      <xdr:col>16</xdr:col>
      <xdr:colOff>585928</xdr:colOff>
      <xdr:row>24</xdr:row>
      <xdr:rowOff>192594</xdr:rowOff>
    </xdr:to>
    <xdr:cxnSp macro="">
      <xdr:nvCxnSpPr>
        <xdr:cNvPr id="356" name="Straight Connector 355">
          <a:extLst>
            <a:ext uri="{FF2B5EF4-FFF2-40B4-BE49-F238E27FC236}">
              <a16:creationId xmlns:a16="http://schemas.microsoft.com/office/drawing/2014/main" id="{9C5554E8-1420-459D-9EF5-8C8912BC8A23}"/>
            </a:ext>
          </a:extLst>
        </xdr:cNvPr>
        <xdr:cNvCxnSpPr/>
      </xdr:nvCxnSpPr>
      <xdr:spPr>
        <a:xfrm flipV="1">
          <a:off x="9435531" y="445863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81981</xdr:colOff>
      <xdr:row>25</xdr:row>
      <xdr:rowOff>5545</xdr:rowOff>
    </xdr:from>
    <xdr:to>
      <xdr:col>16</xdr:col>
      <xdr:colOff>585928</xdr:colOff>
      <xdr:row>25</xdr:row>
      <xdr:rowOff>6702</xdr:rowOff>
    </xdr:to>
    <xdr:cxnSp macro="">
      <xdr:nvCxnSpPr>
        <xdr:cNvPr id="357" name="Straight Connector 356">
          <a:extLst>
            <a:ext uri="{FF2B5EF4-FFF2-40B4-BE49-F238E27FC236}">
              <a16:creationId xmlns:a16="http://schemas.microsoft.com/office/drawing/2014/main" id="{7FA9EEAA-4141-4D98-A038-A6DD8571DF10}"/>
            </a:ext>
          </a:extLst>
        </xdr:cNvPr>
        <xdr:cNvCxnSpPr/>
      </xdr:nvCxnSpPr>
      <xdr:spPr>
        <a:xfrm flipV="1">
          <a:off x="9435531" y="446324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81981</xdr:colOff>
      <xdr:row>24</xdr:row>
      <xdr:rowOff>191437</xdr:rowOff>
    </xdr:from>
    <xdr:to>
      <xdr:col>18</xdr:col>
      <xdr:colOff>585928</xdr:colOff>
      <xdr:row>24</xdr:row>
      <xdr:rowOff>192594</xdr:rowOff>
    </xdr:to>
    <xdr:cxnSp macro="">
      <xdr:nvCxnSpPr>
        <xdr:cNvPr id="358" name="Straight Connector 357">
          <a:extLst>
            <a:ext uri="{FF2B5EF4-FFF2-40B4-BE49-F238E27FC236}">
              <a16:creationId xmlns:a16="http://schemas.microsoft.com/office/drawing/2014/main" id="{8E5EEBAC-520C-4F17-914C-56433FC984BE}"/>
            </a:ext>
          </a:extLst>
        </xdr:cNvPr>
        <xdr:cNvCxnSpPr/>
      </xdr:nvCxnSpPr>
      <xdr:spPr>
        <a:xfrm flipV="1">
          <a:off x="10654731" y="445863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81981</xdr:colOff>
      <xdr:row>25</xdr:row>
      <xdr:rowOff>5545</xdr:rowOff>
    </xdr:from>
    <xdr:to>
      <xdr:col>18</xdr:col>
      <xdr:colOff>585928</xdr:colOff>
      <xdr:row>25</xdr:row>
      <xdr:rowOff>6702</xdr:rowOff>
    </xdr:to>
    <xdr:cxnSp macro="">
      <xdr:nvCxnSpPr>
        <xdr:cNvPr id="359" name="Straight Connector 358">
          <a:extLst>
            <a:ext uri="{FF2B5EF4-FFF2-40B4-BE49-F238E27FC236}">
              <a16:creationId xmlns:a16="http://schemas.microsoft.com/office/drawing/2014/main" id="{2253A2CC-6256-43B7-9036-00984D660314}"/>
            </a:ext>
          </a:extLst>
        </xdr:cNvPr>
        <xdr:cNvCxnSpPr/>
      </xdr:nvCxnSpPr>
      <xdr:spPr>
        <a:xfrm flipV="1">
          <a:off x="10654731" y="446324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81981</xdr:colOff>
      <xdr:row>24</xdr:row>
      <xdr:rowOff>191437</xdr:rowOff>
    </xdr:from>
    <xdr:to>
      <xdr:col>20</xdr:col>
      <xdr:colOff>585928</xdr:colOff>
      <xdr:row>24</xdr:row>
      <xdr:rowOff>192594</xdr:rowOff>
    </xdr:to>
    <xdr:cxnSp macro="">
      <xdr:nvCxnSpPr>
        <xdr:cNvPr id="360" name="Straight Connector 359">
          <a:extLst>
            <a:ext uri="{FF2B5EF4-FFF2-40B4-BE49-F238E27FC236}">
              <a16:creationId xmlns:a16="http://schemas.microsoft.com/office/drawing/2014/main" id="{C28013D5-AA4E-40B0-A0DE-EEF7EADDB0A4}"/>
            </a:ext>
          </a:extLst>
        </xdr:cNvPr>
        <xdr:cNvCxnSpPr/>
      </xdr:nvCxnSpPr>
      <xdr:spPr>
        <a:xfrm flipV="1">
          <a:off x="11873931" y="445863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81981</xdr:colOff>
      <xdr:row>25</xdr:row>
      <xdr:rowOff>5545</xdr:rowOff>
    </xdr:from>
    <xdr:to>
      <xdr:col>20</xdr:col>
      <xdr:colOff>585928</xdr:colOff>
      <xdr:row>25</xdr:row>
      <xdr:rowOff>6702</xdr:rowOff>
    </xdr:to>
    <xdr:cxnSp macro="">
      <xdr:nvCxnSpPr>
        <xdr:cNvPr id="361" name="Straight Connector 360">
          <a:extLst>
            <a:ext uri="{FF2B5EF4-FFF2-40B4-BE49-F238E27FC236}">
              <a16:creationId xmlns:a16="http://schemas.microsoft.com/office/drawing/2014/main" id="{F6951C9B-8DEA-483A-820B-A229E4648A45}"/>
            </a:ext>
          </a:extLst>
        </xdr:cNvPr>
        <xdr:cNvCxnSpPr/>
      </xdr:nvCxnSpPr>
      <xdr:spPr>
        <a:xfrm flipV="1">
          <a:off x="11873931" y="446324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81981</xdr:colOff>
      <xdr:row>27</xdr:row>
      <xdr:rowOff>191437</xdr:rowOff>
    </xdr:from>
    <xdr:to>
      <xdr:col>10</xdr:col>
      <xdr:colOff>585928</xdr:colOff>
      <xdr:row>27</xdr:row>
      <xdr:rowOff>192594</xdr:rowOff>
    </xdr:to>
    <xdr:cxnSp macro="">
      <xdr:nvCxnSpPr>
        <xdr:cNvPr id="362" name="Straight Connector 361">
          <a:extLst>
            <a:ext uri="{FF2B5EF4-FFF2-40B4-BE49-F238E27FC236}">
              <a16:creationId xmlns:a16="http://schemas.microsoft.com/office/drawing/2014/main" id="{10971C90-804B-42B0-9383-D7376C8D0BC2}"/>
            </a:ext>
          </a:extLst>
        </xdr:cNvPr>
        <xdr:cNvCxnSpPr/>
      </xdr:nvCxnSpPr>
      <xdr:spPr>
        <a:xfrm flipV="1">
          <a:off x="5777931" y="501108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81981</xdr:colOff>
      <xdr:row>28</xdr:row>
      <xdr:rowOff>5545</xdr:rowOff>
    </xdr:from>
    <xdr:to>
      <xdr:col>10</xdr:col>
      <xdr:colOff>585928</xdr:colOff>
      <xdr:row>28</xdr:row>
      <xdr:rowOff>6702</xdr:rowOff>
    </xdr:to>
    <xdr:cxnSp macro="">
      <xdr:nvCxnSpPr>
        <xdr:cNvPr id="363" name="Straight Connector 362">
          <a:extLst>
            <a:ext uri="{FF2B5EF4-FFF2-40B4-BE49-F238E27FC236}">
              <a16:creationId xmlns:a16="http://schemas.microsoft.com/office/drawing/2014/main" id="{C58073B4-22CD-4A38-864E-EE7DABED83A2}"/>
            </a:ext>
          </a:extLst>
        </xdr:cNvPr>
        <xdr:cNvCxnSpPr/>
      </xdr:nvCxnSpPr>
      <xdr:spPr>
        <a:xfrm flipV="1">
          <a:off x="5777931" y="501569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81981</xdr:colOff>
      <xdr:row>27</xdr:row>
      <xdr:rowOff>191437</xdr:rowOff>
    </xdr:from>
    <xdr:to>
      <xdr:col>12</xdr:col>
      <xdr:colOff>585928</xdr:colOff>
      <xdr:row>27</xdr:row>
      <xdr:rowOff>192594</xdr:rowOff>
    </xdr:to>
    <xdr:cxnSp macro="">
      <xdr:nvCxnSpPr>
        <xdr:cNvPr id="364" name="Straight Connector 363">
          <a:extLst>
            <a:ext uri="{FF2B5EF4-FFF2-40B4-BE49-F238E27FC236}">
              <a16:creationId xmlns:a16="http://schemas.microsoft.com/office/drawing/2014/main" id="{B51E4C57-30D6-4086-BAD8-C06923D6B7C0}"/>
            </a:ext>
          </a:extLst>
        </xdr:cNvPr>
        <xdr:cNvCxnSpPr/>
      </xdr:nvCxnSpPr>
      <xdr:spPr>
        <a:xfrm flipV="1">
          <a:off x="6997131" y="501108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81981</xdr:colOff>
      <xdr:row>28</xdr:row>
      <xdr:rowOff>5545</xdr:rowOff>
    </xdr:from>
    <xdr:to>
      <xdr:col>12</xdr:col>
      <xdr:colOff>585928</xdr:colOff>
      <xdr:row>28</xdr:row>
      <xdr:rowOff>6702</xdr:rowOff>
    </xdr:to>
    <xdr:cxnSp macro="">
      <xdr:nvCxnSpPr>
        <xdr:cNvPr id="365" name="Straight Connector 364">
          <a:extLst>
            <a:ext uri="{FF2B5EF4-FFF2-40B4-BE49-F238E27FC236}">
              <a16:creationId xmlns:a16="http://schemas.microsoft.com/office/drawing/2014/main" id="{7A84B11A-03B5-4150-AAE2-2F6B4091417A}"/>
            </a:ext>
          </a:extLst>
        </xdr:cNvPr>
        <xdr:cNvCxnSpPr/>
      </xdr:nvCxnSpPr>
      <xdr:spPr>
        <a:xfrm flipV="1">
          <a:off x="6997131" y="501569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81981</xdr:colOff>
      <xdr:row>27</xdr:row>
      <xdr:rowOff>191437</xdr:rowOff>
    </xdr:from>
    <xdr:to>
      <xdr:col>14</xdr:col>
      <xdr:colOff>585928</xdr:colOff>
      <xdr:row>27</xdr:row>
      <xdr:rowOff>192594</xdr:rowOff>
    </xdr:to>
    <xdr:cxnSp macro="">
      <xdr:nvCxnSpPr>
        <xdr:cNvPr id="366" name="Straight Connector 365">
          <a:extLst>
            <a:ext uri="{FF2B5EF4-FFF2-40B4-BE49-F238E27FC236}">
              <a16:creationId xmlns:a16="http://schemas.microsoft.com/office/drawing/2014/main" id="{C2380CD6-DD8E-45F4-A9E3-29423FBD14F4}"/>
            </a:ext>
          </a:extLst>
        </xdr:cNvPr>
        <xdr:cNvCxnSpPr/>
      </xdr:nvCxnSpPr>
      <xdr:spPr>
        <a:xfrm flipV="1">
          <a:off x="8216331" y="501108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81981</xdr:colOff>
      <xdr:row>28</xdr:row>
      <xdr:rowOff>5545</xdr:rowOff>
    </xdr:from>
    <xdr:to>
      <xdr:col>14</xdr:col>
      <xdr:colOff>585928</xdr:colOff>
      <xdr:row>28</xdr:row>
      <xdr:rowOff>6702</xdr:rowOff>
    </xdr:to>
    <xdr:cxnSp macro="">
      <xdr:nvCxnSpPr>
        <xdr:cNvPr id="367" name="Straight Connector 366">
          <a:extLst>
            <a:ext uri="{FF2B5EF4-FFF2-40B4-BE49-F238E27FC236}">
              <a16:creationId xmlns:a16="http://schemas.microsoft.com/office/drawing/2014/main" id="{981BCB30-8CE1-4F90-8788-C83755BE1254}"/>
            </a:ext>
          </a:extLst>
        </xdr:cNvPr>
        <xdr:cNvCxnSpPr/>
      </xdr:nvCxnSpPr>
      <xdr:spPr>
        <a:xfrm flipV="1">
          <a:off x="8216331" y="501569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81981</xdr:colOff>
      <xdr:row>27</xdr:row>
      <xdr:rowOff>191437</xdr:rowOff>
    </xdr:from>
    <xdr:to>
      <xdr:col>16</xdr:col>
      <xdr:colOff>585928</xdr:colOff>
      <xdr:row>27</xdr:row>
      <xdr:rowOff>192594</xdr:rowOff>
    </xdr:to>
    <xdr:cxnSp macro="">
      <xdr:nvCxnSpPr>
        <xdr:cNvPr id="368" name="Straight Connector 367">
          <a:extLst>
            <a:ext uri="{FF2B5EF4-FFF2-40B4-BE49-F238E27FC236}">
              <a16:creationId xmlns:a16="http://schemas.microsoft.com/office/drawing/2014/main" id="{3282EF10-824A-4687-87DE-0D893B8232DB}"/>
            </a:ext>
          </a:extLst>
        </xdr:cNvPr>
        <xdr:cNvCxnSpPr/>
      </xdr:nvCxnSpPr>
      <xdr:spPr>
        <a:xfrm flipV="1">
          <a:off x="9435531" y="501108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81981</xdr:colOff>
      <xdr:row>28</xdr:row>
      <xdr:rowOff>5545</xdr:rowOff>
    </xdr:from>
    <xdr:to>
      <xdr:col>16</xdr:col>
      <xdr:colOff>585928</xdr:colOff>
      <xdr:row>28</xdr:row>
      <xdr:rowOff>6702</xdr:rowOff>
    </xdr:to>
    <xdr:cxnSp macro="">
      <xdr:nvCxnSpPr>
        <xdr:cNvPr id="369" name="Straight Connector 368">
          <a:extLst>
            <a:ext uri="{FF2B5EF4-FFF2-40B4-BE49-F238E27FC236}">
              <a16:creationId xmlns:a16="http://schemas.microsoft.com/office/drawing/2014/main" id="{25E27DB1-D8C3-462C-8FDB-4EE81E0DBA7D}"/>
            </a:ext>
          </a:extLst>
        </xdr:cNvPr>
        <xdr:cNvCxnSpPr/>
      </xdr:nvCxnSpPr>
      <xdr:spPr>
        <a:xfrm flipV="1">
          <a:off x="9435531" y="501569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81981</xdr:colOff>
      <xdr:row>27</xdr:row>
      <xdr:rowOff>191437</xdr:rowOff>
    </xdr:from>
    <xdr:to>
      <xdr:col>18</xdr:col>
      <xdr:colOff>585928</xdr:colOff>
      <xdr:row>27</xdr:row>
      <xdr:rowOff>192594</xdr:rowOff>
    </xdr:to>
    <xdr:cxnSp macro="">
      <xdr:nvCxnSpPr>
        <xdr:cNvPr id="370" name="Straight Connector 369">
          <a:extLst>
            <a:ext uri="{FF2B5EF4-FFF2-40B4-BE49-F238E27FC236}">
              <a16:creationId xmlns:a16="http://schemas.microsoft.com/office/drawing/2014/main" id="{A4474AB9-998B-425F-A737-BE51DCB5D0F1}"/>
            </a:ext>
          </a:extLst>
        </xdr:cNvPr>
        <xdr:cNvCxnSpPr/>
      </xdr:nvCxnSpPr>
      <xdr:spPr>
        <a:xfrm flipV="1">
          <a:off x="10654731" y="501108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81981</xdr:colOff>
      <xdr:row>28</xdr:row>
      <xdr:rowOff>5545</xdr:rowOff>
    </xdr:from>
    <xdr:to>
      <xdr:col>18</xdr:col>
      <xdr:colOff>585928</xdr:colOff>
      <xdr:row>28</xdr:row>
      <xdr:rowOff>6702</xdr:rowOff>
    </xdr:to>
    <xdr:cxnSp macro="">
      <xdr:nvCxnSpPr>
        <xdr:cNvPr id="371" name="Straight Connector 370">
          <a:extLst>
            <a:ext uri="{FF2B5EF4-FFF2-40B4-BE49-F238E27FC236}">
              <a16:creationId xmlns:a16="http://schemas.microsoft.com/office/drawing/2014/main" id="{9B046AD0-A75A-482D-96E6-13D429FC81C1}"/>
            </a:ext>
          </a:extLst>
        </xdr:cNvPr>
        <xdr:cNvCxnSpPr/>
      </xdr:nvCxnSpPr>
      <xdr:spPr>
        <a:xfrm flipV="1">
          <a:off x="10654731" y="501569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81981</xdr:colOff>
      <xdr:row>27</xdr:row>
      <xdr:rowOff>191437</xdr:rowOff>
    </xdr:from>
    <xdr:to>
      <xdr:col>20</xdr:col>
      <xdr:colOff>585928</xdr:colOff>
      <xdr:row>27</xdr:row>
      <xdr:rowOff>192594</xdr:rowOff>
    </xdr:to>
    <xdr:cxnSp macro="">
      <xdr:nvCxnSpPr>
        <xdr:cNvPr id="372" name="Straight Connector 371">
          <a:extLst>
            <a:ext uri="{FF2B5EF4-FFF2-40B4-BE49-F238E27FC236}">
              <a16:creationId xmlns:a16="http://schemas.microsoft.com/office/drawing/2014/main" id="{3F1604AF-C0EE-4E7F-B7E3-7C4F899C8CCF}"/>
            </a:ext>
          </a:extLst>
        </xdr:cNvPr>
        <xdr:cNvCxnSpPr/>
      </xdr:nvCxnSpPr>
      <xdr:spPr>
        <a:xfrm flipV="1">
          <a:off x="11873931" y="501108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81981</xdr:colOff>
      <xdr:row>28</xdr:row>
      <xdr:rowOff>5545</xdr:rowOff>
    </xdr:from>
    <xdr:to>
      <xdr:col>20</xdr:col>
      <xdr:colOff>585928</xdr:colOff>
      <xdr:row>28</xdr:row>
      <xdr:rowOff>6702</xdr:rowOff>
    </xdr:to>
    <xdr:cxnSp macro="">
      <xdr:nvCxnSpPr>
        <xdr:cNvPr id="373" name="Straight Connector 372">
          <a:extLst>
            <a:ext uri="{FF2B5EF4-FFF2-40B4-BE49-F238E27FC236}">
              <a16:creationId xmlns:a16="http://schemas.microsoft.com/office/drawing/2014/main" id="{F85A4E5D-A6DC-4C29-9DFC-A4063ECF2D1A}"/>
            </a:ext>
          </a:extLst>
        </xdr:cNvPr>
        <xdr:cNvCxnSpPr/>
      </xdr:nvCxnSpPr>
      <xdr:spPr>
        <a:xfrm flipV="1">
          <a:off x="11873931" y="501569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58081</xdr:colOff>
      <xdr:row>44</xdr:row>
      <xdr:rowOff>162046</xdr:rowOff>
    </xdr:from>
    <xdr:to>
      <xdr:col>12</xdr:col>
      <xdr:colOff>562028</xdr:colOff>
      <xdr:row>44</xdr:row>
      <xdr:rowOff>163364</xdr:rowOff>
    </xdr:to>
    <xdr:cxnSp macro="">
      <xdr:nvCxnSpPr>
        <xdr:cNvPr id="374" name="Straight Connector 373">
          <a:extLst>
            <a:ext uri="{FF2B5EF4-FFF2-40B4-BE49-F238E27FC236}">
              <a16:creationId xmlns:a16="http://schemas.microsoft.com/office/drawing/2014/main" id="{28462007-EF1A-4CD0-A256-5F7E1535CFA4}"/>
            </a:ext>
          </a:extLst>
        </xdr:cNvPr>
        <xdr:cNvCxnSpPr/>
      </xdr:nvCxnSpPr>
      <xdr:spPr>
        <a:xfrm flipV="1">
          <a:off x="6973231" y="79915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58081</xdr:colOff>
      <xdr:row>44</xdr:row>
      <xdr:rowOff>162046</xdr:rowOff>
    </xdr:from>
    <xdr:to>
      <xdr:col>14</xdr:col>
      <xdr:colOff>562028</xdr:colOff>
      <xdr:row>44</xdr:row>
      <xdr:rowOff>163364</xdr:rowOff>
    </xdr:to>
    <xdr:cxnSp macro="">
      <xdr:nvCxnSpPr>
        <xdr:cNvPr id="375" name="Straight Connector 374">
          <a:extLst>
            <a:ext uri="{FF2B5EF4-FFF2-40B4-BE49-F238E27FC236}">
              <a16:creationId xmlns:a16="http://schemas.microsoft.com/office/drawing/2014/main" id="{B9F0C040-4E5F-4239-8240-E5947D4C6BF6}"/>
            </a:ext>
          </a:extLst>
        </xdr:cNvPr>
        <xdr:cNvCxnSpPr/>
      </xdr:nvCxnSpPr>
      <xdr:spPr>
        <a:xfrm flipV="1">
          <a:off x="8192431" y="79915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58081</xdr:colOff>
      <xdr:row>44</xdr:row>
      <xdr:rowOff>162046</xdr:rowOff>
    </xdr:from>
    <xdr:to>
      <xdr:col>16</xdr:col>
      <xdr:colOff>562028</xdr:colOff>
      <xdr:row>44</xdr:row>
      <xdr:rowOff>163364</xdr:rowOff>
    </xdr:to>
    <xdr:cxnSp macro="">
      <xdr:nvCxnSpPr>
        <xdr:cNvPr id="376" name="Straight Connector 375">
          <a:extLst>
            <a:ext uri="{FF2B5EF4-FFF2-40B4-BE49-F238E27FC236}">
              <a16:creationId xmlns:a16="http://schemas.microsoft.com/office/drawing/2014/main" id="{38A43982-2546-4D08-BB65-120B89A2FDF8}"/>
            </a:ext>
          </a:extLst>
        </xdr:cNvPr>
        <xdr:cNvCxnSpPr/>
      </xdr:nvCxnSpPr>
      <xdr:spPr>
        <a:xfrm flipV="1">
          <a:off x="9411631" y="79915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58081</xdr:colOff>
      <xdr:row>44</xdr:row>
      <xdr:rowOff>162046</xdr:rowOff>
    </xdr:from>
    <xdr:to>
      <xdr:col>18</xdr:col>
      <xdr:colOff>562028</xdr:colOff>
      <xdr:row>44</xdr:row>
      <xdr:rowOff>163364</xdr:rowOff>
    </xdr:to>
    <xdr:cxnSp macro="">
      <xdr:nvCxnSpPr>
        <xdr:cNvPr id="377" name="Straight Connector 376">
          <a:extLst>
            <a:ext uri="{FF2B5EF4-FFF2-40B4-BE49-F238E27FC236}">
              <a16:creationId xmlns:a16="http://schemas.microsoft.com/office/drawing/2014/main" id="{DEFEE7B9-4E4C-4EE2-9372-0B6214EAF73E}"/>
            </a:ext>
          </a:extLst>
        </xdr:cNvPr>
        <xdr:cNvCxnSpPr/>
      </xdr:nvCxnSpPr>
      <xdr:spPr>
        <a:xfrm flipV="1">
          <a:off x="10630831" y="79915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58081</xdr:colOff>
      <xdr:row>44</xdr:row>
      <xdr:rowOff>162046</xdr:rowOff>
    </xdr:from>
    <xdr:to>
      <xdr:col>20</xdr:col>
      <xdr:colOff>562028</xdr:colOff>
      <xdr:row>44</xdr:row>
      <xdr:rowOff>163364</xdr:rowOff>
    </xdr:to>
    <xdr:cxnSp macro="">
      <xdr:nvCxnSpPr>
        <xdr:cNvPr id="378" name="Straight Connector 377">
          <a:extLst>
            <a:ext uri="{FF2B5EF4-FFF2-40B4-BE49-F238E27FC236}">
              <a16:creationId xmlns:a16="http://schemas.microsoft.com/office/drawing/2014/main" id="{D914BC4F-9B34-4FA4-BED2-4E71425DEFFB}"/>
            </a:ext>
          </a:extLst>
        </xdr:cNvPr>
        <xdr:cNvCxnSpPr/>
      </xdr:nvCxnSpPr>
      <xdr:spPr>
        <a:xfrm flipV="1">
          <a:off x="11850031" y="79915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58081</xdr:colOff>
      <xdr:row>53</xdr:row>
      <xdr:rowOff>159446</xdr:rowOff>
    </xdr:from>
    <xdr:to>
      <xdr:col>12</xdr:col>
      <xdr:colOff>562028</xdr:colOff>
      <xdr:row>53</xdr:row>
      <xdr:rowOff>160764</xdr:rowOff>
    </xdr:to>
    <xdr:cxnSp macro="">
      <xdr:nvCxnSpPr>
        <xdr:cNvPr id="379" name="Straight Connector 378">
          <a:extLst>
            <a:ext uri="{FF2B5EF4-FFF2-40B4-BE49-F238E27FC236}">
              <a16:creationId xmlns:a16="http://schemas.microsoft.com/office/drawing/2014/main" id="{4598AA5C-9A61-4ED5-9ECB-56FD8C20D7AD}"/>
            </a:ext>
          </a:extLst>
        </xdr:cNvPr>
        <xdr:cNvCxnSpPr/>
      </xdr:nvCxnSpPr>
      <xdr:spPr>
        <a:xfrm flipV="1">
          <a:off x="6973231" y="94939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58081</xdr:colOff>
      <xdr:row>53</xdr:row>
      <xdr:rowOff>159446</xdr:rowOff>
    </xdr:from>
    <xdr:to>
      <xdr:col>14</xdr:col>
      <xdr:colOff>562028</xdr:colOff>
      <xdr:row>53</xdr:row>
      <xdr:rowOff>160764</xdr:rowOff>
    </xdr:to>
    <xdr:cxnSp macro="">
      <xdr:nvCxnSpPr>
        <xdr:cNvPr id="380" name="Straight Connector 379">
          <a:extLst>
            <a:ext uri="{FF2B5EF4-FFF2-40B4-BE49-F238E27FC236}">
              <a16:creationId xmlns:a16="http://schemas.microsoft.com/office/drawing/2014/main" id="{E680D927-96C5-4B2F-B228-B1AA086821E8}"/>
            </a:ext>
          </a:extLst>
        </xdr:cNvPr>
        <xdr:cNvCxnSpPr/>
      </xdr:nvCxnSpPr>
      <xdr:spPr>
        <a:xfrm flipV="1">
          <a:off x="8192431" y="94939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58081</xdr:colOff>
      <xdr:row>53</xdr:row>
      <xdr:rowOff>159446</xdr:rowOff>
    </xdr:from>
    <xdr:to>
      <xdr:col>16</xdr:col>
      <xdr:colOff>562028</xdr:colOff>
      <xdr:row>53</xdr:row>
      <xdr:rowOff>160764</xdr:rowOff>
    </xdr:to>
    <xdr:cxnSp macro="">
      <xdr:nvCxnSpPr>
        <xdr:cNvPr id="381" name="Straight Connector 380">
          <a:extLst>
            <a:ext uri="{FF2B5EF4-FFF2-40B4-BE49-F238E27FC236}">
              <a16:creationId xmlns:a16="http://schemas.microsoft.com/office/drawing/2014/main" id="{A41C1CFF-44DE-404D-95A0-888A97B25F5F}"/>
            </a:ext>
          </a:extLst>
        </xdr:cNvPr>
        <xdr:cNvCxnSpPr/>
      </xdr:nvCxnSpPr>
      <xdr:spPr>
        <a:xfrm flipV="1">
          <a:off x="9411631" y="94939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58081</xdr:colOff>
      <xdr:row>53</xdr:row>
      <xdr:rowOff>159446</xdr:rowOff>
    </xdr:from>
    <xdr:to>
      <xdr:col>18</xdr:col>
      <xdr:colOff>562028</xdr:colOff>
      <xdr:row>53</xdr:row>
      <xdr:rowOff>160764</xdr:rowOff>
    </xdr:to>
    <xdr:cxnSp macro="">
      <xdr:nvCxnSpPr>
        <xdr:cNvPr id="382" name="Straight Connector 381">
          <a:extLst>
            <a:ext uri="{FF2B5EF4-FFF2-40B4-BE49-F238E27FC236}">
              <a16:creationId xmlns:a16="http://schemas.microsoft.com/office/drawing/2014/main" id="{97FD5267-DD12-420A-A2DA-D94A70017792}"/>
            </a:ext>
          </a:extLst>
        </xdr:cNvPr>
        <xdr:cNvCxnSpPr/>
      </xdr:nvCxnSpPr>
      <xdr:spPr>
        <a:xfrm flipV="1">
          <a:off x="10630831" y="94939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58081</xdr:colOff>
      <xdr:row>53</xdr:row>
      <xdr:rowOff>159446</xdr:rowOff>
    </xdr:from>
    <xdr:to>
      <xdr:col>20</xdr:col>
      <xdr:colOff>562028</xdr:colOff>
      <xdr:row>53</xdr:row>
      <xdr:rowOff>160764</xdr:rowOff>
    </xdr:to>
    <xdr:cxnSp macro="">
      <xdr:nvCxnSpPr>
        <xdr:cNvPr id="383" name="Straight Connector 382">
          <a:extLst>
            <a:ext uri="{FF2B5EF4-FFF2-40B4-BE49-F238E27FC236}">
              <a16:creationId xmlns:a16="http://schemas.microsoft.com/office/drawing/2014/main" id="{362F20E6-53E3-477E-B4D8-E2E03868C311}"/>
            </a:ext>
          </a:extLst>
        </xdr:cNvPr>
        <xdr:cNvCxnSpPr/>
      </xdr:nvCxnSpPr>
      <xdr:spPr>
        <a:xfrm flipV="1">
          <a:off x="11850031" y="94939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58081</xdr:colOff>
      <xdr:row>54</xdr:row>
      <xdr:rowOff>159446</xdr:rowOff>
    </xdr:from>
    <xdr:to>
      <xdr:col>10</xdr:col>
      <xdr:colOff>562028</xdr:colOff>
      <xdr:row>54</xdr:row>
      <xdr:rowOff>160764</xdr:rowOff>
    </xdr:to>
    <xdr:cxnSp macro="">
      <xdr:nvCxnSpPr>
        <xdr:cNvPr id="384" name="Straight Connector 383">
          <a:extLst>
            <a:ext uri="{FF2B5EF4-FFF2-40B4-BE49-F238E27FC236}">
              <a16:creationId xmlns:a16="http://schemas.microsoft.com/office/drawing/2014/main" id="{728CFC2E-D63B-4E07-BB54-B8D96D61C956}"/>
            </a:ext>
          </a:extLst>
        </xdr:cNvPr>
        <xdr:cNvCxnSpPr/>
      </xdr:nvCxnSpPr>
      <xdr:spPr>
        <a:xfrm flipV="1">
          <a:off x="5754031" y="96780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58081</xdr:colOff>
      <xdr:row>54</xdr:row>
      <xdr:rowOff>161846</xdr:rowOff>
    </xdr:from>
    <xdr:to>
      <xdr:col>12</xdr:col>
      <xdr:colOff>562028</xdr:colOff>
      <xdr:row>54</xdr:row>
      <xdr:rowOff>163164</xdr:rowOff>
    </xdr:to>
    <xdr:cxnSp macro="">
      <xdr:nvCxnSpPr>
        <xdr:cNvPr id="385" name="Straight Connector 384">
          <a:extLst>
            <a:ext uri="{FF2B5EF4-FFF2-40B4-BE49-F238E27FC236}">
              <a16:creationId xmlns:a16="http://schemas.microsoft.com/office/drawing/2014/main" id="{7A9B86A4-55E5-4538-96FF-069AD9743C15}"/>
            </a:ext>
          </a:extLst>
        </xdr:cNvPr>
        <xdr:cNvCxnSpPr/>
      </xdr:nvCxnSpPr>
      <xdr:spPr>
        <a:xfrm flipV="1">
          <a:off x="6973231" y="96804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58081</xdr:colOff>
      <xdr:row>54</xdr:row>
      <xdr:rowOff>159446</xdr:rowOff>
    </xdr:from>
    <xdr:to>
      <xdr:col>12</xdr:col>
      <xdr:colOff>562028</xdr:colOff>
      <xdr:row>54</xdr:row>
      <xdr:rowOff>160764</xdr:rowOff>
    </xdr:to>
    <xdr:cxnSp macro="">
      <xdr:nvCxnSpPr>
        <xdr:cNvPr id="386" name="Straight Connector 385">
          <a:extLst>
            <a:ext uri="{FF2B5EF4-FFF2-40B4-BE49-F238E27FC236}">
              <a16:creationId xmlns:a16="http://schemas.microsoft.com/office/drawing/2014/main" id="{03678CF9-2F77-4A52-BFFD-C2DDC9050768}"/>
            </a:ext>
          </a:extLst>
        </xdr:cNvPr>
        <xdr:cNvCxnSpPr/>
      </xdr:nvCxnSpPr>
      <xdr:spPr>
        <a:xfrm flipV="1">
          <a:off x="6973231" y="96780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58081</xdr:colOff>
      <xdr:row>54</xdr:row>
      <xdr:rowOff>161846</xdr:rowOff>
    </xdr:from>
    <xdr:to>
      <xdr:col>14</xdr:col>
      <xdr:colOff>562028</xdr:colOff>
      <xdr:row>54</xdr:row>
      <xdr:rowOff>163164</xdr:rowOff>
    </xdr:to>
    <xdr:cxnSp macro="">
      <xdr:nvCxnSpPr>
        <xdr:cNvPr id="387" name="Straight Connector 386">
          <a:extLst>
            <a:ext uri="{FF2B5EF4-FFF2-40B4-BE49-F238E27FC236}">
              <a16:creationId xmlns:a16="http://schemas.microsoft.com/office/drawing/2014/main" id="{545FD0C7-788A-4EAA-B965-DFF01AFFA35B}"/>
            </a:ext>
          </a:extLst>
        </xdr:cNvPr>
        <xdr:cNvCxnSpPr/>
      </xdr:nvCxnSpPr>
      <xdr:spPr>
        <a:xfrm flipV="1">
          <a:off x="8192431" y="96804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58081</xdr:colOff>
      <xdr:row>54</xdr:row>
      <xdr:rowOff>159446</xdr:rowOff>
    </xdr:from>
    <xdr:to>
      <xdr:col>14</xdr:col>
      <xdr:colOff>562028</xdr:colOff>
      <xdr:row>54</xdr:row>
      <xdr:rowOff>160764</xdr:rowOff>
    </xdr:to>
    <xdr:cxnSp macro="">
      <xdr:nvCxnSpPr>
        <xdr:cNvPr id="388" name="Straight Connector 387">
          <a:extLst>
            <a:ext uri="{FF2B5EF4-FFF2-40B4-BE49-F238E27FC236}">
              <a16:creationId xmlns:a16="http://schemas.microsoft.com/office/drawing/2014/main" id="{547A2217-1B86-4E70-B1B9-48B265FBBBBF}"/>
            </a:ext>
          </a:extLst>
        </xdr:cNvPr>
        <xdr:cNvCxnSpPr/>
      </xdr:nvCxnSpPr>
      <xdr:spPr>
        <a:xfrm flipV="1">
          <a:off x="8192431" y="96780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58081</xdr:colOff>
      <xdr:row>54</xdr:row>
      <xdr:rowOff>161846</xdr:rowOff>
    </xdr:from>
    <xdr:to>
      <xdr:col>16</xdr:col>
      <xdr:colOff>562028</xdr:colOff>
      <xdr:row>54</xdr:row>
      <xdr:rowOff>163164</xdr:rowOff>
    </xdr:to>
    <xdr:cxnSp macro="">
      <xdr:nvCxnSpPr>
        <xdr:cNvPr id="389" name="Straight Connector 388">
          <a:extLst>
            <a:ext uri="{FF2B5EF4-FFF2-40B4-BE49-F238E27FC236}">
              <a16:creationId xmlns:a16="http://schemas.microsoft.com/office/drawing/2014/main" id="{AE60A9DB-95EB-454F-91EE-D00A0D871EF1}"/>
            </a:ext>
          </a:extLst>
        </xdr:cNvPr>
        <xdr:cNvCxnSpPr/>
      </xdr:nvCxnSpPr>
      <xdr:spPr>
        <a:xfrm flipV="1">
          <a:off x="9411631" y="96804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58081</xdr:colOff>
      <xdr:row>54</xdr:row>
      <xdr:rowOff>159446</xdr:rowOff>
    </xdr:from>
    <xdr:to>
      <xdr:col>16</xdr:col>
      <xdr:colOff>562028</xdr:colOff>
      <xdr:row>54</xdr:row>
      <xdr:rowOff>160764</xdr:rowOff>
    </xdr:to>
    <xdr:cxnSp macro="">
      <xdr:nvCxnSpPr>
        <xdr:cNvPr id="390" name="Straight Connector 389">
          <a:extLst>
            <a:ext uri="{FF2B5EF4-FFF2-40B4-BE49-F238E27FC236}">
              <a16:creationId xmlns:a16="http://schemas.microsoft.com/office/drawing/2014/main" id="{98216E3A-0197-4311-A822-C7D29B98839B}"/>
            </a:ext>
          </a:extLst>
        </xdr:cNvPr>
        <xdr:cNvCxnSpPr/>
      </xdr:nvCxnSpPr>
      <xdr:spPr>
        <a:xfrm flipV="1">
          <a:off x="9411631" y="96780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58081</xdr:colOff>
      <xdr:row>54</xdr:row>
      <xdr:rowOff>161846</xdr:rowOff>
    </xdr:from>
    <xdr:to>
      <xdr:col>18</xdr:col>
      <xdr:colOff>562028</xdr:colOff>
      <xdr:row>54</xdr:row>
      <xdr:rowOff>163164</xdr:rowOff>
    </xdr:to>
    <xdr:cxnSp macro="">
      <xdr:nvCxnSpPr>
        <xdr:cNvPr id="391" name="Straight Connector 390">
          <a:extLst>
            <a:ext uri="{FF2B5EF4-FFF2-40B4-BE49-F238E27FC236}">
              <a16:creationId xmlns:a16="http://schemas.microsoft.com/office/drawing/2014/main" id="{CFC6FD1C-C810-404A-8673-C306964C1640}"/>
            </a:ext>
          </a:extLst>
        </xdr:cNvPr>
        <xdr:cNvCxnSpPr/>
      </xdr:nvCxnSpPr>
      <xdr:spPr>
        <a:xfrm flipV="1">
          <a:off x="10630831" y="96804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58081</xdr:colOff>
      <xdr:row>54</xdr:row>
      <xdr:rowOff>159446</xdr:rowOff>
    </xdr:from>
    <xdr:to>
      <xdr:col>18</xdr:col>
      <xdr:colOff>562028</xdr:colOff>
      <xdr:row>54</xdr:row>
      <xdr:rowOff>160764</xdr:rowOff>
    </xdr:to>
    <xdr:cxnSp macro="">
      <xdr:nvCxnSpPr>
        <xdr:cNvPr id="392" name="Straight Connector 391">
          <a:extLst>
            <a:ext uri="{FF2B5EF4-FFF2-40B4-BE49-F238E27FC236}">
              <a16:creationId xmlns:a16="http://schemas.microsoft.com/office/drawing/2014/main" id="{7841C292-6FCF-4A57-941D-7BA940973F1C}"/>
            </a:ext>
          </a:extLst>
        </xdr:cNvPr>
        <xdr:cNvCxnSpPr/>
      </xdr:nvCxnSpPr>
      <xdr:spPr>
        <a:xfrm flipV="1">
          <a:off x="10630831" y="96780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58081</xdr:colOff>
      <xdr:row>54</xdr:row>
      <xdr:rowOff>161846</xdr:rowOff>
    </xdr:from>
    <xdr:to>
      <xdr:col>20</xdr:col>
      <xdr:colOff>562028</xdr:colOff>
      <xdr:row>54</xdr:row>
      <xdr:rowOff>163164</xdr:rowOff>
    </xdr:to>
    <xdr:cxnSp macro="">
      <xdr:nvCxnSpPr>
        <xdr:cNvPr id="393" name="Straight Connector 392">
          <a:extLst>
            <a:ext uri="{FF2B5EF4-FFF2-40B4-BE49-F238E27FC236}">
              <a16:creationId xmlns:a16="http://schemas.microsoft.com/office/drawing/2014/main" id="{32EC3519-00DA-486B-8295-5E7115802C2D}"/>
            </a:ext>
          </a:extLst>
        </xdr:cNvPr>
        <xdr:cNvCxnSpPr/>
      </xdr:nvCxnSpPr>
      <xdr:spPr>
        <a:xfrm flipV="1">
          <a:off x="11850031" y="96804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58081</xdr:colOff>
      <xdr:row>54</xdr:row>
      <xdr:rowOff>159446</xdr:rowOff>
    </xdr:from>
    <xdr:to>
      <xdr:col>20</xdr:col>
      <xdr:colOff>562028</xdr:colOff>
      <xdr:row>54</xdr:row>
      <xdr:rowOff>160764</xdr:rowOff>
    </xdr:to>
    <xdr:cxnSp macro="">
      <xdr:nvCxnSpPr>
        <xdr:cNvPr id="394" name="Straight Connector 393">
          <a:extLst>
            <a:ext uri="{FF2B5EF4-FFF2-40B4-BE49-F238E27FC236}">
              <a16:creationId xmlns:a16="http://schemas.microsoft.com/office/drawing/2014/main" id="{2B4620F2-7B08-474B-80ED-CC27563A9F30}"/>
            </a:ext>
          </a:extLst>
        </xdr:cNvPr>
        <xdr:cNvCxnSpPr/>
      </xdr:nvCxnSpPr>
      <xdr:spPr>
        <a:xfrm flipV="1">
          <a:off x="11850031" y="96780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58081</xdr:colOff>
      <xdr:row>55</xdr:row>
      <xdr:rowOff>4246</xdr:rowOff>
    </xdr:from>
    <xdr:to>
      <xdr:col>12</xdr:col>
      <xdr:colOff>562028</xdr:colOff>
      <xdr:row>55</xdr:row>
      <xdr:rowOff>5564</xdr:rowOff>
    </xdr:to>
    <xdr:cxnSp macro="">
      <xdr:nvCxnSpPr>
        <xdr:cNvPr id="395" name="Straight Connector 394">
          <a:extLst>
            <a:ext uri="{FF2B5EF4-FFF2-40B4-BE49-F238E27FC236}">
              <a16:creationId xmlns:a16="http://schemas.microsoft.com/office/drawing/2014/main" id="{75F25EDF-E0BA-4B03-ADB5-C3CCE80DB415}"/>
            </a:ext>
          </a:extLst>
        </xdr:cNvPr>
        <xdr:cNvCxnSpPr/>
      </xdr:nvCxnSpPr>
      <xdr:spPr>
        <a:xfrm flipV="1">
          <a:off x="6973231" y="97070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58081</xdr:colOff>
      <xdr:row>55</xdr:row>
      <xdr:rowOff>4246</xdr:rowOff>
    </xdr:from>
    <xdr:to>
      <xdr:col>14</xdr:col>
      <xdr:colOff>562028</xdr:colOff>
      <xdr:row>55</xdr:row>
      <xdr:rowOff>5564</xdr:rowOff>
    </xdr:to>
    <xdr:cxnSp macro="">
      <xdr:nvCxnSpPr>
        <xdr:cNvPr id="396" name="Straight Connector 395">
          <a:extLst>
            <a:ext uri="{FF2B5EF4-FFF2-40B4-BE49-F238E27FC236}">
              <a16:creationId xmlns:a16="http://schemas.microsoft.com/office/drawing/2014/main" id="{D4E1BEC9-6511-42C6-8AF8-EECCB2625E95}"/>
            </a:ext>
          </a:extLst>
        </xdr:cNvPr>
        <xdr:cNvCxnSpPr/>
      </xdr:nvCxnSpPr>
      <xdr:spPr>
        <a:xfrm flipV="1">
          <a:off x="8192431" y="97070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58081</xdr:colOff>
      <xdr:row>55</xdr:row>
      <xdr:rowOff>4246</xdr:rowOff>
    </xdr:from>
    <xdr:to>
      <xdr:col>16</xdr:col>
      <xdr:colOff>562028</xdr:colOff>
      <xdr:row>55</xdr:row>
      <xdr:rowOff>5564</xdr:rowOff>
    </xdr:to>
    <xdr:cxnSp macro="">
      <xdr:nvCxnSpPr>
        <xdr:cNvPr id="397" name="Straight Connector 396">
          <a:extLst>
            <a:ext uri="{FF2B5EF4-FFF2-40B4-BE49-F238E27FC236}">
              <a16:creationId xmlns:a16="http://schemas.microsoft.com/office/drawing/2014/main" id="{55B980EA-662E-44BD-9D79-DCD2B21285F6}"/>
            </a:ext>
          </a:extLst>
        </xdr:cNvPr>
        <xdr:cNvCxnSpPr/>
      </xdr:nvCxnSpPr>
      <xdr:spPr>
        <a:xfrm flipV="1">
          <a:off x="9411631" y="97070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58081</xdr:colOff>
      <xdr:row>55</xdr:row>
      <xdr:rowOff>4246</xdr:rowOff>
    </xdr:from>
    <xdr:to>
      <xdr:col>18</xdr:col>
      <xdr:colOff>562028</xdr:colOff>
      <xdr:row>55</xdr:row>
      <xdr:rowOff>5564</xdr:rowOff>
    </xdr:to>
    <xdr:cxnSp macro="">
      <xdr:nvCxnSpPr>
        <xdr:cNvPr id="398" name="Straight Connector 397">
          <a:extLst>
            <a:ext uri="{FF2B5EF4-FFF2-40B4-BE49-F238E27FC236}">
              <a16:creationId xmlns:a16="http://schemas.microsoft.com/office/drawing/2014/main" id="{A8DE9617-19DD-44E6-865F-DCF5D6BF0796}"/>
            </a:ext>
          </a:extLst>
        </xdr:cNvPr>
        <xdr:cNvCxnSpPr/>
      </xdr:nvCxnSpPr>
      <xdr:spPr>
        <a:xfrm flipV="1">
          <a:off x="10630831" y="97070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58081</xdr:colOff>
      <xdr:row>55</xdr:row>
      <xdr:rowOff>4246</xdr:rowOff>
    </xdr:from>
    <xdr:to>
      <xdr:col>20</xdr:col>
      <xdr:colOff>562028</xdr:colOff>
      <xdr:row>55</xdr:row>
      <xdr:rowOff>5564</xdr:rowOff>
    </xdr:to>
    <xdr:cxnSp macro="">
      <xdr:nvCxnSpPr>
        <xdr:cNvPr id="399" name="Straight Connector 398">
          <a:extLst>
            <a:ext uri="{FF2B5EF4-FFF2-40B4-BE49-F238E27FC236}">
              <a16:creationId xmlns:a16="http://schemas.microsoft.com/office/drawing/2014/main" id="{F6C67DDD-FC72-4316-B3F2-A86ADBAE9593}"/>
            </a:ext>
          </a:extLst>
        </xdr:cNvPr>
        <xdr:cNvCxnSpPr/>
      </xdr:nvCxnSpPr>
      <xdr:spPr>
        <a:xfrm flipV="1">
          <a:off x="11850031" y="97070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69448</xdr:colOff>
      <xdr:row>20</xdr:row>
      <xdr:rowOff>166161</xdr:rowOff>
    </xdr:from>
    <xdr:to>
      <xdr:col>25</xdr:col>
      <xdr:colOff>709528</xdr:colOff>
      <xdr:row>20</xdr:row>
      <xdr:rowOff>166161</xdr:rowOff>
    </xdr:to>
    <xdr:cxnSp macro="">
      <xdr:nvCxnSpPr>
        <xdr:cNvPr id="400" name="Straight Connector 399">
          <a:extLst>
            <a:ext uri="{FF2B5EF4-FFF2-40B4-BE49-F238E27FC236}">
              <a16:creationId xmlns:a16="http://schemas.microsoft.com/office/drawing/2014/main" id="{45FF436F-53CF-4C40-B9C3-E4316DED9BBC}"/>
            </a:ext>
          </a:extLst>
        </xdr:cNvPr>
        <xdr:cNvCxnSpPr/>
      </xdr:nvCxnSpPr>
      <xdr:spPr>
        <a:xfrm>
          <a:off x="15976198" y="3703111"/>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69448</xdr:colOff>
      <xdr:row>20</xdr:row>
      <xdr:rowOff>166161</xdr:rowOff>
    </xdr:from>
    <xdr:to>
      <xdr:col>25</xdr:col>
      <xdr:colOff>709528</xdr:colOff>
      <xdr:row>20</xdr:row>
      <xdr:rowOff>166161</xdr:rowOff>
    </xdr:to>
    <xdr:cxnSp macro="">
      <xdr:nvCxnSpPr>
        <xdr:cNvPr id="401" name="Straight Connector 400">
          <a:extLst>
            <a:ext uri="{FF2B5EF4-FFF2-40B4-BE49-F238E27FC236}">
              <a16:creationId xmlns:a16="http://schemas.microsoft.com/office/drawing/2014/main" id="{D829FE36-B135-4E29-A9D9-06991432760A}"/>
            </a:ext>
          </a:extLst>
        </xdr:cNvPr>
        <xdr:cNvCxnSpPr/>
      </xdr:nvCxnSpPr>
      <xdr:spPr>
        <a:xfrm>
          <a:off x="15976198" y="3703111"/>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71627</xdr:colOff>
      <xdr:row>34</xdr:row>
      <xdr:rowOff>164113</xdr:rowOff>
    </xdr:from>
    <xdr:to>
      <xdr:col>26</xdr:col>
      <xdr:colOff>711707</xdr:colOff>
      <xdr:row>34</xdr:row>
      <xdr:rowOff>164113</xdr:rowOff>
    </xdr:to>
    <xdr:cxnSp macro="">
      <xdr:nvCxnSpPr>
        <xdr:cNvPr id="402" name="Straight Connector 401">
          <a:extLst>
            <a:ext uri="{FF2B5EF4-FFF2-40B4-BE49-F238E27FC236}">
              <a16:creationId xmlns:a16="http://schemas.microsoft.com/office/drawing/2014/main" id="{C2FAE0BC-753E-4221-B1A3-28E59C7893FB}"/>
            </a:ext>
          </a:extLst>
        </xdr:cNvPr>
        <xdr:cNvCxnSpPr/>
      </xdr:nvCxnSpPr>
      <xdr:spPr>
        <a:xfrm>
          <a:off x="16740377" y="6291863"/>
          <a:ext cx="5765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81638</xdr:colOff>
      <xdr:row>11</xdr:row>
      <xdr:rowOff>169534</xdr:rowOff>
    </xdr:from>
    <xdr:to>
      <xdr:col>20</xdr:col>
      <xdr:colOff>585586</xdr:colOff>
      <xdr:row>11</xdr:row>
      <xdr:rowOff>170691</xdr:rowOff>
    </xdr:to>
    <xdr:cxnSp macro="">
      <xdr:nvCxnSpPr>
        <xdr:cNvPr id="403" name="Straight Connector 402">
          <a:extLst>
            <a:ext uri="{FF2B5EF4-FFF2-40B4-BE49-F238E27FC236}">
              <a16:creationId xmlns:a16="http://schemas.microsoft.com/office/drawing/2014/main" id="{7CACBB16-DEBF-461E-BBF1-5FD4C036E7E3}"/>
            </a:ext>
          </a:extLst>
        </xdr:cNvPr>
        <xdr:cNvCxnSpPr/>
      </xdr:nvCxnSpPr>
      <xdr:spPr>
        <a:xfrm flipV="1">
          <a:off x="11873588" y="217613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74332</xdr:colOff>
      <xdr:row>64</xdr:row>
      <xdr:rowOff>159393</xdr:rowOff>
    </xdr:from>
    <xdr:to>
      <xdr:col>25</xdr:col>
      <xdr:colOff>714412</xdr:colOff>
      <xdr:row>64</xdr:row>
      <xdr:rowOff>159393</xdr:rowOff>
    </xdr:to>
    <xdr:cxnSp macro="">
      <xdr:nvCxnSpPr>
        <xdr:cNvPr id="404" name="Straight Connector 403">
          <a:extLst>
            <a:ext uri="{FF2B5EF4-FFF2-40B4-BE49-F238E27FC236}">
              <a16:creationId xmlns:a16="http://schemas.microsoft.com/office/drawing/2014/main" id="{30E26885-69B3-4259-90D9-4E6986B0639B}"/>
            </a:ext>
          </a:extLst>
        </xdr:cNvPr>
        <xdr:cNvCxnSpPr/>
      </xdr:nvCxnSpPr>
      <xdr:spPr>
        <a:xfrm>
          <a:off x="15981082" y="11398893"/>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55843</xdr:colOff>
      <xdr:row>26</xdr:row>
      <xdr:rowOff>139492</xdr:rowOff>
    </xdr:from>
    <xdr:to>
      <xdr:col>4</xdr:col>
      <xdr:colOff>541946</xdr:colOff>
      <xdr:row>26</xdr:row>
      <xdr:rowOff>139492</xdr:rowOff>
    </xdr:to>
    <xdr:cxnSp macro="">
      <xdr:nvCxnSpPr>
        <xdr:cNvPr id="405" name="Straight Connector 404">
          <a:extLst>
            <a:ext uri="{FF2B5EF4-FFF2-40B4-BE49-F238E27FC236}">
              <a16:creationId xmlns:a16="http://schemas.microsoft.com/office/drawing/2014/main" id="{E52FD35E-5338-460C-AF61-14A4AC71633A}"/>
            </a:ext>
          </a:extLst>
        </xdr:cNvPr>
        <xdr:cNvCxnSpPr/>
      </xdr:nvCxnSpPr>
      <xdr:spPr>
        <a:xfrm>
          <a:off x="2773643" y="4781342"/>
          <a:ext cx="486103"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55843</xdr:colOff>
      <xdr:row>32</xdr:row>
      <xdr:rowOff>169413</xdr:rowOff>
    </xdr:from>
    <xdr:to>
      <xdr:col>4</xdr:col>
      <xdr:colOff>541946</xdr:colOff>
      <xdr:row>32</xdr:row>
      <xdr:rowOff>169413</xdr:rowOff>
    </xdr:to>
    <xdr:cxnSp macro="">
      <xdr:nvCxnSpPr>
        <xdr:cNvPr id="406" name="Straight Connector 405">
          <a:extLst>
            <a:ext uri="{FF2B5EF4-FFF2-40B4-BE49-F238E27FC236}">
              <a16:creationId xmlns:a16="http://schemas.microsoft.com/office/drawing/2014/main" id="{ACFD3D9E-77D3-4B3B-98F3-545F80029D5C}"/>
            </a:ext>
          </a:extLst>
        </xdr:cNvPr>
        <xdr:cNvCxnSpPr/>
      </xdr:nvCxnSpPr>
      <xdr:spPr>
        <a:xfrm>
          <a:off x="2773643" y="5928863"/>
          <a:ext cx="486103"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55843</xdr:colOff>
      <xdr:row>33</xdr:row>
      <xdr:rowOff>167269</xdr:rowOff>
    </xdr:from>
    <xdr:to>
      <xdr:col>4</xdr:col>
      <xdr:colOff>541946</xdr:colOff>
      <xdr:row>33</xdr:row>
      <xdr:rowOff>167269</xdr:rowOff>
    </xdr:to>
    <xdr:cxnSp macro="">
      <xdr:nvCxnSpPr>
        <xdr:cNvPr id="407" name="Straight Connector 406">
          <a:extLst>
            <a:ext uri="{FF2B5EF4-FFF2-40B4-BE49-F238E27FC236}">
              <a16:creationId xmlns:a16="http://schemas.microsoft.com/office/drawing/2014/main" id="{F13B0F9C-21C7-4408-A946-8CD5CBEA386D}"/>
            </a:ext>
          </a:extLst>
        </xdr:cNvPr>
        <xdr:cNvCxnSpPr/>
      </xdr:nvCxnSpPr>
      <xdr:spPr>
        <a:xfrm>
          <a:off x="2773643" y="6110869"/>
          <a:ext cx="486103"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55843</xdr:colOff>
      <xdr:row>26</xdr:row>
      <xdr:rowOff>139492</xdr:rowOff>
    </xdr:from>
    <xdr:to>
      <xdr:col>4</xdr:col>
      <xdr:colOff>541946</xdr:colOff>
      <xdr:row>26</xdr:row>
      <xdr:rowOff>139492</xdr:rowOff>
    </xdr:to>
    <xdr:cxnSp macro="">
      <xdr:nvCxnSpPr>
        <xdr:cNvPr id="408" name="Straight Connector 407">
          <a:extLst>
            <a:ext uri="{FF2B5EF4-FFF2-40B4-BE49-F238E27FC236}">
              <a16:creationId xmlns:a16="http://schemas.microsoft.com/office/drawing/2014/main" id="{B9F2AFCF-2A03-4F3A-90E3-3EFB4804EDAA}"/>
            </a:ext>
          </a:extLst>
        </xdr:cNvPr>
        <xdr:cNvCxnSpPr/>
      </xdr:nvCxnSpPr>
      <xdr:spPr>
        <a:xfrm>
          <a:off x="2773643" y="4781342"/>
          <a:ext cx="486103"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55843</xdr:colOff>
      <xdr:row>32</xdr:row>
      <xdr:rowOff>169413</xdr:rowOff>
    </xdr:from>
    <xdr:to>
      <xdr:col>4</xdr:col>
      <xdr:colOff>541946</xdr:colOff>
      <xdr:row>32</xdr:row>
      <xdr:rowOff>169413</xdr:rowOff>
    </xdr:to>
    <xdr:cxnSp macro="">
      <xdr:nvCxnSpPr>
        <xdr:cNvPr id="409" name="Straight Connector 408">
          <a:extLst>
            <a:ext uri="{FF2B5EF4-FFF2-40B4-BE49-F238E27FC236}">
              <a16:creationId xmlns:a16="http://schemas.microsoft.com/office/drawing/2014/main" id="{3F2087F9-0583-411D-9BFF-2A3E7B315F95}"/>
            </a:ext>
          </a:extLst>
        </xdr:cNvPr>
        <xdr:cNvCxnSpPr/>
      </xdr:nvCxnSpPr>
      <xdr:spPr>
        <a:xfrm>
          <a:off x="2773643" y="5928863"/>
          <a:ext cx="486103"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55843</xdr:colOff>
      <xdr:row>33</xdr:row>
      <xdr:rowOff>167269</xdr:rowOff>
    </xdr:from>
    <xdr:to>
      <xdr:col>4</xdr:col>
      <xdr:colOff>541946</xdr:colOff>
      <xdr:row>33</xdr:row>
      <xdr:rowOff>167269</xdr:rowOff>
    </xdr:to>
    <xdr:cxnSp macro="">
      <xdr:nvCxnSpPr>
        <xdr:cNvPr id="410" name="Straight Connector 409">
          <a:extLst>
            <a:ext uri="{FF2B5EF4-FFF2-40B4-BE49-F238E27FC236}">
              <a16:creationId xmlns:a16="http://schemas.microsoft.com/office/drawing/2014/main" id="{E5E6BFEF-8FB7-47E7-B97B-B951309501FF}"/>
            </a:ext>
          </a:extLst>
        </xdr:cNvPr>
        <xdr:cNvCxnSpPr/>
      </xdr:nvCxnSpPr>
      <xdr:spPr>
        <a:xfrm>
          <a:off x="2773643" y="6110869"/>
          <a:ext cx="486103"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55843</xdr:colOff>
      <xdr:row>26</xdr:row>
      <xdr:rowOff>139492</xdr:rowOff>
    </xdr:from>
    <xdr:to>
      <xdr:col>4</xdr:col>
      <xdr:colOff>541946</xdr:colOff>
      <xdr:row>26</xdr:row>
      <xdr:rowOff>139492</xdr:rowOff>
    </xdr:to>
    <xdr:cxnSp macro="">
      <xdr:nvCxnSpPr>
        <xdr:cNvPr id="411" name="Straight Connector 410">
          <a:extLst>
            <a:ext uri="{FF2B5EF4-FFF2-40B4-BE49-F238E27FC236}">
              <a16:creationId xmlns:a16="http://schemas.microsoft.com/office/drawing/2014/main" id="{2C7211D5-2157-4F10-AFBA-FA640BBBB0F9}"/>
            </a:ext>
          </a:extLst>
        </xdr:cNvPr>
        <xdr:cNvCxnSpPr/>
      </xdr:nvCxnSpPr>
      <xdr:spPr>
        <a:xfrm>
          <a:off x="2773643" y="4781342"/>
          <a:ext cx="486103"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55843</xdr:colOff>
      <xdr:row>32</xdr:row>
      <xdr:rowOff>169413</xdr:rowOff>
    </xdr:from>
    <xdr:to>
      <xdr:col>4</xdr:col>
      <xdr:colOff>541946</xdr:colOff>
      <xdr:row>32</xdr:row>
      <xdr:rowOff>169413</xdr:rowOff>
    </xdr:to>
    <xdr:cxnSp macro="">
      <xdr:nvCxnSpPr>
        <xdr:cNvPr id="412" name="Straight Connector 411">
          <a:extLst>
            <a:ext uri="{FF2B5EF4-FFF2-40B4-BE49-F238E27FC236}">
              <a16:creationId xmlns:a16="http://schemas.microsoft.com/office/drawing/2014/main" id="{A4149092-05A1-4977-8380-0B46910D859F}"/>
            </a:ext>
          </a:extLst>
        </xdr:cNvPr>
        <xdr:cNvCxnSpPr/>
      </xdr:nvCxnSpPr>
      <xdr:spPr>
        <a:xfrm>
          <a:off x="2773643" y="5928863"/>
          <a:ext cx="486103"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55843</xdr:colOff>
      <xdr:row>33</xdr:row>
      <xdr:rowOff>167269</xdr:rowOff>
    </xdr:from>
    <xdr:to>
      <xdr:col>4</xdr:col>
      <xdr:colOff>541946</xdr:colOff>
      <xdr:row>33</xdr:row>
      <xdr:rowOff>167269</xdr:rowOff>
    </xdr:to>
    <xdr:cxnSp macro="">
      <xdr:nvCxnSpPr>
        <xdr:cNvPr id="413" name="Straight Connector 412">
          <a:extLst>
            <a:ext uri="{FF2B5EF4-FFF2-40B4-BE49-F238E27FC236}">
              <a16:creationId xmlns:a16="http://schemas.microsoft.com/office/drawing/2014/main" id="{38D03826-21A5-4786-827B-45DA111FBAC2}"/>
            </a:ext>
          </a:extLst>
        </xdr:cNvPr>
        <xdr:cNvCxnSpPr/>
      </xdr:nvCxnSpPr>
      <xdr:spPr>
        <a:xfrm>
          <a:off x="2773643" y="6110869"/>
          <a:ext cx="486103"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55843</xdr:colOff>
      <xdr:row>26</xdr:row>
      <xdr:rowOff>139492</xdr:rowOff>
    </xdr:from>
    <xdr:to>
      <xdr:col>4</xdr:col>
      <xdr:colOff>541946</xdr:colOff>
      <xdr:row>26</xdr:row>
      <xdr:rowOff>139492</xdr:rowOff>
    </xdr:to>
    <xdr:cxnSp macro="">
      <xdr:nvCxnSpPr>
        <xdr:cNvPr id="414" name="Straight Connector 413">
          <a:extLst>
            <a:ext uri="{FF2B5EF4-FFF2-40B4-BE49-F238E27FC236}">
              <a16:creationId xmlns:a16="http://schemas.microsoft.com/office/drawing/2014/main" id="{D593A7BF-80E0-4A29-9367-B8E9813CC75F}"/>
            </a:ext>
          </a:extLst>
        </xdr:cNvPr>
        <xdr:cNvCxnSpPr/>
      </xdr:nvCxnSpPr>
      <xdr:spPr>
        <a:xfrm>
          <a:off x="2773643" y="4781342"/>
          <a:ext cx="486103"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55843</xdr:colOff>
      <xdr:row>32</xdr:row>
      <xdr:rowOff>169413</xdr:rowOff>
    </xdr:from>
    <xdr:to>
      <xdr:col>4</xdr:col>
      <xdr:colOff>541946</xdr:colOff>
      <xdr:row>32</xdr:row>
      <xdr:rowOff>169413</xdr:rowOff>
    </xdr:to>
    <xdr:cxnSp macro="">
      <xdr:nvCxnSpPr>
        <xdr:cNvPr id="415" name="Straight Connector 414">
          <a:extLst>
            <a:ext uri="{FF2B5EF4-FFF2-40B4-BE49-F238E27FC236}">
              <a16:creationId xmlns:a16="http://schemas.microsoft.com/office/drawing/2014/main" id="{5F2347A6-6EF7-4A65-938E-A723E37C7B80}"/>
            </a:ext>
          </a:extLst>
        </xdr:cNvPr>
        <xdr:cNvCxnSpPr/>
      </xdr:nvCxnSpPr>
      <xdr:spPr>
        <a:xfrm>
          <a:off x="2773643" y="5928863"/>
          <a:ext cx="486103"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55843</xdr:colOff>
      <xdr:row>33</xdr:row>
      <xdr:rowOff>167269</xdr:rowOff>
    </xdr:from>
    <xdr:to>
      <xdr:col>4</xdr:col>
      <xdr:colOff>541946</xdr:colOff>
      <xdr:row>33</xdr:row>
      <xdr:rowOff>167269</xdr:rowOff>
    </xdr:to>
    <xdr:cxnSp macro="">
      <xdr:nvCxnSpPr>
        <xdr:cNvPr id="416" name="Straight Connector 415">
          <a:extLst>
            <a:ext uri="{FF2B5EF4-FFF2-40B4-BE49-F238E27FC236}">
              <a16:creationId xmlns:a16="http://schemas.microsoft.com/office/drawing/2014/main" id="{1F353EEE-6061-46B5-B3D8-8C4C2E2B0CC1}"/>
            </a:ext>
          </a:extLst>
        </xdr:cNvPr>
        <xdr:cNvCxnSpPr/>
      </xdr:nvCxnSpPr>
      <xdr:spPr>
        <a:xfrm>
          <a:off x="2773643" y="6110869"/>
          <a:ext cx="486103"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55843</xdr:colOff>
      <xdr:row>26</xdr:row>
      <xdr:rowOff>139492</xdr:rowOff>
    </xdr:from>
    <xdr:to>
      <xdr:col>4</xdr:col>
      <xdr:colOff>541946</xdr:colOff>
      <xdr:row>26</xdr:row>
      <xdr:rowOff>139492</xdr:rowOff>
    </xdr:to>
    <xdr:cxnSp macro="">
      <xdr:nvCxnSpPr>
        <xdr:cNvPr id="417" name="Straight Connector 416">
          <a:extLst>
            <a:ext uri="{FF2B5EF4-FFF2-40B4-BE49-F238E27FC236}">
              <a16:creationId xmlns:a16="http://schemas.microsoft.com/office/drawing/2014/main" id="{A98054A9-BD9B-43D9-937F-337A34175446}"/>
            </a:ext>
          </a:extLst>
        </xdr:cNvPr>
        <xdr:cNvCxnSpPr/>
      </xdr:nvCxnSpPr>
      <xdr:spPr>
        <a:xfrm>
          <a:off x="2773643" y="4781342"/>
          <a:ext cx="486103"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55843</xdr:colOff>
      <xdr:row>32</xdr:row>
      <xdr:rowOff>169413</xdr:rowOff>
    </xdr:from>
    <xdr:to>
      <xdr:col>4</xdr:col>
      <xdr:colOff>541946</xdr:colOff>
      <xdr:row>32</xdr:row>
      <xdr:rowOff>169413</xdr:rowOff>
    </xdr:to>
    <xdr:cxnSp macro="">
      <xdr:nvCxnSpPr>
        <xdr:cNvPr id="418" name="Straight Connector 417">
          <a:extLst>
            <a:ext uri="{FF2B5EF4-FFF2-40B4-BE49-F238E27FC236}">
              <a16:creationId xmlns:a16="http://schemas.microsoft.com/office/drawing/2014/main" id="{8D4C34B9-790A-4A85-8970-C1D2B59804C3}"/>
            </a:ext>
          </a:extLst>
        </xdr:cNvPr>
        <xdr:cNvCxnSpPr/>
      </xdr:nvCxnSpPr>
      <xdr:spPr>
        <a:xfrm>
          <a:off x="2773643" y="5928863"/>
          <a:ext cx="486103"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55843</xdr:colOff>
      <xdr:row>33</xdr:row>
      <xdr:rowOff>167269</xdr:rowOff>
    </xdr:from>
    <xdr:to>
      <xdr:col>4</xdr:col>
      <xdr:colOff>541946</xdr:colOff>
      <xdr:row>33</xdr:row>
      <xdr:rowOff>167269</xdr:rowOff>
    </xdr:to>
    <xdr:cxnSp macro="">
      <xdr:nvCxnSpPr>
        <xdr:cNvPr id="419" name="Straight Connector 418">
          <a:extLst>
            <a:ext uri="{FF2B5EF4-FFF2-40B4-BE49-F238E27FC236}">
              <a16:creationId xmlns:a16="http://schemas.microsoft.com/office/drawing/2014/main" id="{A9E20BD7-631F-4496-98B3-BC67A65D4A48}"/>
            </a:ext>
          </a:extLst>
        </xdr:cNvPr>
        <xdr:cNvCxnSpPr/>
      </xdr:nvCxnSpPr>
      <xdr:spPr>
        <a:xfrm>
          <a:off x="2773643" y="6110869"/>
          <a:ext cx="486103"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55843</xdr:colOff>
      <xdr:row>26</xdr:row>
      <xdr:rowOff>139492</xdr:rowOff>
    </xdr:from>
    <xdr:to>
      <xdr:col>4</xdr:col>
      <xdr:colOff>541946</xdr:colOff>
      <xdr:row>26</xdr:row>
      <xdr:rowOff>139492</xdr:rowOff>
    </xdr:to>
    <xdr:cxnSp macro="">
      <xdr:nvCxnSpPr>
        <xdr:cNvPr id="420" name="Straight Connector 419">
          <a:extLst>
            <a:ext uri="{FF2B5EF4-FFF2-40B4-BE49-F238E27FC236}">
              <a16:creationId xmlns:a16="http://schemas.microsoft.com/office/drawing/2014/main" id="{AE6F5570-7414-43B0-B6D7-C8C0BBCE4C93}"/>
            </a:ext>
          </a:extLst>
        </xdr:cNvPr>
        <xdr:cNvCxnSpPr/>
      </xdr:nvCxnSpPr>
      <xdr:spPr>
        <a:xfrm>
          <a:off x="2773643" y="4781342"/>
          <a:ext cx="486103"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55843</xdr:colOff>
      <xdr:row>32</xdr:row>
      <xdr:rowOff>169413</xdr:rowOff>
    </xdr:from>
    <xdr:to>
      <xdr:col>4</xdr:col>
      <xdr:colOff>541946</xdr:colOff>
      <xdr:row>32</xdr:row>
      <xdr:rowOff>169413</xdr:rowOff>
    </xdr:to>
    <xdr:cxnSp macro="">
      <xdr:nvCxnSpPr>
        <xdr:cNvPr id="421" name="Straight Connector 420">
          <a:extLst>
            <a:ext uri="{FF2B5EF4-FFF2-40B4-BE49-F238E27FC236}">
              <a16:creationId xmlns:a16="http://schemas.microsoft.com/office/drawing/2014/main" id="{4302A53D-95C3-4D6A-9C5D-4106508DBD58}"/>
            </a:ext>
          </a:extLst>
        </xdr:cNvPr>
        <xdr:cNvCxnSpPr/>
      </xdr:nvCxnSpPr>
      <xdr:spPr>
        <a:xfrm>
          <a:off x="2773643" y="5928863"/>
          <a:ext cx="486103"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55843</xdr:colOff>
      <xdr:row>33</xdr:row>
      <xdr:rowOff>167269</xdr:rowOff>
    </xdr:from>
    <xdr:to>
      <xdr:col>4</xdr:col>
      <xdr:colOff>541946</xdr:colOff>
      <xdr:row>33</xdr:row>
      <xdr:rowOff>167269</xdr:rowOff>
    </xdr:to>
    <xdr:cxnSp macro="">
      <xdr:nvCxnSpPr>
        <xdr:cNvPr id="422" name="Straight Connector 421">
          <a:extLst>
            <a:ext uri="{FF2B5EF4-FFF2-40B4-BE49-F238E27FC236}">
              <a16:creationId xmlns:a16="http://schemas.microsoft.com/office/drawing/2014/main" id="{A44EEEB6-9391-4D81-B228-2477D01ED6EA}"/>
            </a:ext>
          </a:extLst>
        </xdr:cNvPr>
        <xdr:cNvCxnSpPr/>
      </xdr:nvCxnSpPr>
      <xdr:spPr>
        <a:xfrm>
          <a:off x="2773643" y="6110869"/>
          <a:ext cx="486103"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67196</xdr:colOff>
      <xdr:row>13</xdr:row>
      <xdr:rowOff>159506</xdr:rowOff>
    </xdr:from>
    <xdr:to>
      <xdr:col>26</xdr:col>
      <xdr:colOff>707276</xdr:colOff>
      <xdr:row>13</xdr:row>
      <xdr:rowOff>159506</xdr:rowOff>
    </xdr:to>
    <xdr:cxnSp macro="">
      <xdr:nvCxnSpPr>
        <xdr:cNvPr id="423" name="Straight Connector 422">
          <a:extLst>
            <a:ext uri="{FF2B5EF4-FFF2-40B4-BE49-F238E27FC236}">
              <a16:creationId xmlns:a16="http://schemas.microsoft.com/office/drawing/2014/main" id="{7E8085A1-B132-4444-B993-9449176ADEB3}"/>
            </a:ext>
          </a:extLst>
        </xdr:cNvPr>
        <xdr:cNvCxnSpPr/>
      </xdr:nvCxnSpPr>
      <xdr:spPr>
        <a:xfrm>
          <a:off x="16735946" y="2540756"/>
          <a:ext cx="58293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63082</xdr:colOff>
      <xdr:row>13</xdr:row>
      <xdr:rowOff>159506</xdr:rowOff>
    </xdr:from>
    <xdr:to>
      <xdr:col>26</xdr:col>
      <xdr:colOff>703162</xdr:colOff>
      <xdr:row>13</xdr:row>
      <xdr:rowOff>159506</xdr:rowOff>
    </xdr:to>
    <xdr:cxnSp macro="">
      <xdr:nvCxnSpPr>
        <xdr:cNvPr id="424" name="Straight Connector 423">
          <a:extLst>
            <a:ext uri="{FF2B5EF4-FFF2-40B4-BE49-F238E27FC236}">
              <a16:creationId xmlns:a16="http://schemas.microsoft.com/office/drawing/2014/main" id="{98C3550B-9D34-439C-A770-3EAB7DE92FF5}"/>
            </a:ext>
          </a:extLst>
        </xdr:cNvPr>
        <xdr:cNvCxnSpPr/>
      </xdr:nvCxnSpPr>
      <xdr:spPr>
        <a:xfrm>
          <a:off x="16731832" y="2540756"/>
          <a:ext cx="58293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68004</xdr:colOff>
      <xdr:row>18</xdr:row>
      <xdr:rowOff>171282</xdr:rowOff>
    </xdr:from>
    <xdr:to>
      <xdr:col>26</xdr:col>
      <xdr:colOff>708084</xdr:colOff>
      <xdr:row>18</xdr:row>
      <xdr:rowOff>171282</xdr:rowOff>
    </xdr:to>
    <xdr:cxnSp macro="">
      <xdr:nvCxnSpPr>
        <xdr:cNvPr id="425" name="Straight Connector 424">
          <a:extLst>
            <a:ext uri="{FF2B5EF4-FFF2-40B4-BE49-F238E27FC236}">
              <a16:creationId xmlns:a16="http://schemas.microsoft.com/office/drawing/2014/main" id="{F7656697-A2C6-416C-AE15-A97B8116381A}"/>
            </a:ext>
          </a:extLst>
        </xdr:cNvPr>
        <xdr:cNvCxnSpPr/>
      </xdr:nvCxnSpPr>
      <xdr:spPr>
        <a:xfrm>
          <a:off x="16736754" y="3473282"/>
          <a:ext cx="5765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63890</xdr:colOff>
      <xdr:row>18</xdr:row>
      <xdr:rowOff>171282</xdr:rowOff>
    </xdr:from>
    <xdr:to>
      <xdr:col>26</xdr:col>
      <xdr:colOff>703970</xdr:colOff>
      <xdr:row>18</xdr:row>
      <xdr:rowOff>171282</xdr:rowOff>
    </xdr:to>
    <xdr:cxnSp macro="">
      <xdr:nvCxnSpPr>
        <xdr:cNvPr id="426" name="Straight Connector 425">
          <a:extLst>
            <a:ext uri="{FF2B5EF4-FFF2-40B4-BE49-F238E27FC236}">
              <a16:creationId xmlns:a16="http://schemas.microsoft.com/office/drawing/2014/main" id="{EB7C8BFC-8639-49A0-9401-E0BD12B9A9CF}"/>
            </a:ext>
          </a:extLst>
        </xdr:cNvPr>
        <xdr:cNvCxnSpPr/>
      </xdr:nvCxnSpPr>
      <xdr:spPr>
        <a:xfrm>
          <a:off x="16732640" y="3473282"/>
          <a:ext cx="58293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69448</xdr:colOff>
      <xdr:row>20</xdr:row>
      <xdr:rowOff>166161</xdr:rowOff>
    </xdr:from>
    <xdr:to>
      <xdr:col>26</xdr:col>
      <xdr:colOff>709528</xdr:colOff>
      <xdr:row>20</xdr:row>
      <xdr:rowOff>166161</xdr:rowOff>
    </xdr:to>
    <xdr:cxnSp macro="">
      <xdr:nvCxnSpPr>
        <xdr:cNvPr id="427" name="Straight Connector 426">
          <a:extLst>
            <a:ext uri="{FF2B5EF4-FFF2-40B4-BE49-F238E27FC236}">
              <a16:creationId xmlns:a16="http://schemas.microsoft.com/office/drawing/2014/main" id="{7FCACB6F-C4AB-4ED9-AA3E-48141787CABD}"/>
            </a:ext>
          </a:extLst>
        </xdr:cNvPr>
        <xdr:cNvCxnSpPr/>
      </xdr:nvCxnSpPr>
      <xdr:spPr>
        <a:xfrm>
          <a:off x="16738198" y="3703111"/>
          <a:ext cx="5765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65334</xdr:colOff>
      <xdr:row>20</xdr:row>
      <xdr:rowOff>166161</xdr:rowOff>
    </xdr:from>
    <xdr:to>
      <xdr:col>26</xdr:col>
      <xdr:colOff>705414</xdr:colOff>
      <xdr:row>20</xdr:row>
      <xdr:rowOff>166161</xdr:rowOff>
    </xdr:to>
    <xdr:cxnSp macro="">
      <xdr:nvCxnSpPr>
        <xdr:cNvPr id="428" name="Straight Connector 427">
          <a:extLst>
            <a:ext uri="{FF2B5EF4-FFF2-40B4-BE49-F238E27FC236}">
              <a16:creationId xmlns:a16="http://schemas.microsoft.com/office/drawing/2014/main" id="{17B036AA-D56B-4D98-82D5-EA471F9EBE22}"/>
            </a:ext>
          </a:extLst>
        </xdr:cNvPr>
        <xdr:cNvCxnSpPr/>
      </xdr:nvCxnSpPr>
      <xdr:spPr>
        <a:xfrm>
          <a:off x="16734084" y="3703111"/>
          <a:ext cx="58293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69448</xdr:colOff>
      <xdr:row>20</xdr:row>
      <xdr:rowOff>166161</xdr:rowOff>
    </xdr:from>
    <xdr:to>
      <xdr:col>26</xdr:col>
      <xdr:colOff>709528</xdr:colOff>
      <xdr:row>20</xdr:row>
      <xdr:rowOff>166161</xdr:rowOff>
    </xdr:to>
    <xdr:cxnSp macro="">
      <xdr:nvCxnSpPr>
        <xdr:cNvPr id="429" name="Straight Connector 428">
          <a:extLst>
            <a:ext uri="{FF2B5EF4-FFF2-40B4-BE49-F238E27FC236}">
              <a16:creationId xmlns:a16="http://schemas.microsoft.com/office/drawing/2014/main" id="{0C3AE1E9-2BEC-492E-9B3E-C87CF13386B0}"/>
            </a:ext>
          </a:extLst>
        </xdr:cNvPr>
        <xdr:cNvCxnSpPr/>
      </xdr:nvCxnSpPr>
      <xdr:spPr>
        <a:xfrm>
          <a:off x="16738198" y="3703111"/>
          <a:ext cx="5765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69448</xdr:colOff>
      <xdr:row>20</xdr:row>
      <xdr:rowOff>166161</xdr:rowOff>
    </xdr:from>
    <xdr:to>
      <xdr:col>26</xdr:col>
      <xdr:colOff>709528</xdr:colOff>
      <xdr:row>20</xdr:row>
      <xdr:rowOff>166161</xdr:rowOff>
    </xdr:to>
    <xdr:cxnSp macro="">
      <xdr:nvCxnSpPr>
        <xdr:cNvPr id="430" name="Straight Connector 429">
          <a:extLst>
            <a:ext uri="{FF2B5EF4-FFF2-40B4-BE49-F238E27FC236}">
              <a16:creationId xmlns:a16="http://schemas.microsoft.com/office/drawing/2014/main" id="{8EB6B17D-534C-40CA-B7EE-880ADBD18825}"/>
            </a:ext>
          </a:extLst>
        </xdr:cNvPr>
        <xdr:cNvCxnSpPr/>
      </xdr:nvCxnSpPr>
      <xdr:spPr>
        <a:xfrm>
          <a:off x="16738198" y="3703111"/>
          <a:ext cx="5765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67196</xdr:colOff>
      <xdr:row>13</xdr:row>
      <xdr:rowOff>159506</xdr:rowOff>
    </xdr:from>
    <xdr:to>
      <xdr:col>26</xdr:col>
      <xdr:colOff>707276</xdr:colOff>
      <xdr:row>13</xdr:row>
      <xdr:rowOff>159506</xdr:rowOff>
    </xdr:to>
    <xdr:cxnSp macro="">
      <xdr:nvCxnSpPr>
        <xdr:cNvPr id="431" name="Straight Connector 430">
          <a:extLst>
            <a:ext uri="{FF2B5EF4-FFF2-40B4-BE49-F238E27FC236}">
              <a16:creationId xmlns:a16="http://schemas.microsoft.com/office/drawing/2014/main" id="{5EC5FAC3-1A54-42BF-86EC-4D3E2E932BD6}"/>
            </a:ext>
          </a:extLst>
        </xdr:cNvPr>
        <xdr:cNvCxnSpPr/>
      </xdr:nvCxnSpPr>
      <xdr:spPr>
        <a:xfrm>
          <a:off x="16735946" y="2540756"/>
          <a:ext cx="58293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63082</xdr:colOff>
      <xdr:row>13</xdr:row>
      <xdr:rowOff>159506</xdr:rowOff>
    </xdr:from>
    <xdr:to>
      <xdr:col>26</xdr:col>
      <xdr:colOff>703162</xdr:colOff>
      <xdr:row>13</xdr:row>
      <xdr:rowOff>159506</xdr:rowOff>
    </xdr:to>
    <xdr:cxnSp macro="">
      <xdr:nvCxnSpPr>
        <xdr:cNvPr id="432" name="Straight Connector 431">
          <a:extLst>
            <a:ext uri="{FF2B5EF4-FFF2-40B4-BE49-F238E27FC236}">
              <a16:creationId xmlns:a16="http://schemas.microsoft.com/office/drawing/2014/main" id="{2F20F970-D550-4D7E-8F89-46FB9EA08F91}"/>
            </a:ext>
          </a:extLst>
        </xdr:cNvPr>
        <xdr:cNvCxnSpPr/>
      </xdr:nvCxnSpPr>
      <xdr:spPr>
        <a:xfrm>
          <a:off x="16731832" y="2540756"/>
          <a:ext cx="58293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68004</xdr:colOff>
      <xdr:row>18</xdr:row>
      <xdr:rowOff>171282</xdr:rowOff>
    </xdr:from>
    <xdr:to>
      <xdr:col>26</xdr:col>
      <xdr:colOff>708084</xdr:colOff>
      <xdr:row>18</xdr:row>
      <xdr:rowOff>171282</xdr:rowOff>
    </xdr:to>
    <xdr:cxnSp macro="">
      <xdr:nvCxnSpPr>
        <xdr:cNvPr id="433" name="Straight Connector 432">
          <a:extLst>
            <a:ext uri="{FF2B5EF4-FFF2-40B4-BE49-F238E27FC236}">
              <a16:creationId xmlns:a16="http://schemas.microsoft.com/office/drawing/2014/main" id="{4C6987FF-9696-46D2-97A9-A844487C5AEE}"/>
            </a:ext>
          </a:extLst>
        </xdr:cNvPr>
        <xdr:cNvCxnSpPr/>
      </xdr:nvCxnSpPr>
      <xdr:spPr>
        <a:xfrm>
          <a:off x="16736754" y="3473282"/>
          <a:ext cx="5765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63890</xdr:colOff>
      <xdr:row>18</xdr:row>
      <xdr:rowOff>171282</xdr:rowOff>
    </xdr:from>
    <xdr:to>
      <xdr:col>26</xdr:col>
      <xdr:colOff>703970</xdr:colOff>
      <xdr:row>18</xdr:row>
      <xdr:rowOff>171282</xdr:rowOff>
    </xdr:to>
    <xdr:cxnSp macro="">
      <xdr:nvCxnSpPr>
        <xdr:cNvPr id="434" name="Straight Connector 433">
          <a:extLst>
            <a:ext uri="{FF2B5EF4-FFF2-40B4-BE49-F238E27FC236}">
              <a16:creationId xmlns:a16="http://schemas.microsoft.com/office/drawing/2014/main" id="{7C93AD05-2C9F-4964-B11E-ED3769D79D38}"/>
            </a:ext>
          </a:extLst>
        </xdr:cNvPr>
        <xdr:cNvCxnSpPr/>
      </xdr:nvCxnSpPr>
      <xdr:spPr>
        <a:xfrm>
          <a:off x="16732640" y="3473282"/>
          <a:ext cx="58293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69448</xdr:colOff>
      <xdr:row>20</xdr:row>
      <xdr:rowOff>166161</xdr:rowOff>
    </xdr:from>
    <xdr:to>
      <xdr:col>26</xdr:col>
      <xdr:colOff>709528</xdr:colOff>
      <xdr:row>20</xdr:row>
      <xdr:rowOff>166161</xdr:rowOff>
    </xdr:to>
    <xdr:cxnSp macro="">
      <xdr:nvCxnSpPr>
        <xdr:cNvPr id="435" name="Straight Connector 434">
          <a:extLst>
            <a:ext uri="{FF2B5EF4-FFF2-40B4-BE49-F238E27FC236}">
              <a16:creationId xmlns:a16="http://schemas.microsoft.com/office/drawing/2014/main" id="{520480BC-BAC0-42AB-A31E-B263715A9775}"/>
            </a:ext>
          </a:extLst>
        </xdr:cNvPr>
        <xdr:cNvCxnSpPr/>
      </xdr:nvCxnSpPr>
      <xdr:spPr>
        <a:xfrm>
          <a:off x="16738198" y="3703111"/>
          <a:ext cx="5765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65334</xdr:colOff>
      <xdr:row>20</xdr:row>
      <xdr:rowOff>166161</xdr:rowOff>
    </xdr:from>
    <xdr:to>
      <xdr:col>26</xdr:col>
      <xdr:colOff>705414</xdr:colOff>
      <xdr:row>20</xdr:row>
      <xdr:rowOff>166161</xdr:rowOff>
    </xdr:to>
    <xdr:cxnSp macro="">
      <xdr:nvCxnSpPr>
        <xdr:cNvPr id="436" name="Straight Connector 435">
          <a:extLst>
            <a:ext uri="{FF2B5EF4-FFF2-40B4-BE49-F238E27FC236}">
              <a16:creationId xmlns:a16="http://schemas.microsoft.com/office/drawing/2014/main" id="{287A64D5-033D-4396-9212-049FBD582322}"/>
            </a:ext>
          </a:extLst>
        </xdr:cNvPr>
        <xdr:cNvCxnSpPr/>
      </xdr:nvCxnSpPr>
      <xdr:spPr>
        <a:xfrm>
          <a:off x="16734084" y="3703111"/>
          <a:ext cx="58293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69448</xdr:colOff>
      <xdr:row>20</xdr:row>
      <xdr:rowOff>166161</xdr:rowOff>
    </xdr:from>
    <xdr:to>
      <xdr:col>26</xdr:col>
      <xdr:colOff>709528</xdr:colOff>
      <xdr:row>20</xdr:row>
      <xdr:rowOff>166161</xdr:rowOff>
    </xdr:to>
    <xdr:cxnSp macro="">
      <xdr:nvCxnSpPr>
        <xdr:cNvPr id="437" name="Straight Connector 436">
          <a:extLst>
            <a:ext uri="{FF2B5EF4-FFF2-40B4-BE49-F238E27FC236}">
              <a16:creationId xmlns:a16="http://schemas.microsoft.com/office/drawing/2014/main" id="{9C6A67A1-B5E1-4E61-B9B0-E8D1016B4C70}"/>
            </a:ext>
          </a:extLst>
        </xdr:cNvPr>
        <xdr:cNvCxnSpPr/>
      </xdr:nvCxnSpPr>
      <xdr:spPr>
        <a:xfrm>
          <a:off x="16738198" y="3703111"/>
          <a:ext cx="5765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69448</xdr:colOff>
      <xdr:row>20</xdr:row>
      <xdr:rowOff>166161</xdr:rowOff>
    </xdr:from>
    <xdr:to>
      <xdr:col>26</xdr:col>
      <xdr:colOff>709528</xdr:colOff>
      <xdr:row>20</xdr:row>
      <xdr:rowOff>166161</xdr:rowOff>
    </xdr:to>
    <xdr:cxnSp macro="">
      <xdr:nvCxnSpPr>
        <xdr:cNvPr id="438" name="Straight Connector 437">
          <a:extLst>
            <a:ext uri="{FF2B5EF4-FFF2-40B4-BE49-F238E27FC236}">
              <a16:creationId xmlns:a16="http://schemas.microsoft.com/office/drawing/2014/main" id="{F5C04D02-46E3-44BD-A8C3-D587094EF807}"/>
            </a:ext>
          </a:extLst>
        </xdr:cNvPr>
        <xdr:cNvCxnSpPr/>
      </xdr:nvCxnSpPr>
      <xdr:spPr>
        <a:xfrm>
          <a:off x="16738198" y="3703111"/>
          <a:ext cx="5765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69448</xdr:colOff>
      <xdr:row>20</xdr:row>
      <xdr:rowOff>166161</xdr:rowOff>
    </xdr:from>
    <xdr:to>
      <xdr:col>26</xdr:col>
      <xdr:colOff>709528</xdr:colOff>
      <xdr:row>20</xdr:row>
      <xdr:rowOff>166161</xdr:rowOff>
    </xdr:to>
    <xdr:cxnSp macro="">
      <xdr:nvCxnSpPr>
        <xdr:cNvPr id="439" name="Straight Connector 438">
          <a:extLst>
            <a:ext uri="{FF2B5EF4-FFF2-40B4-BE49-F238E27FC236}">
              <a16:creationId xmlns:a16="http://schemas.microsoft.com/office/drawing/2014/main" id="{4EAB43D9-7C3F-4BCD-BDB3-B0053808DBB1}"/>
            </a:ext>
          </a:extLst>
        </xdr:cNvPr>
        <xdr:cNvCxnSpPr/>
      </xdr:nvCxnSpPr>
      <xdr:spPr>
        <a:xfrm>
          <a:off x="16738198" y="3703111"/>
          <a:ext cx="5765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65334</xdr:colOff>
      <xdr:row>20</xdr:row>
      <xdr:rowOff>166161</xdr:rowOff>
    </xdr:from>
    <xdr:to>
      <xdr:col>26</xdr:col>
      <xdr:colOff>705414</xdr:colOff>
      <xdr:row>20</xdr:row>
      <xdr:rowOff>166161</xdr:rowOff>
    </xdr:to>
    <xdr:cxnSp macro="">
      <xdr:nvCxnSpPr>
        <xdr:cNvPr id="440" name="Straight Connector 439">
          <a:extLst>
            <a:ext uri="{FF2B5EF4-FFF2-40B4-BE49-F238E27FC236}">
              <a16:creationId xmlns:a16="http://schemas.microsoft.com/office/drawing/2014/main" id="{5B277D3C-CBF4-4E3B-AA6B-17F6E224658E}"/>
            </a:ext>
          </a:extLst>
        </xdr:cNvPr>
        <xdr:cNvCxnSpPr/>
      </xdr:nvCxnSpPr>
      <xdr:spPr>
        <a:xfrm>
          <a:off x="16734084" y="3703111"/>
          <a:ext cx="58293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69448</xdr:colOff>
      <xdr:row>20</xdr:row>
      <xdr:rowOff>166161</xdr:rowOff>
    </xdr:from>
    <xdr:to>
      <xdr:col>26</xdr:col>
      <xdr:colOff>709528</xdr:colOff>
      <xdr:row>20</xdr:row>
      <xdr:rowOff>166161</xdr:rowOff>
    </xdr:to>
    <xdr:cxnSp macro="">
      <xdr:nvCxnSpPr>
        <xdr:cNvPr id="441" name="Straight Connector 440">
          <a:extLst>
            <a:ext uri="{FF2B5EF4-FFF2-40B4-BE49-F238E27FC236}">
              <a16:creationId xmlns:a16="http://schemas.microsoft.com/office/drawing/2014/main" id="{AE300E72-0D95-4D6B-8BF5-57DAE7CFC209}"/>
            </a:ext>
          </a:extLst>
        </xdr:cNvPr>
        <xdr:cNvCxnSpPr/>
      </xdr:nvCxnSpPr>
      <xdr:spPr>
        <a:xfrm>
          <a:off x="16738198" y="3703111"/>
          <a:ext cx="5765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69448</xdr:colOff>
      <xdr:row>20</xdr:row>
      <xdr:rowOff>166161</xdr:rowOff>
    </xdr:from>
    <xdr:to>
      <xdr:col>26</xdr:col>
      <xdr:colOff>709528</xdr:colOff>
      <xdr:row>20</xdr:row>
      <xdr:rowOff>166161</xdr:rowOff>
    </xdr:to>
    <xdr:cxnSp macro="">
      <xdr:nvCxnSpPr>
        <xdr:cNvPr id="442" name="Straight Connector 441">
          <a:extLst>
            <a:ext uri="{FF2B5EF4-FFF2-40B4-BE49-F238E27FC236}">
              <a16:creationId xmlns:a16="http://schemas.microsoft.com/office/drawing/2014/main" id="{88D19F3C-07C5-45FF-B166-BD029361CC78}"/>
            </a:ext>
          </a:extLst>
        </xdr:cNvPr>
        <xdr:cNvCxnSpPr/>
      </xdr:nvCxnSpPr>
      <xdr:spPr>
        <a:xfrm>
          <a:off x="16738198" y="3703111"/>
          <a:ext cx="5765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69448</xdr:colOff>
      <xdr:row>20</xdr:row>
      <xdr:rowOff>166161</xdr:rowOff>
    </xdr:from>
    <xdr:to>
      <xdr:col>26</xdr:col>
      <xdr:colOff>709528</xdr:colOff>
      <xdr:row>20</xdr:row>
      <xdr:rowOff>166161</xdr:rowOff>
    </xdr:to>
    <xdr:cxnSp macro="">
      <xdr:nvCxnSpPr>
        <xdr:cNvPr id="443" name="Straight Connector 442">
          <a:extLst>
            <a:ext uri="{FF2B5EF4-FFF2-40B4-BE49-F238E27FC236}">
              <a16:creationId xmlns:a16="http://schemas.microsoft.com/office/drawing/2014/main" id="{EB849E7D-2EE6-4FDC-A9AF-C53DAAAEAC8C}"/>
            </a:ext>
          </a:extLst>
        </xdr:cNvPr>
        <xdr:cNvCxnSpPr/>
      </xdr:nvCxnSpPr>
      <xdr:spPr>
        <a:xfrm>
          <a:off x="16738198" y="3703111"/>
          <a:ext cx="5765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65334</xdr:colOff>
      <xdr:row>20</xdr:row>
      <xdr:rowOff>166161</xdr:rowOff>
    </xdr:from>
    <xdr:to>
      <xdr:col>26</xdr:col>
      <xdr:colOff>705414</xdr:colOff>
      <xdr:row>20</xdr:row>
      <xdr:rowOff>166161</xdr:rowOff>
    </xdr:to>
    <xdr:cxnSp macro="">
      <xdr:nvCxnSpPr>
        <xdr:cNvPr id="444" name="Straight Connector 443">
          <a:extLst>
            <a:ext uri="{FF2B5EF4-FFF2-40B4-BE49-F238E27FC236}">
              <a16:creationId xmlns:a16="http://schemas.microsoft.com/office/drawing/2014/main" id="{393F8283-6EC3-4229-88E1-D868F69B9C0A}"/>
            </a:ext>
          </a:extLst>
        </xdr:cNvPr>
        <xdr:cNvCxnSpPr/>
      </xdr:nvCxnSpPr>
      <xdr:spPr>
        <a:xfrm>
          <a:off x="16734084" y="3703111"/>
          <a:ext cx="58293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69448</xdr:colOff>
      <xdr:row>20</xdr:row>
      <xdr:rowOff>166161</xdr:rowOff>
    </xdr:from>
    <xdr:to>
      <xdr:col>26</xdr:col>
      <xdr:colOff>709528</xdr:colOff>
      <xdr:row>20</xdr:row>
      <xdr:rowOff>166161</xdr:rowOff>
    </xdr:to>
    <xdr:cxnSp macro="">
      <xdr:nvCxnSpPr>
        <xdr:cNvPr id="445" name="Straight Connector 444">
          <a:extLst>
            <a:ext uri="{FF2B5EF4-FFF2-40B4-BE49-F238E27FC236}">
              <a16:creationId xmlns:a16="http://schemas.microsoft.com/office/drawing/2014/main" id="{8992F610-1F2F-4691-A56B-51581D29B788}"/>
            </a:ext>
          </a:extLst>
        </xdr:cNvPr>
        <xdr:cNvCxnSpPr/>
      </xdr:nvCxnSpPr>
      <xdr:spPr>
        <a:xfrm>
          <a:off x="16738198" y="3703111"/>
          <a:ext cx="5765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69448</xdr:colOff>
      <xdr:row>20</xdr:row>
      <xdr:rowOff>166161</xdr:rowOff>
    </xdr:from>
    <xdr:to>
      <xdr:col>26</xdr:col>
      <xdr:colOff>709528</xdr:colOff>
      <xdr:row>20</xdr:row>
      <xdr:rowOff>166161</xdr:rowOff>
    </xdr:to>
    <xdr:cxnSp macro="">
      <xdr:nvCxnSpPr>
        <xdr:cNvPr id="446" name="Straight Connector 445">
          <a:extLst>
            <a:ext uri="{FF2B5EF4-FFF2-40B4-BE49-F238E27FC236}">
              <a16:creationId xmlns:a16="http://schemas.microsoft.com/office/drawing/2014/main" id="{FE9C6573-2B34-4C7A-9A36-840549D47ADA}"/>
            </a:ext>
          </a:extLst>
        </xdr:cNvPr>
        <xdr:cNvCxnSpPr/>
      </xdr:nvCxnSpPr>
      <xdr:spPr>
        <a:xfrm>
          <a:off x="16738198" y="3703111"/>
          <a:ext cx="5765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67196</xdr:colOff>
      <xdr:row>13</xdr:row>
      <xdr:rowOff>159506</xdr:rowOff>
    </xdr:from>
    <xdr:to>
      <xdr:col>26</xdr:col>
      <xdr:colOff>707276</xdr:colOff>
      <xdr:row>13</xdr:row>
      <xdr:rowOff>159506</xdr:rowOff>
    </xdr:to>
    <xdr:cxnSp macro="">
      <xdr:nvCxnSpPr>
        <xdr:cNvPr id="447" name="Straight Connector 446">
          <a:extLst>
            <a:ext uri="{FF2B5EF4-FFF2-40B4-BE49-F238E27FC236}">
              <a16:creationId xmlns:a16="http://schemas.microsoft.com/office/drawing/2014/main" id="{51902663-EF7D-47B5-B0BD-D63167F2250A}"/>
            </a:ext>
          </a:extLst>
        </xdr:cNvPr>
        <xdr:cNvCxnSpPr/>
      </xdr:nvCxnSpPr>
      <xdr:spPr>
        <a:xfrm>
          <a:off x="16735946" y="2540756"/>
          <a:ext cx="58293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63082</xdr:colOff>
      <xdr:row>13</xdr:row>
      <xdr:rowOff>159506</xdr:rowOff>
    </xdr:from>
    <xdr:to>
      <xdr:col>26</xdr:col>
      <xdr:colOff>703162</xdr:colOff>
      <xdr:row>13</xdr:row>
      <xdr:rowOff>159506</xdr:rowOff>
    </xdr:to>
    <xdr:cxnSp macro="">
      <xdr:nvCxnSpPr>
        <xdr:cNvPr id="448" name="Straight Connector 447">
          <a:extLst>
            <a:ext uri="{FF2B5EF4-FFF2-40B4-BE49-F238E27FC236}">
              <a16:creationId xmlns:a16="http://schemas.microsoft.com/office/drawing/2014/main" id="{83A20C4F-DD12-4E11-AE93-98B4EFDA7803}"/>
            </a:ext>
          </a:extLst>
        </xdr:cNvPr>
        <xdr:cNvCxnSpPr/>
      </xdr:nvCxnSpPr>
      <xdr:spPr>
        <a:xfrm>
          <a:off x="16731832" y="2540756"/>
          <a:ext cx="58293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68004</xdr:colOff>
      <xdr:row>18</xdr:row>
      <xdr:rowOff>171282</xdr:rowOff>
    </xdr:from>
    <xdr:to>
      <xdr:col>26</xdr:col>
      <xdr:colOff>708084</xdr:colOff>
      <xdr:row>18</xdr:row>
      <xdr:rowOff>171282</xdr:rowOff>
    </xdr:to>
    <xdr:cxnSp macro="">
      <xdr:nvCxnSpPr>
        <xdr:cNvPr id="449" name="Straight Connector 448">
          <a:extLst>
            <a:ext uri="{FF2B5EF4-FFF2-40B4-BE49-F238E27FC236}">
              <a16:creationId xmlns:a16="http://schemas.microsoft.com/office/drawing/2014/main" id="{F8597AEB-DA80-4260-BFA4-79100F0DA9C0}"/>
            </a:ext>
          </a:extLst>
        </xdr:cNvPr>
        <xdr:cNvCxnSpPr/>
      </xdr:nvCxnSpPr>
      <xdr:spPr>
        <a:xfrm>
          <a:off x="16736754" y="3473282"/>
          <a:ext cx="5765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63890</xdr:colOff>
      <xdr:row>18</xdr:row>
      <xdr:rowOff>171282</xdr:rowOff>
    </xdr:from>
    <xdr:to>
      <xdr:col>26</xdr:col>
      <xdr:colOff>703970</xdr:colOff>
      <xdr:row>18</xdr:row>
      <xdr:rowOff>171282</xdr:rowOff>
    </xdr:to>
    <xdr:cxnSp macro="">
      <xdr:nvCxnSpPr>
        <xdr:cNvPr id="450" name="Straight Connector 449">
          <a:extLst>
            <a:ext uri="{FF2B5EF4-FFF2-40B4-BE49-F238E27FC236}">
              <a16:creationId xmlns:a16="http://schemas.microsoft.com/office/drawing/2014/main" id="{20A74CA6-ECB1-48FA-837A-7E0E6849A4E6}"/>
            </a:ext>
          </a:extLst>
        </xdr:cNvPr>
        <xdr:cNvCxnSpPr/>
      </xdr:nvCxnSpPr>
      <xdr:spPr>
        <a:xfrm>
          <a:off x="16732640" y="3473282"/>
          <a:ext cx="58293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69448</xdr:colOff>
      <xdr:row>20</xdr:row>
      <xdr:rowOff>166161</xdr:rowOff>
    </xdr:from>
    <xdr:to>
      <xdr:col>26</xdr:col>
      <xdr:colOff>709528</xdr:colOff>
      <xdr:row>20</xdr:row>
      <xdr:rowOff>166161</xdr:rowOff>
    </xdr:to>
    <xdr:cxnSp macro="">
      <xdr:nvCxnSpPr>
        <xdr:cNvPr id="451" name="Straight Connector 450">
          <a:extLst>
            <a:ext uri="{FF2B5EF4-FFF2-40B4-BE49-F238E27FC236}">
              <a16:creationId xmlns:a16="http://schemas.microsoft.com/office/drawing/2014/main" id="{6A77A886-F00F-47AF-9351-3ED116F54C60}"/>
            </a:ext>
          </a:extLst>
        </xdr:cNvPr>
        <xdr:cNvCxnSpPr/>
      </xdr:nvCxnSpPr>
      <xdr:spPr>
        <a:xfrm>
          <a:off x="16738198" y="3703111"/>
          <a:ext cx="5765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65334</xdr:colOff>
      <xdr:row>20</xdr:row>
      <xdr:rowOff>166161</xdr:rowOff>
    </xdr:from>
    <xdr:to>
      <xdr:col>26</xdr:col>
      <xdr:colOff>705414</xdr:colOff>
      <xdr:row>20</xdr:row>
      <xdr:rowOff>166161</xdr:rowOff>
    </xdr:to>
    <xdr:cxnSp macro="">
      <xdr:nvCxnSpPr>
        <xdr:cNvPr id="452" name="Straight Connector 451">
          <a:extLst>
            <a:ext uri="{FF2B5EF4-FFF2-40B4-BE49-F238E27FC236}">
              <a16:creationId xmlns:a16="http://schemas.microsoft.com/office/drawing/2014/main" id="{E3EAE0C0-E333-4E61-875F-B40D16632794}"/>
            </a:ext>
          </a:extLst>
        </xdr:cNvPr>
        <xdr:cNvCxnSpPr/>
      </xdr:nvCxnSpPr>
      <xdr:spPr>
        <a:xfrm>
          <a:off x="16734084" y="3703111"/>
          <a:ext cx="58293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74167</xdr:colOff>
      <xdr:row>24</xdr:row>
      <xdr:rowOff>159033</xdr:rowOff>
    </xdr:from>
    <xdr:to>
      <xdr:col>26</xdr:col>
      <xdr:colOff>714247</xdr:colOff>
      <xdr:row>24</xdr:row>
      <xdr:rowOff>159033</xdr:rowOff>
    </xdr:to>
    <xdr:cxnSp macro="">
      <xdr:nvCxnSpPr>
        <xdr:cNvPr id="453" name="Straight Connector 452">
          <a:extLst>
            <a:ext uri="{FF2B5EF4-FFF2-40B4-BE49-F238E27FC236}">
              <a16:creationId xmlns:a16="http://schemas.microsoft.com/office/drawing/2014/main" id="{6EE518A4-96A3-4335-9113-418103237D1D}"/>
            </a:ext>
          </a:extLst>
        </xdr:cNvPr>
        <xdr:cNvCxnSpPr/>
      </xdr:nvCxnSpPr>
      <xdr:spPr>
        <a:xfrm>
          <a:off x="16742917" y="4432583"/>
          <a:ext cx="5765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74167</xdr:colOff>
      <xdr:row>28</xdr:row>
      <xdr:rowOff>166653</xdr:rowOff>
    </xdr:from>
    <xdr:to>
      <xdr:col>26</xdr:col>
      <xdr:colOff>714247</xdr:colOff>
      <xdr:row>28</xdr:row>
      <xdr:rowOff>166653</xdr:rowOff>
    </xdr:to>
    <xdr:cxnSp macro="">
      <xdr:nvCxnSpPr>
        <xdr:cNvPr id="454" name="Straight Connector 453">
          <a:extLst>
            <a:ext uri="{FF2B5EF4-FFF2-40B4-BE49-F238E27FC236}">
              <a16:creationId xmlns:a16="http://schemas.microsoft.com/office/drawing/2014/main" id="{D8882766-D5B8-4008-A933-5F5E3F6393F3}"/>
            </a:ext>
          </a:extLst>
        </xdr:cNvPr>
        <xdr:cNvCxnSpPr/>
      </xdr:nvCxnSpPr>
      <xdr:spPr>
        <a:xfrm>
          <a:off x="16742917" y="5176803"/>
          <a:ext cx="5765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74167</xdr:colOff>
      <xdr:row>33</xdr:row>
      <xdr:rowOff>161573</xdr:rowOff>
    </xdr:from>
    <xdr:to>
      <xdr:col>26</xdr:col>
      <xdr:colOff>714247</xdr:colOff>
      <xdr:row>33</xdr:row>
      <xdr:rowOff>161573</xdr:rowOff>
    </xdr:to>
    <xdr:cxnSp macro="">
      <xdr:nvCxnSpPr>
        <xdr:cNvPr id="455" name="Straight Connector 454">
          <a:extLst>
            <a:ext uri="{FF2B5EF4-FFF2-40B4-BE49-F238E27FC236}">
              <a16:creationId xmlns:a16="http://schemas.microsoft.com/office/drawing/2014/main" id="{CCCF765B-D107-4168-B1E1-82E1AB3FF1D6}"/>
            </a:ext>
          </a:extLst>
        </xdr:cNvPr>
        <xdr:cNvCxnSpPr/>
      </xdr:nvCxnSpPr>
      <xdr:spPr>
        <a:xfrm>
          <a:off x="16742917" y="6105173"/>
          <a:ext cx="5765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71627</xdr:colOff>
      <xdr:row>34</xdr:row>
      <xdr:rowOff>164113</xdr:rowOff>
    </xdr:from>
    <xdr:to>
      <xdr:col>26</xdr:col>
      <xdr:colOff>711707</xdr:colOff>
      <xdr:row>34</xdr:row>
      <xdr:rowOff>164113</xdr:rowOff>
    </xdr:to>
    <xdr:cxnSp macro="">
      <xdr:nvCxnSpPr>
        <xdr:cNvPr id="456" name="Straight Connector 455">
          <a:extLst>
            <a:ext uri="{FF2B5EF4-FFF2-40B4-BE49-F238E27FC236}">
              <a16:creationId xmlns:a16="http://schemas.microsoft.com/office/drawing/2014/main" id="{6CA447CA-0102-4ADC-A964-2937F12040AF}"/>
            </a:ext>
          </a:extLst>
        </xdr:cNvPr>
        <xdr:cNvCxnSpPr/>
      </xdr:nvCxnSpPr>
      <xdr:spPr>
        <a:xfrm>
          <a:off x="16740377" y="6291863"/>
          <a:ext cx="5765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69448</xdr:colOff>
      <xdr:row>20</xdr:row>
      <xdr:rowOff>166161</xdr:rowOff>
    </xdr:from>
    <xdr:to>
      <xdr:col>26</xdr:col>
      <xdr:colOff>709528</xdr:colOff>
      <xdr:row>20</xdr:row>
      <xdr:rowOff>166161</xdr:rowOff>
    </xdr:to>
    <xdr:cxnSp macro="">
      <xdr:nvCxnSpPr>
        <xdr:cNvPr id="457" name="Straight Connector 456">
          <a:extLst>
            <a:ext uri="{FF2B5EF4-FFF2-40B4-BE49-F238E27FC236}">
              <a16:creationId xmlns:a16="http://schemas.microsoft.com/office/drawing/2014/main" id="{7F197A09-D4F3-40D4-86DB-FC0B0EF05461}"/>
            </a:ext>
          </a:extLst>
        </xdr:cNvPr>
        <xdr:cNvCxnSpPr/>
      </xdr:nvCxnSpPr>
      <xdr:spPr>
        <a:xfrm>
          <a:off x="16738198" y="3703111"/>
          <a:ext cx="5765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69448</xdr:colOff>
      <xdr:row>20</xdr:row>
      <xdr:rowOff>166161</xdr:rowOff>
    </xdr:from>
    <xdr:to>
      <xdr:col>26</xdr:col>
      <xdr:colOff>709528</xdr:colOff>
      <xdr:row>20</xdr:row>
      <xdr:rowOff>166161</xdr:rowOff>
    </xdr:to>
    <xdr:cxnSp macro="">
      <xdr:nvCxnSpPr>
        <xdr:cNvPr id="458" name="Straight Connector 457">
          <a:extLst>
            <a:ext uri="{FF2B5EF4-FFF2-40B4-BE49-F238E27FC236}">
              <a16:creationId xmlns:a16="http://schemas.microsoft.com/office/drawing/2014/main" id="{26D4324E-5C0B-4C23-95D9-F0840FFD4676}"/>
            </a:ext>
          </a:extLst>
        </xdr:cNvPr>
        <xdr:cNvCxnSpPr/>
      </xdr:nvCxnSpPr>
      <xdr:spPr>
        <a:xfrm>
          <a:off x="16738198" y="3703111"/>
          <a:ext cx="5765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67196</xdr:colOff>
      <xdr:row>13</xdr:row>
      <xdr:rowOff>159506</xdr:rowOff>
    </xdr:from>
    <xdr:to>
      <xdr:col>26</xdr:col>
      <xdr:colOff>707276</xdr:colOff>
      <xdr:row>13</xdr:row>
      <xdr:rowOff>159506</xdr:rowOff>
    </xdr:to>
    <xdr:cxnSp macro="">
      <xdr:nvCxnSpPr>
        <xdr:cNvPr id="459" name="Straight Connector 458">
          <a:extLst>
            <a:ext uri="{FF2B5EF4-FFF2-40B4-BE49-F238E27FC236}">
              <a16:creationId xmlns:a16="http://schemas.microsoft.com/office/drawing/2014/main" id="{93B26C69-E06C-45F4-9F01-84D53FDF9D60}"/>
            </a:ext>
          </a:extLst>
        </xdr:cNvPr>
        <xdr:cNvCxnSpPr/>
      </xdr:nvCxnSpPr>
      <xdr:spPr>
        <a:xfrm>
          <a:off x="16735946" y="2540756"/>
          <a:ext cx="58293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63082</xdr:colOff>
      <xdr:row>13</xdr:row>
      <xdr:rowOff>159506</xdr:rowOff>
    </xdr:from>
    <xdr:to>
      <xdr:col>26</xdr:col>
      <xdr:colOff>703162</xdr:colOff>
      <xdr:row>13</xdr:row>
      <xdr:rowOff>159506</xdr:rowOff>
    </xdr:to>
    <xdr:cxnSp macro="">
      <xdr:nvCxnSpPr>
        <xdr:cNvPr id="460" name="Straight Connector 459">
          <a:extLst>
            <a:ext uri="{FF2B5EF4-FFF2-40B4-BE49-F238E27FC236}">
              <a16:creationId xmlns:a16="http://schemas.microsoft.com/office/drawing/2014/main" id="{AAC3B913-4433-497D-B79F-2AED87F293B7}"/>
            </a:ext>
          </a:extLst>
        </xdr:cNvPr>
        <xdr:cNvCxnSpPr/>
      </xdr:nvCxnSpPr>
      <xdr:spPr>
        <a:xfrm>
          <a:off x="16731832" y="2540756"/>
          <a:ext cx="58293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68004</xdr:colOff>
      <xdr:row>18</xdr:row>
      <xdr:rowOff>171282</xdr:rowOff>
    </xdr:from>
    <xdr:to>
      <xdr:col>26</xdr:col>
      <xdr:colOff>708084</xdr:colOff>
      <xdr:row>18</xdr:row>
      <xdr:rowOff>171282</xdr:rowOff>
    </xdr:to>
    <xdr:cxnSp macro="">
      <xdr:nvCxnSpPr>
        <xdr:cNvPr id="461" name="Straight Connector 460">
          <a:extLst>
            <a:ext uri="{FF2B5EF4-FFF2-40B4-BE49-F238E27FC236}">
              <a16:creationId xmlns:a16="http://schemas.microsoft.com/office/drawing/2014/main" id="{73CB711D-2AB4-45FE-B554-4774B604937D}"/>
            </a:ext>
          </a:extLst>
        </xdr:cNvPr>
        <xdr:cNvCxnSpPr/>
      </xdr:nvCxnSpPr>
      <xdr:spPr>
        <a:xfrm>
          <a:off x="16736754" y="3473282"/>
          <a:ext cx="5765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63890</xdr:colOff>
      <xdr:row>18</xdr:row>
      <xdr:rowOff>171282</xdr:rowOff>
    </xdr:from>
    <xdr:to>
      <xdr:col>26</xdr:col>
      <xdr:colOff>703970</xdr:colOff>
      <xdr:row>18</xdr:row>
      <xdr:rowOff>171282</xdr:rowOff>
    </xdr:to>
    <xdr:cxnSp macro="">
      <xdr:nvCxnSpPr>
        <xdr:cNvPr id="462" name="Straight Connector 461">
          <a:extLst>
            <a:ext uri="{FF2B5EF4-FFF2-40B4-BE49-F238E27FC236}">
              <a16:creationId xmlns:a16="http://schemas.microsoft.com/office/drawing/2014/main" id="{65B608B1-9A4A-4B25-B6CA-D9523424FE3A}"/>
            </a:ext>
          </a:extLst>
        </xdr:cNvPr>
        <xdr:cNvCxnSpPr/>
      </xdr:nvCxnSpPr>
      <xdr:spPr>
        <a:xfrm>
          <a:off x="16732640" y="3473282"/>
          <a:ext cx="58293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69448</xdr:colOff>
      <xdr:row>20</xdr:row>
      <xdr:rowOff>166161</xdr:rowOff>
    </xdr:from>
    <xdr:to>
      <xdr:col>26</xdr:col>
      <xdr:colOff>709528</xdr:colOff>
      <xdr:row>20</xdr:row>
      <xdr:rowOff>166161</xdr:rowOff>
    </xdr:to>
    <xdr:cxnSp macro="">
      <xdr:nvCxnSpPr>
        <xdr:cNvPr id="463" name="Straight Connector 462">
          <a:extLst>
            <a:ext uri="{FF2B5EF4-FFF2-40B4-BE49-F238E27FC236}">
              <a16:creationId xmlns:a16="http://schemas.microsoft.com/office/drawing/2014/main" id="{030E094D-7157-4BB1-85E4-DBC825CEEF21}"/>
            </a:ext>
          </a:extLst>
        </xdr:cNvPr>
        <xdr:cNvCxnSpPr/>
      </xdr:nvCxnSpPr>
      <xdr:spPr>
        <a:xfrm>
          <a:off x="16738198" y="3703111"/>
          <a:ext cx="5765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65334</xdr:colOff>
      <xdr:row>20</xdr:row>
      <xdr:rowOff>166161</xdr:rowOff>
    </xdr:from>
    <xdr:to>
      <xdr:col>26</xdr:col>
      <xdr:colOff>705414</xdr:colOff>
      <xdr:row>20</xdr:row>
      <xdr:rowOff>166161</xdr:rowOff>
    </xdr:to>
    <xdr:cxnSp macro="">
      <xdr:nvCxnSpPr>
        <xdr:cNvPr id="464" name="Straight Connector 463">
          <a:extLst>
            <a:ext uri="{FF2B5EF4-FFF2-40B4-BE49-F238E27FC236}">
              <a16:creationId xmlns:a16="http://schemas.microsoft.com/office/drawing/2014/main" id="{089B5667-A083-410E-84EE-E2AD89E77CF0}"/>
            </a:ext>
          </a:extLst>
        </xdr:cNvPr>
        <xdr:cNvCxnSpPr/>
      </xdr:nvCxnSpPr>
      <xdr:spPr>
        <a:xfrm>
          <a:off x="16734084" y="3703111"/>
          <a:ext cx="58293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74167</xdr:colOff>
      <xdr:row>24</xdr:row>
      <xdr:rowOff>159033</xdr:rowOff>
    </xdr:from>
    <xdr:to>
      <xdr:col>26</xdr:col>
      <xdr:colOff>714247</xdr:colOff>
      <xdr:row>24</xdr:row>
      <xdr:rowOff>159033</xdr:rowOff>
    </xdr:to>
    <xdr:cxnSp macro="">
      <xdr:nvCxnSpPr>
        <xdr:cNvPr id="465" name="Straight Connector 464">
          <a:extLst>
            <a:ext uri="{FF2B5EF4-FFF2-40B4-BE49-F238E27FC236}">
              <a16:creationId xmlns:a16="http://schemas.microsoft.com/office/drawing/2014/main" id="{BE0B20C0-4B9A-4C60-975D-124D128D6C8B}"/>
            </a:ext>
          </a:extLst>
        </xdr:cNvPr>
        <xdr:cNvCxnSpPr/>
      </xdr:nvCxnSpPr>
      <xdr:spPr>
        <a:xfrm>
          <a:off x="16742917" y="4432583"/>
          <a:ext cx="5765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74167</xdr:colOff>
      <xdr:row>28</xdr:row>
      <xdr:rowOff>166653</xdr:rowOff>
    </xdr:from>
    <xdr:to>
      <xdr:col>26</xdr:col>
      <xdr:colOff>714247</xdr:colOff>
      <xdr:row>28</xdr:row>
      <xdr:rowOff>166653</xdr:rowOff>
    </xdr:to>
    <xdr:cxnSp macro="">
      <xdr:nvCxnSpPr>
        <xdr:cNvPr id="466" name="Straight Connector 465">
          <a:extLst>
            <a:ext uri="{FF2B5EF4-FFF2-40B4-BE49-F238E27FC236}">
              <a16:creationId xmlns:a16="http://schemas.microsoft.com/office/drawing/2014/main" id="{8945F360-4727-462B-95F6-9EE70CED7826}"/>
            </a:ext>
          </a:extLst>
        </xdr:cNvPr>
        <xdr:cNvCxnSpPr/>
      </xdr:nvCxnSpPr>
      <xdr:spPr>
        <a:xfrm>
          <a:off x="16742917" y="5176803"/>
          <a:ext cx="5765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74167</xdr:colOff>
      <xdr:row>33</xdr:row>
      <xdr:rowOff>161573</xdr:rowOff>
    </xdr:from>
    <xdr:to>
      <xdr:col>26</xdr:col>
      <xdr:colOff>714247</xdr:colOff>
      <xdr:row>33</xdr:row>
      <xdr:rowOff>161573</xdr:rowOff>
    </xdr:to>
    <xdr:cxnSp macro="">
      <xdr:nvCxnSpPr>
        <xdr:cNvPr id="467" name="Straight Connector 466">
          <a:extLst>
            <a:ext uri="{FF2B5EF4-FFF2-40B4-BE49-F238E27FC236}">
              <a16:creationId xmlns:a16="http://schemas.microsoft.com/office/drawing/2014/main" id="{93621D8F-C128-4A35-910D-DE4BDF3287BF}"/>
            </a:ext>
          </a:extLst>
        </xdr:cNvPr>
        <xdr:cNvCxnSpPr/>
      </xdr:nvCxnSpPr>
      <xdr:spPr>
        <a:xfrm>
          <a:off x="16742917" y="6105173"/>
          <a:ext cx="5765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71627</xdr:colOff>
      <xdr:row>34</xdr:row>
      <xdr:rowOff>164113</xdr:rowOff>
    </xdr:from>
    <xdr:to>
      <xdr:col>26</xdr:col>
      <xdr:colOff>711707</xdr:colOff>
      <xdr:row>34</xdr:row>
      <xdr:rowOff>164113</xdr:rowOff>
    </xdr:to>
    <xdr:cxnSp macro="">
      <xdr:nvCxnSpPr>
        <xdr:cNvPr id="468" name="Straight Connector 467">
          <a:extLst>
            <a:ext uri="{FF2B5EF4-FFF2-40B4-BE49-F238E27FC236}">
              <a16:creationId xmlns:a16="http://schemas.microsoft.com/office/drawing/2014/main" id="{0F35FEEE-FE7A-4BC3-B067-FACAEB741EB6}"/>
            </a:ext>
          </a:extLst>
        </xdr:cNvPr>
        <xdr:cNvCxnSpPr/>
      </xdr:nvCxnSpPr>
      <xdr:spPr>
        <a:xfrm>
          <a:off x="16740377" y="6291863"/>
          <a:ext cx="5765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69448</xdr:colOff>
      <xdr:row>20</xdr:row>
      <xdr:rowOff>166161</xdr:rowOff>
    </xdr:from>
    <xdr:to>
      <xdr:col>26</xdr:col>
      <xdr:colOff>709528</xdr:colOff>
      <xdr:row>20</xdr:row>
      <xdr:rowOff>166161</xdr:rowOff>
    </xdr:to>
    <xdr:cxnSp macro="">
      <xdr:nvCxnSpPr>
        <xdr:cNvPr id="469" name="Straight Connector 468">
          <a:extLst>
            <a:ext uri="{FF2B5EF4-FFF2-40B4-BE49-F238E27FC236}">
              <a16:creationId xmlns:a16="http://schemas.microsoft.com/office/drawing/2014/main" id="{BCDD1DA5-EE22-4FBB-9FEF-E73372B24507}"/>
            </a:ext>
          </a:extLst>
        </xdr:cNvPr>
        <xdr:cNvCxnSpPr/>
      </xdr:nvCxnSpPr>
      <xdr:spPr>
        <a:xfrm>
          <a:off x="16738198" y="3703111"/>
          <a:ext cx="5765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69448</xdr:colOff>
      <xdr:row>20</xdr:row>
      <xdr:rowOff>166161</xdr:rowOff>
    </xdr:from>
    <xdr:to>
      <xdr:col>26</xdr:col>
      <xdr:colOff>709528</xdr:colOff>
      <xdr:row>20</xdr:row>
      <xdr:rowOff>166161</xdr:rowOff>
    </xdr:to>
    <xdr:cxnSp macro="">
      <xdr:nvCxnSpPr>
        <xdr:cNvPr id="470" name="Straight Connector 469">
          <a:extLst>
            <a:ext uri="{FF2B5EF4-FFF2-40B4-BE49-F238E27FC236}">
              <a16:creationId xmlns:a16="http://schemas.microsoft.com/office/drawing/2014/main" id="{17D9032C-D901-4BB1-92F5-BF26CE765D35}"/>
            </a:ext>
          </a:extLst>
        </xdr:cNvPr>
        <xdr:cNvCxnSpPr/>
      </xdr:nvCxnSpPr>
      <xdr:spPr>
        <a:xfrm>
          <a:off x="16738198" y="3703111"/>
          <a:ext cx="5765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58460</xdr:colOff>
      <xdr:row>55</xdr:row>
      <xdr:rowOff>4246</xdr:rowOff>
    </xdr:from>
    <xdr:to>
      <xdr:col>20</xdr:col>
      <xdr:colOff>563282</xdr:colOff>
      <xdr:row>55</xdr:row>
      <xdr:rowOff>5564</xdr:rowOff>
    </xdr:to>
    <xdr:cxnSp macro="">
      <xdr:nvCxnSpPr>
        <xdr:cNvPr id="471" name="Straight Connector 470">
          <a:extLst>
            <a:ext uri="{FF2B5EF4-FFF2-40B4-BE49-F238E27FC236}">
              <a16:creationId xmlns:a16="http://schemas.microsoft.com/office/drawing/2014/main" id="{CA3C6484-358A-4FC7-8690-EBFA9F5EDE67}"/>
            </a:ext>
          </a:extLst>
        </xdr:cNvPr>
        <xdr:cNvCxnSpPr/>
      </xdr:nvCxnSpPr>
      <xdr:spPr>
        <a:xfrm flipV="1">
          <a:off x="11850410" y="9707046"/>
          <a:ext cx="1114422"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58081</xdr:colOff>
      <xdr:row>55</xdr:row>
      <xdr:rowOff>4246</xdr:rowOff>
    </xdr:from>
    <xdr:to>
      <xdr:col>20</xdr:col>
      <xdr:colOff>562028</xdr:colOff>
      <xdr:row>55</xdr:row>
      <xdr:rowOff>5564</xdr:rowOff>
    </xdr:to>
    <xdr:cxnSp macro="">
      <xdr:nvCxnSpPr>
        <xdr:cNvPr id="472" name="Straight Connector 471">
          <a:extLst>
            <a:ext uri="{FF2B5EF4-FFF2-40B4-BE49-F238E27FC236}">
              <a16:creationId xmlns:a16="http://schemas.microsoft.com/office/drawing/2014/main" id="{62E27017-F8DA-4B59-AE82-7F3AE97F69DD}"/>
            </a:ext>
          </a:extLst>
        </xdr:cNvPr>
        <xdr:cNvCxnSpPr/>
      </xdr:nvCxnSpPr>
      <xdr:spPr>
        <a:xfrm flipV="1">
          <a:off x="11850031" y="97070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58460</xdr:colOff>
      <xdr:row>55</xdr:row>
      <xdr:rowOff>4246</xdr:rowOff>
    </xdr:from>
    <xdr:to>
      <xdr:col>20</xdr:col>
      <xdr:colOff>563282</xdr:colOff>
      <xdr:row>55</xdr:row>
      <xdr:rowOff>5564</xdr:rowOff>
    </xdr:to>
    <xdr:cxnSp macro="">
      <xdr:nvCxnSpPr>
        <xdr:cNvPr id="473" name="Straight Connector 472">
          <a:extLst>
            <a:ext uri="{FF2B5EF4-FFF2-40B4-BE49-F238E27FC236}">
              <a16:creationId xmlns:a16="http://schemas.microsoft.com/office/drawing/2014/main" id="{C5D1A629-9D0A-4B96-9E8B-FF7951D5D54D}"/>
            </a:ext>
          </a:extLst>
        </xdr:cNvPr>
        <xdr:cNvCxnSpPr/>
      </xdr:nvCxnSpPr>
      <xdr:spPr>
        <a:xfrm flipV="1">
          <a:off x="11850410" y="9707046"/>
          <a:ext cx="1114422"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58081</xdr:colOff>
      <xdr:row>55</xdr:row>
      <xdr:rowOff>4246</xdr:rowOff>
    </xdr:from>
    <xdr:to>
      <xdr:col>20</xdr:col>
      <xdr:colOff>562028</xdr:colOff>
      <xdr:row>55</xdr:row>
      <xdr:rowOff>5564</xdr:rowOff>
    </xdr:to>
    <xdr:cxnSp macro="">
      <xdr:nvCxnSpPr>
        <xdr:cNvPr id="474" name="Straight Connector 473">
          <a:extLst>
            <a:ext uri="{FF2B5EF4-FFF2-40B4-BE49-F238E27FC236}">
              <a16:creationId xmlns:a16="http://schemas.microsoft.com/office/drawing/2014/main" id="{54DD7A7A-3D85-4D84-91FD-3D4634C5BAE4}"/>
            </a:ext>
          </a:extLst>
        </xdr:cNvPr>
        <xdr:cNvCxnSpPr/>
      </xdr:nvCxnSpPr>
      <xdr:spPr>
        <a:xfrm flipV="1">
          <a:off x="11850031" y="97070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wsDr>
</file>

<file path=xl/drawings/drawing8.xml><?xml version="1.0" encoding="utf-8"?>
<xdr:wsDr xmlns:xdr="http://schemas.openxmlformats.org/drawingml/2006/spreadsheetDrawing" xmlns:a="http://schemas.openxmlformats.org/drawingml/2006/main">
  <xdr:twoCellAnchor>
    <xdr:from>
      <xdr:col>4</xdr:col>
      <xdr:colOff>55843</xdr:colOff>
      <xdr:row>26</xdr:row>
      <xdr:rowOff>139492</xdr:rowOff>
    </xdr:from>
    <xdr:to>
      <xdr:col>4</xdr:col>
      <xdr:colOff>791256</xdr:colOff>
      <xdr:row>26</xdr:row>
      <xdr:rowOff>139492</xdr:rowOff>
    </xdr:to>
    <xdr:cxnSp macro="">
      <xdr:nvCxnSpPr>
        <xdr:cNvPr id="2" name="Straight Connector 1">
          <a:extLst>
            <a:ext uri="{FF2B5EF4-FFF2-40B4-BE49-F238E27FC236}">
              <a16:creationId xmlns:a16="http://schemas.microsoft.com/office/drawing/2014/main" id="{C97BCD87-81FE-42A9-B237-E29611439A28}"/>
            </a:ext>
          </a:extLst>
        </xdr:cNvPr>
        <xdr:cNvCxnSpPr/>
      </xdr:nvCxnSpPr>
      <xdr:spPr>
        <a:xfrm>
          <a:off x="2678393" y="4686092"/>
          <a:ext cx="481413"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55843</xdr:colOff>
      <xdr:row>32</xdr:row>
      <xdr:rowOff>169413</xdr:rowOff>
    </xdr:from>
    <xdr:to>
      <xdr:col>4</xdr:col>
      <xdr:colOff>748036</xdr:colOff>
      <xdr:row>32</xdr:row>
      <xdr:rowOff>169413</xdr:rowOff>
    </xdr:to>
    <xdr:cxnSp macro="">
      <xdr:nvCxnSpPr>
        <xdr:cNvPr id="3" name="Straight Connector 2">
          <a:extLst>
            <a:ext uri="{FF2B5EF4-FFF2-40B4-BE49-F238E27FC236}">
              <a16:creationId xmlns:a16="http://schemas.microsoft.com/office/drawing/2014/main" id="{9602947E-EC71-49C2-9778-6742A55BA238}"/>
            </a:ext>
          </a:extLst>
        </xdr:cNvPr>
        <xdr:cNvCxnSpPr/>
      </xdr:nvCxnSpPr>
      <xdr:spPr>
        <a:xfrm>
          <a:off x="2678393" y="5833613"/>
          <a:ext cx="482643"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55843</xdr:colOff>
      <xdr:row>33</xdr:row>
      <xdr:rowOff>167269</xdr:rowOff>
    </xdr:from>
    <xdr:to>
      <xdr:col>4</xdr:col>
      <xdr:colOff>754685</xdr:colOff>
      <xdr:row>33</xdr:row>
      <xdr:rowOff>167269</xdr:rowOff>
    </xdr:to>
    <xdr:cxnSp macro="">
      <xdr:nvCxnSpPr>
        <xdr:cNvPr id="4" name="Straight Connector 3">
          <a:extLst>
            <a:ext uri="{FF2B5EF4-FFF2-40B4-BE49-F238E27FC236}">
              <a16:creationId xmlns:a16="http://schemas.microsoft.com/office/drawing/2014/main" id="{23B328FC-D546-413F-8FD0-6C1C315AB8E7}"/>
            </a:ext>
          </a:extLst>
        </xdr:cNvPr>
        <xdr:cNvCxnSpPr/>
      </xdr:nvCxnSpPr>
      <xdr:spPr>
        <a:xfrm>
          <a:off x="2678393" y="6015619"/>
          <a:ext cx="482942"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25099</xdr:colOff>
      <xdr:row>38</xdr:row>
      <xdr:rowOff>175830</xdr:rowOff>
    </xdr:from>
    <xdr:to>
      <xdr:col>2</xdr:col>
      <xdr:colOff>665179</xdr:colOff>
      <xdr:row>38</xdr:row>
      <xdr:rowOff>175830</xdr:rowOff>
    </xdr:to>
    <xdr:cxnSp macro="">
      <xdr:nvCxnSpPr>
        <xdr:cNvPr id="5" name="Straight Connector 4">
          <a:extLst>
            <a:ext uri="{FF2B5EF4-FFF2-40B4-BE49-F238E27FC236}">
              <a16:creationId xmlns:a16="http://schemas.microsoft.com/office/drawing/2014/main" id="{07FDA1F0-6394-44E3-85F4-A5E961465686}"/>
            </a:ext>
          </a:extLst>
        </xdr:cNvPr>
        <xdr:cNvCxnSpPr/>
      </xdr:nvCxnSpPr>
      <xdr:spPr>
        <a:xfrm>
          <a:off x="1244299" y="6805230"/>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26112</xdr:colOff>
      <xdr:row>38</xdr:row>
      <xdr:rowOff>170983</xdr:rowOff>
    </xdr:from>
    <xdr:to>
      <xdr:col>3</xdr:col>
      <xdr:colOff>593040</xdr:colOff>
      <xdr:row>38</xdr:row>
      <xdr:rowOff>170983</xdr:rowOff>
    </xdr:to>
    <xdr:cxnSp macro="">
      <xdr:nvCxnSpPr>
        <xdr:cNvPr id="6" name="Straight Connector 5">
          <a:extLst>
            <a:ext uri="{FF2B5EF4-FFF2-40B4-BE49-F238E27FC236}">
              <a16:creationId xmlns:a16="http://schemas.microsoft.com/office/drawing/2014/main" id="{5284BC9A-1364-4FFC-B784-3220A992189A}"/>
            </a:ext>
          </a:extLst>
        </xdr:cNvPr>
        <xdr:cNvCxnSpPr/>
      </xdr:nvCxnSpPr>
      <xdr:spPr>
        <a:xfrm>
          <a:off x="1975562" y="6800383"/>
          <a:ext cx="566928"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22202</xdr:colOff>
      <xdr:row>38</xdr:row>
      <xdr:rowOff>170983</xdr:rowOff>
    </xdr:from>
    <xdr:to>
      <xdr:col>4</xdr:col>
      <xdr:colOff>764659</xdr:colOff>
      <xdr:row>38</xdr:row>
      <xdr:rowOff>170983</xdr:rowOff>
    </xdr:to>
    <xdr:cxnSp macro="">
      <xdr:nvCxnSpPr>
        <xdr:cNvPr id="7" name="Straight Connector 6">
          <a:extLst>
            <a:ext uri="{FF2B5EF4-FFF2-40B4-BE49-F238E27FC236}">
              <a16:creationId xmlns:a16="http://schemas.microsoft.com/office/drawing/2014/main" id="{EFB09E4D-271D-45F5-A565-CC337D57BE26}"/>
            </a:ext>
          </a:extLst>
        </xdr:cNvPr>
        <xdr:cNvCxnSpPr/>
      </xdr:nvCxnSpPr>
      <xdr:spPr>
        <a:xfrm>
          <a:off x="2644752" y="6800383"/>
          <a:ext cx="520207"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30719</xdr:colOff>
      <xdr:row>65</xdr:row>
      <xdr:rowOff>145082</xdr:rowOff>
    </xdr:from>
    <xdr:to>
      <xdr:col>2</xdr:col>
      <xdr:colOff>670799</xdr:colOff>
      <xdr:row>65</xdr:row>
      <xdr:rowOff>145082</xdr:rowOff>
    </xdr:to>
    <xdr:cxnSp macro="">
      <xdr:nvCxnSpPr>
        <xdr:cNvPr id="8" name="Straight Connector 7">
          <a:extLst>
            <a:ext uri="{FF2B5EF4-FFF2-40B4-BE49-F238E27FC236}">
              <a16:creationId xmlns:a16="http://schemas.microsoft.com/office/drawing/2014/main" id="{1E7F6BA7-2E6F-4D36-B959-B26D1436833E}"/>
            </a:ext>
          </a:extLst>
        </xdr:cNvPr>
        <xdr:cNvCxnSpPr/>
      </xdr:nvCxnSpPr>
      <xdr:spPr>
        <a:xfrm>
          <a:off x="1249919" y="11473482"/>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26112</xdr:colOff>
      <xdr:row>65</xdr:row>
      <xdr:rowOff>145082</xdr:rowOff>
    </xdr:from>
    <xdr:to>
      <xdr:col>3</xdr:col>
      <xdr:colOff>593040</xdr:colOff>
      <xdr:row>65</xdr:row>
      <xdr:rowOff>145082</xdr:rowOff>
    </xdr:to>
    <xdr:cxnSp macro="">
      <xdr:nvCxnSpPr>
        <xdr:cNvPr id="9" name="Straight Connector 8">
          <a:extLst>
            <a:ext uri="{FF2B5EF4-FFF2-40B4-BE49-F238E27FC236}">
              <a16:creationId xmlns:a16="http://schemas.microsoft.com/office/drawing/2014/main" id="{0F25C17C-A21C-4FA9-851F-837688CA6272}"/>
            </a:ext>
          </a:extLst>
        </xdr:cNvPr>
        <xdr:cNvCxnSpPr/>
      </xdr:nvCxnSpPr>
      <xdr:spPr>
        <a:xfrm>
          <a:off x="1975562" y="11473482"/>
          <a:ext cx="566928"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22202</xdr:colOff>
      <xdr:row>65</xdr:row>
      <xdr:rowOff>145082</xdr:rowOff>
    </xdr:from>
    <xdr:to>
      <xdr:col>4</xdr:col>
      <xdr:colOff>589130</xdr:colOff>
      <xdr:row>65</xdr:row>
      <xdr:rowOff>145082</xdr:rowOff>
    </xdr:to>
    <xdr:cxnSp macro="">
      <xdr:nvCxnSpPr>
        <xdr:cNvPr id="10" name="Straight Connector 9">
          <a:extLst>
            <a:ext uri="{FF2B5EF4-FFF2-40B4-BE49-F238E27FC236}">
              <a16:creationId xmlns:a16="http://schemas.microsoft.com/office/drawing/2014/main" id="{B9C8CE23-A43E-4BA9-869B-A2647272DAF5}"/>
            </a:ext>
          </a:extLst>
        </xdr:cNvPr>
        <xdr:cNvCxnSpPr/>
      </xdr:nvCxnSpPr>
      <xdr:spPr>
        <a:xfrm>
          <a:off x="2644752" y="11473482"/>
          <a:ext cx="516128"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81981</xdr:colOff>
      <xdr:row>11</xdr:row>
      <xdr:rowOff>169534</xdr:rowOff>
    </xdr:from>
    <xdr:to>
      <xdr:col>10</xdr:col>
      <xdr:colOff>585928</xdr:colOff>
      <xdr:row>11</xdr:row>
      <xdr:rowOff>170691</xdr:rowOff>
    </xdr:to>
    <xdr:cxnSp macro="">
      <xdr:nvCxnSpPr>
        <xdr:cNvPr id="11" name="Straight Connector 10">
          <a:extLst>
            <a:ext uri="{FF2B5EF4-FFF2-40B4-BE49-F238E27FC236}">
              <a16:creationId xmlns:a16="http://schemas.microsoft.com/office/drawing/2014/main" id="{5745B37D-C0E0-48A2-A37C-64ECB1C131B2}"/>
            </a:ext>
          </a:extLst>
        </xdr:cNvPr>
        <xdr:cNvCxnSpPr/>
      </xdr:nvCxnSpPr>
      <xdr:spPr>
        <a:xfrm flipV="1">
          <a:off x="5682681" y="2080884"/>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84473</xdr:colOff>
      <xdr:row>11</xdr:row>
      <xdr:rowOff>169534</xdr:rowOff>
    </xdr:from>
    <xdr:to>
      <xdr:col>12</xdr:col>
      <xdr:colOff>588420</xdr:colOff>
      <xdr:row>11</xdr:row>
      <xdr:rowOff>170691</xdr:rowOff>
    </xdr:to>
    <xdr:cxnSp macro="">
      <xdr:nvCxnSpPr>
        <xdr:cNvPr id="12" name="Straight Connector 11">
          <a:extLst>
            <a:ext uri="{FF2B5EF4-FFF2-40B4-BE49-F238E27FC236}">
              <a16:creationId xmlns:a16="http://schemas.microsoft.com/office/drawing/2014/main" id="{FAECBFED-4389-4FC5-832A-24BF8F79190A}"/>
            </a:ext>
          </a:extLst>
        </xdr:cNvPr>
        <xdr:cNvCxnSpPr/>
      </xdr:nvCxnSpPr>
      <xdr:spPr>
        <a:xfrm flipV="1">
          <a:off x="6904373" y="2080884"/>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82797</xdr:colOff>
      <xdr:row>11</xdr:row>
      <xdr:rowOff>169534</xdr:rowOff>
    </xdr:from>
    <xdr:to>
      <xdr:col>14</xdr:col>
      <xdr:colOff>586744</xdr:colOff>
      <xdr:row>11</xdr:row>
      <xdr:rowOff>170691</xdr:rowOff>
    </xdr:to>
    <xdr:cxnSp macro="">
      <xdr:nvCxnSpPr>
        <xdr:cNvPr id="13" name="Straight Connector 12">
          <a:extLst>
            <a:ext uri="{FF2B5EF4-FFF2-40B4-BE49-F238E27FC236}">
              <a16:creationId xmlns:a16="http://schemas.microsoft.com/office/drawing/2014/main" id="{89F85475-3470-4E65-823E-9908898167D9}"/>
            </a:ext>
          </a:extLst>
        </xdr:cNvPr>
        <xdr:cNvCxnSpPr/>
      </xdr:nvCxnSpPr>
      <xdr:spPr>
        <a:xfrm flipV="1">
          <a:off x="8121897" y="2080884"/>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77421</xdr:colOff>
      <xdr:row>11</xdr:row>
      <xdr:rowOff>169534</xdr:rowOff>
    </xdr:from>
    <xdr:to>
      <xdr:col>16</xdr:col>
      <xdr:colOff>581369</xdr:colOff>
      <xdr:row>11</xdr:row>
      <xdr:rowOff>170691</xdr:rowOff>
    </xdr:to>
    <xdr:cxnSp macro="">
      <xdr:nvCxnSpPr>
        <xdr:cNvPr id="14" name="Straight Connector 13">
          <a:extLst>
            <a:ext uri="{FF2B5EF4-FFF2-40B4-BE49-F238E27FC236}">
              <a16:creationId xmlns:a16="http://schemas.microsoft.com/office/drawing/2014/main" id="{3773E3A2-EAB7-4EE4-AA15-2E80F1B3C1E0}"/>
            </a:ext>
          </a:extLst>
        </xdr:cNvPr>
        <xdr:cNvCxnSpPr/>
      </xdr:nvCxnSpPr>
      <xdr:spPr>
        <a:xfrm flipV="1">
          <a:off x="9335721" y="208088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81638</xdr:colOff>
      <xdr:row>11</xdr:row>
      <xdr:rowOff>169534</xdr:rowOff>
    </xdr:from>
    <xdr:to>
      <xdr:col>18</xdr:col>
      <xdr:colOff>585586</xdr:colOff>
      <xdr:row>11</xdr:row>
      <xdr:rowOff>170691</xdr:rowOff>
    </xdr:to>
    <xdr:cxnSp macro="">
      <xdr:nvCxnSpPr>
        <xdr:cNvPr id="15" name="Straight Connector 14">
          <a:extLst>
            <a:ext uri="{FF2B5EF4-FFF2-40B4-BE49-F238E27FC236}">
              <a16:creationId xmlns:a16="http://schemas.microsoft.com/office/drawing/2014/main" id="{DF2BD9C7-AFF3-48FC-9EB8-E097A7A215A7}"/>
            </a:ext>
          </a:extLst>
        </xdr:cNvPr>
        <xdr:cNvCxnSpPr/>
      </xdr:nvCxnSpPr>
      <xdr:spPr>
        <a:xfrm flipV="1">
          <a:off x="10559138" y="208088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81505</xdr:colOff>
      <xdr:row>11</xdr:row>
      <xdr:rowOff>169534</xdr:rowOff>
    </xdr:from>
    <xdr:to>
      <xdr:col>20</xdr:col>
      <xdr:colOff>585453</xdr:colOff>
      <xdr:row>11</xdr:row>
      <xdr:rowOff>170691</xdr:rowOff>
    </xdr:to>
    <xdr:cxnSp macro="">
      <xdr:nvCxnSpPr>
        <xdr:cNvPr id="16" name="Straight Connector 15">
          <a:extLst>
            <a:ext uri="{FF2B5EF4-FFF2-40B4-BE49-F238E27FC236}">
              <a16:creationId xmlns:a16="http://schemas.microsoft.com/office/drawing/2014/main" id="{F64E5158-5884-456A-B2C0-561DCB8F8614}"/>
            </a:ext>
          </a:extLst>
        </xdr:cNvPr>
        <xdr:cNvCxnSpPr/>
      </xdr:nvCxnSpPr>
      <xdr:spPr>
        <a:xfrm flipV="1">
          <a:off x="11778205" y="208088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81981</xdr:colOff>
      <xdr:row>13</xdr:row>
      <xdr:rowOff>154837</xdr:rowOff>
    </xdr:from>
    <xdr:to>
      <xdr:col>10</xdr:col>
      <xdr:colOff>585928</xdr:colOff>
      <xdr:row>13</xdr:row>
      <xdr:rowOff>155994</xdr:rowOff>
    </xdr:to>
    <xdr:cxnSp macro="">
      <xdr:nvCxnSpPr>
        <xdr:cNvPr id="17" name="Straight Connector 16">
          <a:extLst>
            <a:ext uri="{FF2B5EF4-FFF2-40B4-BE49-F238E27FC236}">
              <a16:creationId xmlns:a16="http://schemas.microsoft.com/office/drawing/2014/main" id="{80BFE4F6-968F-4968-9BA9-8659BB1F1FA8}"/>
            </a:ext>
          </a:extLst>
        </xdr:cNvPr>
        <xdr:cNvCxnSpPr/>
      </xdr:nvCxnSpPr>
      <xdr:spPr>
        <a:xfrm flipV="1">
          <a:off x="5682681" y="244083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84473</xdr:colOff>
      <xdr:row>13</xdr:row>
      <xdr:rowOff>154837</xdr:rowOff>
    </xdr:from>
    <xdr:to>
      <xdr:col>12</xdr:col>
      <xdr:colOff>588420</xdr:colOff>
      <xdr:row>13</xdr:row>
      <xdr:rowOff>155994</xdr:rowOff>
    </xdr:to>
    <xdr:cxnSp macro="">
      <xdr:nvCxnSpPr>
        <xdr:cNvPr id="18" name="Straight Connector 17">
          <a:extLst>
            <a:ext uri="{FF2B5EF4-FFF2-40B4-BE49-F238E27FC236}">
              <a16:creationId xmlns:a16="http://schemas.microsoft.com/office/drawing/2014/main" id="{A046C4EF-58CF-4A34-9093-08A81E83FE32}"/>
            </a:ext>
          </a:extLst>
        </xdr:cNvPr>
        <xdr:cNvCxnSpPr/>
      </xdr:nvCxnSpPr>
      <xdr:spPr>
        <a:xfrm flipV="1">
          <a:off x="6904373" y="244083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82797</xdr:colOff>
      <xdr:row>13</xdr:row>
      <xdr:rowOff>154837</xdr:rowOff>
    </xdr:from>
    <xdr:to>
      <xdr:col>14</xdr:col>
      <xdr:colOff>586744</xdr:colOff>
      <xdr:row>13</xdr:row>
      <xdr:rowOff>155994</xdr:rowOff>
    </xdr:to>
    <xdr:cxnSp macro="">
      <xdr:nvCxnSpPr>
        <xdr:cNvPr id="19" name="Straight Connector 18">
          <a:extLst>
            <a:ext uri="{FF2B5EF4-FFF2-40B4-BE49-F238E27FC236}">
              <a16:creationId xmlns:a16="http://schemas.microsoft.com/office/drawing/2014/main" id="{6E080469-3A7D-49DE-BBAC-4B5644E29C57}"/>
            </a:ext>
          </a:extLst>
        </xdr:cNvPr>
        <xdr:cNvCxnSpPr/>
      </xdr:nvCxnSpPr>
      <xdr:spPr>
        <a:xfrm flipV="1">
          <a:off x="8121897" y="244083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92541</xdr:colOff>
      <xdr:row>13</xdr:row>
      <xdr:rowOff>154837</xdr:rowOff>
    </xdr:from>
    <xdr:to>
      <xdr:col>16</xdr:col>
      <xdr:colOff>596489</xdr:colOff>
      <xdr:row>13</xdr:row>
      <xdr:rowOff>155994</xdr:rowOff>
    </xdr:to>
    <xdr:cxnSp macro="">
      <xdr:nvCxnSpPr>
        <xdr:cNvPr id="20" name="Straight Connector 19">
          <a:extLst>
            <a:ext uri="{FF2B5EF4-FFF2-40B4-BE49-F238E27FC236}">
              <a16:creationId xmlns:a16="http://schemas.microsoft.com/office/drawing/2014/main" id="{A5049193-C96F-407C-B35F-9D95F0525781}"/>
            </a:ext>
          </a:extLst>
        </xdr:cNvPr>
        <xdr:cNvCxnSpPr/>
      </xdr:nvCxnSpPr>
      <xdr:spPr>
        <a:xfrm flipV="1">
          <a:off x="9350841" y="2440837"/>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81638</xdr:colOff>
      <xdr:row>13</xdr:row>
      <xdr:rowOff>154837</xdr:rowOff>
    </xdr:from>
    <xdr:to>
      <xdr:col>18</xdr:col>
      <xdr:colOff>585586</xdr:colOff>
      <xdr:row>13</xdr:row>
      <xdr:rowOff>155994</xdr:rowOff>
    </xdr:to>
    <xdr:cxnSp macro="">
      <xdr:nvCxnSpPr>
        <xdr:cNvPr id="21" name="Straight Connector 20">
          <a:extLst>
            <a:ext uri="{FF2B5EF4-FFF2-40B4-BE49-F238E27FC236}">
              <a16:creationId xmlns:a16="http://schemas.microsoft.com/office/drawing/2014/main" id="{B0F666C7-58FE-4F20-BAEC-4EF7EDA4ACB3}"/>
            </a:ext>
          </a:extLst>
        </xdr:cNvPr>
        <xdr:cNvCxnSpPr/>
      </xdr:nvCxnSpPr>
      <xdr:spPr>
        <a:xfrm flipV="1">
          <a:off x="10559138" y="2440837"/>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81505</xdr:colOff>
      <xdr:row>13</xdr:row>
      <xdr:rowOff>154837</xdr:rowOff>
    </xdr:from>
    <xdr:to>
      <xdr:col>20</xdr:col>
      <xdr:colOff>585453</xdr:colOff>
      <xdr:row>13</xdr:row>
      <xdr:rowOff>155994</xdr:rowOff>
    </xdr:to>
    <xdr:cxnSp macro="">
      <xdr:nvCxnSpPr>
        <xdr:cNvPr id="22" name="Straight Connector 21">
          <a:extLst>
            <a:ext uri="{FF2B5EF4-FFF2-40B4-BE49-F238E27FC236}">
              <a16:creationId xmlns:a16="http://schemas.microsoft.com/office/drawing/2014/main" id="{C4F2D3BF-4B5A-4E64-8E6F-931CE5045DA4}"/>
            </a:ext>
          </a:extLst>
        </xdr:cNvPr>
        <xdr:cNvCxnSpPr/>
      </xdr:nvCxnSpPr>
      <xdr:spPr>
        <a:xfrm flipV="1">
          <a:off x="11778205" y="2440837"/>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81981</xdr:colOff>
      <xdr:row>16</xdr:row>
      <xdr:rowOff>158334</xdr:rowOff>
    </xdr:from>
    <xdr:to>
      <xdr:col>10</xdr:col>
      <xdr:colOff>585928</xdr:colOff>
      <xdr:row>16</xdr:row>
      <xdr:rowOff>159491</xdr:rowOff>
    </xdr:to>
    <xdr:cxnSp macro="">
      <xdr:nvCxnSpPr>
        <xdr:cNvPr id="23" name="Straight Connector 22">
          <a:extLst>
            <a:ext uri="{FF2B5EF4-FFF2-40B4-BE49-F238E27FC236}">
              <a16:creationId xmlns:a16="http://schemas.microsoft.com/office/drawing/2014/main" id="{32C8199E-A872-4C76-B4F3-1F38C7986BD7}"/>
            </a:ext>
          </a:extLst>
        </xdr:cNvPr>
        <xdr:cNvCxnSpPr/>
      </xdr:nvCxnSpPr>
      <xdr:spPr>
        <a:xfrm flipV="1">
          <a:off x="5682681" y="2996784"/>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84473</xdr:colOff>
      <xdr:row>16</xdr:row>
      <xdr:rowOff>158334</xdr:rowOff>
    </xdr:from>
    <xdr:to>
      <xdr:col>12</xdr:col>
      <xdr:colOff>588420</xdr:colOff>
      <xdr:row>16</xdr:row>
      <xdr:rowOff>159491</xdr:rowOff>
    </xdr:to>
    <xdr:cxnSp macro="">
      <xdr:nvCxnSpPr>
        <xdr:cNvPr id="24" name="Straight Connector 23">
          <a:extLst>
            <a:ext uri="{FF2B5EF4-FFF2-40B4-BE49-F238E27FC236}">
              <a16:creationId xmlns:a16="http://schemas.microsoft.com/office/drawing/2014/main" id="{79979334-2803-4723-AA58-A73343275C39}"/>
            </a:ext>
          </a:extLst>
        </xdr:cNvPr>
        <xdr:cNvCxnSpPr/>
      </xdr:nvCxnSpPr>
      <xdr:spPr>
        <a:xfrm flipV="1">
          <a:off x="6904373" y="2996784"/>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82797</xdr:colOff>
      <xdr:row>16</xdr:row>
      <xdr:rowOff>158334</xdr:rowOff>
    </xdr:from>
    <xdr:to>
      <xdr:col>14</xdr:col>
      <xdr:colOff>586744</xdr:colOff>
      <xdr:row>16</xdr:row>
      <xdr:rowOff>159491</xdr:rowOff>
    </xdr:to>
    <xdr:cxnSp macro="">
      <xdr:nvCxnSpPr>
        <xdr:cNvPr id="25" name="Straight Connector 24">
          <a:extLst>
            <a:ext uri="{FF2B5EF4-FFF2-40B4-BE49-F238E27FC236}">
              <a16:creationId xmlns:a16="http://schemas.microsoft.com/office/drawing/2014/main" id="{3B0F581E-B3C7-4B7E-BDE6-2F5770B8CFB4}"/>
            </a:ext>
          </a:extLst>
        </xdr:cNvPr>
        <xdr:cNvCxnSpPr/>
      </xdr:nvCxnSpPr>
      <xdr:spPr>
        <a:xfrm flipV="1">
          <a:off x="8121897" y="2996784"/>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75886</xdr:colOff>
      <xdr:row>16</xdr:row>
      <xdr:rowOff>158334</xdr:rowOff>
    </xdr:from>
    <xdr:to>
      <xdr:col>16</xdr:col>
      <xdr:colOff>579834</xdr:colOff>
      <xdr:row>16</xdr:row>
      <xdr:rowOff>159491</xdr:rowOff>
    </xdr:to>
    <xdr:cxnSp macro="">
      <xdr:nvCxnSpPr>
        <xdr:cNvPr id="26" name="Straight Connector 25">
          <a:extLst>
            <a:ext uri="{FF2B5EF4-FFF2-40B4-BE49-F238E27FC236}">
              <a16:creationId xmlns:a16="http://schemas.microsoft.com/office/drawing/2014/main" id="{415E812F-9B6A-40BB-A076-5DBA5E7D8936}"/>
            </a:ext>
          </a:extLst>
        </xdr:cNvPr>
        <xdr:cNvCxnSpPr/>
      </xdr:nvCxnSpPr>
      <xdr:spPr>
        <a:xfrm flipV="1">
          <a:off x="9334186" y="299678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81638</xdr:colOff>
      <xdr:row>16</xdr:row>
      <xdr:rowOff>158334</xdr:rowOff>
    </xdr:from>
    <xdr:to>
      <xdr:col>18</xdr:col>
      <xdr:colOff>585586</xdr:colOff>
      <xdr:row>16</xdr:row>
      <xdr:rowOff>159491</xdr:rowOff>
    </xdr:to>
    <xdr:cxnSp macro="">
      <xdr:nvCxnSpPr>
        <xdr:cNvPr id="27" name="Straight Connector 26">
          <a:extLst>
            <a:ext uri="{FF2B5EF4-FFF2-40B4-BE49-F238E27FC236}">
              <a16:creationId xmlns:a16="http://schemas.microsoft.com/office/drawing/2014/main" id="{42CCD766-EAA9-43C6-AD46-EFC392C3993E}"/>
            </a:ext>
          </a:extLst>
        </xdr:cNvPr>
        <xdr:cNvCxnSpPr/>
      </xdr:nvCxnSpPr>
      <xdr:spPr>
        <a:xfrm flipV="1">
          <a:off x="10559138" y="299678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81505</xdr:colOff>
      <xdr:row>16</xdr:row>
      <xdr:rowOff>158334</xdr:rowOff>
    </xdr:from>
    <xdr:to>
      <xdr:col>20</xdr:col>
      <xdr:colOff>585453</xdr:colOff>
      <xdr:row>16</xdr:row>
      <xdr:rowOff>159491</xdr:rowOff>
    </xdr:to>
    <xdr:cxnSp macro="">
      <xdr:nvCxnSpPr>
        <xdr:cNvPr id="28" name="Straight Connector 27">
          <a:extLst>
            <a:ext uri="{FF2B5EF4-FFF2-40B4-BE49-F238E27FC236}">
              <a16:creationId xmlns:a16="http://schemas.microsoft.com/office/drawing/2014/main" id="{72221A05-4E92-49C6-A353-2DC882D52BD6}"/>
            </a:ext>
          </a:extLst>
        </xdr:cNvPr>
        <xdr:cNvCxnSpPr/>
      </xdr:nvCxnSpPr>
      <xdr:spPr>
        <a:xfrm flipV="1">
          <a:off x="11778205" y="299678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81981</xdr:colOff>
      <xdr:row>18</xdr:row>
      <xdr:rowOff>166215</xdr:rowOff>
    </xdr:from>
    <xdr:to>
      <xdr:col>10</xdr:col>
      <xdr:colOff>585928</xdr:colOff>
      <xdr:row>18</xdr:row>
      <xdr:rowOff>167372</xdr:rowOff>
    </xdr:to>
    <xdr:cxnSp macro="">
      <xdr:nvCxnSpPr>
        <xdr:cNvPr id="29" name="Straight Connector 28">
          <a:extLst>
            <a:ext uri="{FF2B5EF4-FFF2-40B4-BE49-F238E27FC236}">
              <a16:creationId xmlns:a16="http://schemas.microsoft.com/office/drawing/2014/main" id="{02451057-66ED-40C1-BD95-B1DC600659C6}"/>
            </a:ext>
          </a:extLst>
        </xdr:cNvPr>
        <xdr:cNvCxnSpPr/>
      </xdr:nvCxnSpPr>
      <xdr:spPr>
        <a:xfrm flipV="1">
          <a:off x="5682681" y="337296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84473</xdr:colOff>
      <xdr:row>18</xdr:row>
      <xdr:rowOff>166215</xdr:rowOff>
    </xdr:from>
    <xdr:to>
      <xdr:col>12</xdr:col>
      <xdr:colOff>588420</xdr:colOff>
      <xdr:row>18</xdr:row>
      <xdr:rowOff>167372</xdr:rowOff>
    </xdr:to>
    <xdr:cxnSp macro="">
      <xdr:nvCxnSpPr>
        <xdr:cNvPr id="30" name="Straight Connector 29">
          <a:extLst>
            <a:ext uri="{FF2B5EF4-FFF2-40B4-BE49-F238E27FC236}">
              <a16:creationId xmlns:a16="http://schemas.microsoft.com/office/drawing/2014/main" id="{D685624E-4168-4216-A030-BD9EBF50CBF0}"/>
            </a:ext>
          </a:extLst>
        </xdr:cNvPr>
        <xdr:cNvCxnSpPr/>
      </xdr:nvCxnSpPr>
      <xdr:spPr>
        <a:xfrm flipV="1">
          <a:off x="6904373" y="337296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82797</xdr:colOff>
      <xdr:row>18</xdr:row>
      <xdr:rowOff>166215</xdr:rowOff>
    </xdr:from>
    <xdr:to>
      <xdr:col>14</xdr:col>
      <xdr:colOff>586744</xdr:colOff>
      <xdr:row>18</xdr:row>
      <xdr:rowOff>167372</xdr:rowOff>
    </xdr:to>
    <xdr:cxnSp macro="">
      <xdr:nvCxnSpPr>
        <xdr:cNvPr id="31" name="Straight Connector 30">
          <a:extLst>
            <a:ext uri="{FF2B5EF4-FFF2-40B4-BE49-F238E27FC236}">
              <a16:creationId xmlns:a16="http://schemas.microsoft.com/office/drawing/2014/main" id="{B1CA61AB-593A-4CCF-8D5A-9BE4D31FDF86}"/>
            </a:ext>
          </a:extLst>
        </xdr:cNvPr>
        <xdr:cNvCxnSpPr/>
      </xdr:nvCxnSpPr>
      <xdr:spPr>
        <a:xfrm flipV="1">
          <a:off x="8121897" y="337296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92941</xdr:colOff>
      <xdr:row>18</xdr:row>
      <xdr:rowOff>166215</xdr:rowOff>
    </xdr:from>
    <xdr:to>
      <xdr:col>16</xdr:col>
      <xdr:colOff>596889</xdr:colOff>
      <xdr:row>18</xdr:row>
      <xdr:rowOff>167372</xdr:rowOff>
    </xdr:to>
    <xdr:cxnSp macro="">
      <xdr:nvCxnSpPr>
        <xdr:cNvPr id="32" name="Straight Connector 31">
          <a:extLst>
            <a:ext uri="{FF2B5EF4-FFF2-40B4-BE49-F238E27FC236}">
              <a16:creationId xmlns:a16="http://schemas.microsoft.com/office/drawing/2014/main" id="{B8A1B025-9022-4483-962E-28704F80C85B}"/>
            </a:ext>
          </a:extLst>
        </xdr:cNvPr>
        <xdr:cNvCxnSpPr/>
      </xdr:nvCxnSpPr>
      <xdr:spPr>
        <a:xfrm flipV="1">
          <a:off x="9351241" y="3372965"/>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81638</xdr:colOff>
      <xdr:row>18</xdr:row>
      <xdr:rowOff>166215</xdr:rowOff>
    </xdr:from>
    <xdr:to>
      <xdr:col>18</xdr:col>
      <xdr:colOff>585586</xdr:colOff>
      <xdr:row>18</xdr:row>
      <xdr:rowOff>167372</xdr:rowOff>
    </xdr:to>
    <xdr:cxnSp macro="">
      <xdr:nvCxnSpPr>
        <xdr:cNvPr id="33" name="Straight Connector 32">
          <a:extLst>
            <a:ext uri="{FF2B5EF4-FFF2-40B4-BE49-F238E27FC236}">
              <a16:creationId xmlns:a16="http://schemas.microsoft.com/office/drawing/2014/main" id="{5FE8A6EE-16CA-4E9F-8E07-0F6E9E03D947}"/>
            </a:ext>
          </a:extLst>
        </xdr:cNvPr>
        <xdr:cNvCxnSpPr/>
      </xdr:nvCxnSpPr>
      <xdr:spPr>
        <a:xfrm flipV="1">
          <a:off x="10559138" y="3372965"/>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81505</xdr:colOff>
      <xdr:row>18</xdr:row>
      <xdr:rowOff>166215</xdr:rowOff>
    </xdr:from>
    <xdr:to>
      <xdr:col>20</xdr:col>
      <xdr:colOff>585453</xdr:colOff>
      <xdr:row>18</xdr:row>
      <xdr:rowOff>167372</xdr:rowOff>
    </xdr:to>
    <xdr:cxnSp macro="">
      <xdr:nvCxnSpPr>
        <xdr:cNvPr id="34" name="Straight Connector 33">
          <a:extLst>
            <a:ext uri="{FF2B5EF4-FFF2-40B4-BE49-F238E27FC236}">
              <a16:creationId xmlns:a16="http://schemas.microsoft.com/office/drawing/2014/main" id="{DD6B330A-056F-4F17-9532-061CC673E6C5}"/>
            </a:ext>
          </a:extLst>
        </xdr:cNvPr>
        <xdr:cNvCxnSpPr/>
      </xdr:nvCxnSpPr>
      <xdr:spPr>
        <a:xfrm flipV="1">
          <a:off x="11778205" y="3372965"/>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96981</xdr:colOff>
      <xdr:row>23</xdr:row>
      <xdr:rowOff>152197</xdr:rowOff>
    </xdr:from>
    <xdr:to>
      <xdr:col>10</xdr:col>
      <xdr:colOff>600928</xdr:colOff>
      <xdr:row>23</xdr:row>
      <xdr:rowOff>153354</xdr:rowOff>
    </xdr:to>
    <xdr:cxnSp macro="">
      <xdr:nvCxnSpPr>
        <xdr:cNvPr id="35" name="Straight Connector 34">
          <a:extLst>
            <a:ext uri="{FF2B5EF4-FFF2-40B4-BE49-F238E27FC236}">
              <a16:creationId xmlns:a16="http://schemas.microsoft.com/office/drawing/2014/main" id="{3AA9A065-B0A7-4930-ACE7-6028012ABA1E}"/>
            </a:ext>
          </a:extLst>
        </xdr:cNvPr>
        <xdr:cNvCxnSpPr/>
      </xdr:nvCxnSpPr>
      <xdr:spPr>
        <a:xfrm flipV="1">
          <a:off x="5697681" y="414634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99035</xdr:colOff>
      <xdr:row>23</xdr:row>
      <xdr:rowOff>152197</xdr:rowOff>
    </xdr:from>
    <xdr:to>
      <xdr:col>12</xdr:col>
      <xdr:colOff>603858</xdr:colOff>
      <xdr:row>23</xdr:row>
      <xdr:rowOff>153354</xdr:rowOff>
    </xdr:to>
    <xdr:cxnSp macro="">
      <xdr:nvCxnSpPr>
        <xdr:cNvPr id="36" name="Straight Connector 35">
          <a:extLst>
            <a:ext uri="{FF2B5EF4-FFF2-40B4-BE49-F238E27FC236}">
              <a16:creationId xmlns:a16="http://schemas.microsoft.com/office/drawing/2014/main" id="{ECA3D103-7722-41A6-ADC2-E48AFE0DDF61}"/>
            </a:ext>
          </a:extLst>
        </xdr:cNvPr>
        <xdr:cNvCxnSpPr/>
      </xdr:nvCxnSpPr>
      <xdr:spPr>
        <a:xfrm flipV="1">
          <a:off x="6918935" y="4146347"/>
          <a:ext cx="1114423"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97360</xdr:colOff>
      <xdr:row>23</xdr:row>
      <xdr:rowOff>152197</xdr:rowOff>
    </xdr:from>
    <xdr:to>
      <xdr:col>14</xdr:col>
      <xdr:colOff>602182</xdr:colOff>
      <xdr:row>23</xdr:row>
      <xdr:rowOff>153354</xdr:rowOff>
    </xdr:to>
    <xdr:cxnSp macro="">
      <xdr:nvCxnSpPr>
        <xdr:cNvPr id="37" name="Straight Connector 36">
          <a:extLst>
            <a:ext uri="{FF2B5EF4-FFF2-40B4-BE49-F238E27FC236}">
              <a16:creationId xmlns:a16="http://schemas.microsoft.com/office/drawing/2014/main" id="{7E04ADF4-0A1C-4E18-91A1-9C47CB59997A}"/>
            </a:ext>
          </a:extLst>
        </xdr:cNvPr>
        <xdr:cNvCxnSpPr/>
      </xdr:nvCxnSpPr>
      <xdr:spPr>
        <a:xfrm flipV="1">
          <a:off x="8136460" y="4146347"/>
          <a:ext cx="1114422"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107963</xdr:colOff>
      <xdr:row>23</xdr:row>
      <xdr:rowOff>152197</xdr:rowOff>
    </xdr:from>
    <xdr:to>
      <xdr:col>17</xdr:col>
      <xdr:colOff>1866</xdr:colOff>
      <xdr:row>23</xdr:row>
      <xdr:rowOff>153354</xdr:rowOff>
    </xdr:to>
    <xdr:cxnSp macro="">
      <xdr:nvCxnSpPr>
        <xdr:cNvPr id="38" name="Straight Connector 37">
          <a:extLst>
            <a:ext uri="{FF2B5EF4-FFF2-40B4-BE49-F238E27FC236}">
              <a16:creationId xmlns:a16="http://schemas.microsoft.com/office/drawing/2014/main" id="{8AF71A2E-A5A1-4EEA-B158-9B372BCAEBA1}"/>
            </a:ext>
          </a:extLst>
        </xdr:cNvPr>
        <xdr:cNvCxnSpPr/>
      </xdr:nvCxnSpPr>
      <xdr:spPr>
        <a:xfrm flipV="1">
          <a:off x="9366263" y="4146347"/>
          <a:ext cx="1113103"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96661</xdr:colOff>
      <xdr:row>23</xdr:row>
      <xdr:rowOff>152197</xdr:rowOff>
    </xdr:from>
    <xdr:to>
      <xdr:col>18</xdr:col>
      <xdr:colOff>600563</xdr:colOff>
      <xdr:row>23</xdr:row>
      <xdr:rowOff>153354</xdr:rowOff>
    </xdr:to>
    <xdr:cxnSp macro="">
      <xdr:nvCxnSpPr>
        <xdr:cNvPr id="39" name="Straight Connector 38">
          <a:extLst>
            <a:ext uri="{FF2B5EF4-FFF2-40B4-BE49-F238E27FC236}">
              <a16:creationId xmlns:a16="http://schemas.microsoft.com/office/drawing/2014/main" id="{257841E1-D9DF-4D95-B21D-17E080D5E973}"/>
            </a:ext>
          </a:extLst>
        </xdr:cNvPr>
        <xdr:cNvCxnSpPr/>
      </xdr:nvCxnSpPr>
      <xdr:spPr>
        <a:xfrm flipV="1">
          <a:off x="10574161" y="4146347"/>
          <a:ext cx="1113502"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81527</xdr:colOff>
      <xdr:row>23</xdr:row>
      <xdr:rowOff>152197</xdr:rowOff>
    </xdr:from>
    <xdr:to>
      <xdr:col>20</xdr:col>
      <xdr:colOff>585430</xdr:colOff>
      <xdr:row>23</xdr:row>
      <xdr:rowOff>153354</xdr:rowOff>
    </xdr:to>
    <xdr:cxnSp macro="">
      <xdr:nvCxnSpPr>
        <xdr:cNvPr id="40" name="Straight Connector 39">
          <a:extLst>
            <a:ext uri="{FF2B5EF4-FFF2-40B4-BE49-F238E27FC236}">
              <a16:creationId xmlns:a16="http://schemas.microsoft.com/office/drawing/2014/main" id="{AE6367E9-41F0-4D10-963E-192B048D6E3D}"/>
            </a:ext>
          </a:extLst>
        </xdr:cNvPr>
        <xdr:cNvCxnSpPr/>
      </xdr:nvCxnSpPr>
      <xdr:spPr>
        <a:xfrm flipV="1">
          <a:off x="11778227" y="4146347"/>
          <a:ext cx="1113503"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81981</xdr:colOff>
      <xdr:row>24</xdr:row>
      <xdr:rowOff>191437</xdr:rowOff>
    </xdr:from>
    <xdr:to>
      <xdr:col>10</xdr:col>
      <xdr:colOff>585928</xdr:colOff>
      <xdr:row>24</xdr:row>
      <xdr:rowOff>192594</xdr:rowOff>
    </xdr:to>
    <xdr:cxnSp macro="">
      <xdr:nvCxnSpPr>
        <xdr:cNvPr id="41" name="Straight Connector 40">
          <a:extLst>
            <a:ext uri="{FF2B5EF4-FFF2-40B4-BE49-F238E27FC236}">
              <a16:creationId xmlns:a16="http://schemas.microsoft.com/office/drawing/2014/main" id="{550047C7-2311-465F-9F3D-FCE73FBB1E8A}"/>
            </a:ext>
          </a:extLst>
        </xdr:cNvPr>
        <xdr:cNvCxnSpPr/>
      </xdr:nvCxnSpPr>
      <xdr:spPr>
        <a:xfrm flipV="1">
          <a:off x="5682681" y="436338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84473</xdr:colOff>
      <xdr:row>24</xdr:row>
      <xdr:rowOff>191437</xdr:rowOff>
    </xdr:from>
    <xdr:to>
      <xdr:col>12</xdr:col>
      <xdr:colOff>588420</xdr:colOff>
      <xdr:row>24</xdr:row>
      <xdr:rowOff>192594</xdr:rowOff>
    </xdr:to>
    <xdr:cxnSp macro="">
      <xdr:nvCxnSpPr>
        <xdr:cNvPr id="42" name="Straight Connector 41">
          <a:extLst>
            <a:ext uri="{FF2B5EF4-FFF2-40B4-BE49-F238E27FC236}">
              <a16:creationId xmlns:a16="http://schemas.microsoft.com/office/drawing/2014/main" id="{278F45C2-286F-4B72-9361-5538F2E347B3}"/>
            </a:ext>
          </a:extLst>
        </xdr:cNvPr>
        <xdr:cNvCxnSpPr/>
      </xdr:nvCxnSpPr>
      <xdr:spPr>
        <a:xfrm flipV="1">
          <a:off x="6904373" y="436338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82797</xdr:colOff>
      <xdr:row>24</xdr:row>
      <xdr:rowOff>191437</xdr:rowOff>
    </xdr:from>
    <xdr:to>
      <xdr:col>14</xdr:col>
      <xdr:colOff>586744</xdr:colOff>
      <xdr:row>24</xdr:row>
      <xdr:rowOff>192594</xdr:rowOff>
    </xdr:to>
    <xdr:cxnSp macro="">
      <xdr:nvCxnSpPr>
        <xdr:cNvPr id="43" name="Straight Connector 42">
          <a:extLst>
            <a:ext uri="{FF2B5EF4-FFF2-40B4-BE49-F238E27FC236}">
              <a16:creationId xmlns:a16="http://schemas.microsoft.com/office/drawing/2014/main" id="{DC0A5D34-20E3-428B-BA81-E9BC694BCD31}"/>
            </a:ext>
          </a:extLst>
        </xdr:cNvPr>
        <xdr:cNvCxnSpPr/>
      </xdr:nvCxnSpPr>
      <xdr:spPr>
        <a:xfrm flipV="1">
          <a:off x="8121897" y="436338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92941</xdr:colOff>
      <xdr:row>24</xdr:row>
      <xdr:rowOff>191437</xdr:rowOff>
    </xdr:from>
    <xdr:to>
      <xdr:col>16</xdr:col>
      <xdr:colOff>596889</xdr:colOff>
      <xdr:row>24</xdr:row>
      <xdr:rowOff>192594</xdr:rowOff>
    </xdr:to>
    <xdr:cxnSp macro="">
      <xdr:nvCxnSpPr>
        <xdr:cNvPr id="44" name="Straight Connector 43">
          <a:extLst>
            <a:ext uri="{FF2B5EF4-FFF2-40B4-BE49-F238E27FC236}">
              <a16:creationId xmlns:a16="http://schemas.microsoft.com/office/drawing/2014/main" id="{F67CF4DD-86F4-47C7-9597-3AE48BAE6E50}"/>
            </a:ext>
          </a:extLst>
        </xdr:cNvPr>
        <xdr:cNvCxnSpPr/>
      </xdr:nvCxnSpPr>
      <xdr:spPr>
        <a:xfrm flipV="1">
          <a:off x="9351241" y="4363387"/>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81638</xdr:colOff>
      <xdr:row>24</xdr:row>
      <xdr:rowOff>191437</xdr:rowOff>
    </xdr:from>
    <xdr:to>
      <xdr:col>18</xdr:col>
      <xdr:colOff>585586</xdr:colOff>
      <xdr:row>24</xdr:row>
      <xdr:rowOff>192594</xdr:rowOff>
    </xdr:to>
    <xdr:cxnSp macro="">
      <xdr:nvCxnSpPr>
        <xdr:cNvPr id="45" name="Straight Connector 44">
          <a:extLst>
            <a:ext uri="{FF2B5EF4-FFF2-40B4-BE49-F238E27FC236}">
              <a16:creationId xmlns:a16="http://schemas.microsoft.com/office/drawing/2014/main" id="{74ACFBB7-1E14-4261-B982-2BD3C2D2465F}"/>
            </a:ext>
          </a:extLst>
        </xdr:cNvPr>
        <xdr:cNvCxnSpPr/>
      </xdr:nvCxnSpPr>
      <xdr:spPr>
        <a:xfrm flipV="1">
          <a:off x="10559138" y="4363387"/>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81505</xdr:colOff>
      <xdr:row>24</xdr:row>
      <xdr:rowOff>191437</xdr:rowOff>
    </xdr:from>
    <xdr:to>
      <xdr:col>20</xdr:col>
      <xdr:colOff>585453</xdr:colOff>
      <xdr:row>24</xdr:row>
      <xdr:rowOff>192594</xdr:rowOff>
    </xdr:to>
    <xdr:cxnSp macro="">
      <xdr:nvCxnSpPr>
        <xdr:cNvPr id="46" name="Straight Connector 45">
          <a:extLst>
            <a:ext uri="{FF2B5EF4-FFF2-40B4-BE49-F238E27FC236}">
              <a16:creationId xmlns:a16="http://schemas.microsoft.com/office/drawing/2014/main" id="{F4325ACB-A17D-48DE-B99D-29E49729A877}"/>
            </a:ext>
          </a:extLst>
        </xdr:cNvPr>
        <xdr:cNvCxnSpPr/>
      </xdr:nvCxnSpPr>
      <xdr:spPr>
        <a:xfrm flipV="1">
          <a:off x="11778205" y="4363387"/>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81981</xdr:colOff>
      <xdr:row>25</xdr:row>
      <xdr:rowOff>5545</xdr:rowOff>
    </xdr:from>
    <xdr:to>
      <xdr:col>10</xdr:col>
      <xdr:colOff>585928</xdr:colOff>
      <xdr:row>25</xdr:row>
      <xdr:rowOff>6702</xdr:rowOff>
    </xdr:to>
    <xdr:cxnSp macro="">
      <xdr:nvCxnSpPr>
        <xdr:cNvPr id="47" name="Straight Connector 46">
          <a:extLst>
            <a:ext uri="{FF2B5EF4-FFF2-40B4-BE49-F238E27FC236}">
              <a16:creationId xmlns:a16="http://schemas.microsoft.com/office/drawing/2014/main" id="{E27E3CDC-AEE8-4994-8EA7-4F882A8FB7D4}"/>
            </a:ext>
          </a:extLst>
        </xdr:cNvPr>
        <xdr:cNvCxnSpPr/>
      </xdr:nvCxnSpPr>
      <xdr:spPr>
        <a:xfrm flipV="1">
          <a:off x="5682681" y="436799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84473</xdr:colOff>
      <xdr:row>25</xdr:row>
      <xdr:rowOff>5545</xdr:rowOff>
    </xdr:from>
    <xdr:to>
      <xdr:col>12</xdr:col>
      <xdr:colOff>588420</xdr:colOff>
      <xdr:row>25</xdr:row>
      <xdr:rowOff>6702</xdr:rowOff>
    </xdr:to>
    <xdr:cxnSp macro="">
      <xdr:nvCxnSpPr>
        <xdr:cNvPr id="48" name="Straight Connector 47">
          <a:extLst>
            <a:ext uri="{FF2B5EF4-FFF2-40B4-BE49-F238E27FC236}">
              <a16:creationId xmlns:a16="http://schemas.microsoft.com/office/drawing/2014/main" id="{C0E52CE0-78BC-407C-90EB-E408D9D24ACB}"/>
            </a:ext>
          </a:extLst>
        </xdr:cNvPr>
        <xdr:cNvCxnSpPr/>
      </xdr:nvCxnSpPr>
      <xdr:spPr>
        <a:xfrm flipV="1">
          <a:off x="6904373" y="436799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82797</xdr:colOff>
      <xdr:row>25</xdr:row>
      <xdr:rowOff>5545</xdr:rowOff>
    </xdr:from>
    <xdr:to>
      <xdr:col>14</xdr:col>
      <xdr:colOff>586744</xdr:colOff>
      <xdr:row>25</xdr:row>
      <xdr:rowOff>6702</xdr:rowOff>
    </xdr:to>
    <xdr:cxnSp macro="">
      <xdr:nvCxnSpPr>
        <xdr:cNvPr id="49" name="Straight Connector 48">
          <a:extLst>
            <a:ext uri="{FF2B5EF4-FFF2-40B4-BE49-F238E27FC236}">
              <a16:creationId xmlns:a16="http://schemas.microsoft.com/office/drawing/2014/main" id="{1DAA3241-0136-4D63-8AB0-827235C7DC53}"/>
            </a:ext>
          </a:extLst>
        </xdr:cNvPr>
        <xdr:cNvCxnSpPr/>
      </xdr:nvCxnSpPr>
      <xdr:spPr>
        <a:xfrm flipV="1">
          <a:off x="8121897" y="436799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92941</xdr:colOff>
      <xdr:row>25</xdr:row>
      <xdr:rowOff>5545</xdr:rowOff>
    </xdr:from>
    <xdr:to>
      <xdr:col>16</xdr:col>
      <xdr:colOff>596889</xdr:colOff>
      <xdr:row>25</xdr:row>
      <xdr:rowOff>6702</xdr:rowOff>
    </xdr:to>
    <xdr:cxnSp macro="">
      <xdr:nvCxnSpPr>
        <xdr:cNvPr id="50" name="Straight Connector 49">
          <a:extLst>
            <a:ext uri="{FF2B5EF4-FFF2-40B4-BE49-F238E27FC236}">
              <a16:creationId xmlns:a16="http://schemas.microsoft.com/office/drawing/2014/main" id="{CA862F28-941C-45E9-862B-E88A99D7ACD7}"/>
            </a:ext>
          </a:extLst>
        </xdr:cNvPr>
        <xdr:cNvCxnSpPr/>
      </xdr:nvCxnSpPr>
      <xdr:spPr>
        <a:xfrm flipV="1">
          <a:off x="9351241" y="4367995"/>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81638</xdr:colOff>
      <xdr:row>25</xdr:row>
      <xdr:rowOff>5545</xdr:rowOff>
    </xdr:from>
    <xdr:to>
      <xdr:col>18</xdr:col>
      <xdr:colOff>585586</xdr:colOff>
      <xdr:row>25</xdr:row>
      <xdr:rowOff>6702</xdr:rowOff>
    </xdr:to>
    <xdr:cxnSp macro="">
      <xdr:nvCxnSpPr>
        <xdr:cNvPr id="51" name="Straight Connector 50">
          <a:extLst>
            <a:ext uri="{FF2B5EF4-FFF2-40B4-BE49-F238E27FC236}">
              <a16:creationId xmlns:a16="http://schemas.microsoft.com/office/drawing/2014/main" id="{C5BEEF21-87DF-4EA9-823A-A221143C7560}"/>
            </a:ext>
          </a:extLst>
        </xdr:cNvPr>
        <xdr:cNvCxnSpPr/>
      </xdr:nvCxnSpPr>
      <xdr:spPr>
        <a:xfrm flipV="1">
          <a:off x="10559138" y="4367995"/>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81505</xdr:colOff>
      <xdr:row>25</xdr:row>
      <xdr:rowOff>5545</xdr:rowOff>
    </xdr:from>
    <xdr:to>
      <xdr:col>20</xdr:col>
      <xdr:colOff>585453</xdr:colOff>
      <xdr:row>25</xdr:row>
      <xdr:rowOff>6702</xdr:rowOff>
    </xdr:to>
    <xdr:cxnSp macro="">
      <xdr:nvCxnSpPr>
        <xdr:cNvPr id="52" name="Straight Connector 51">
          <a:extLst>
            <a:ext uri="{FF2B5EF4-FFF2-40B4-BE49-F238E27FC236}">
              <a16:creationId xmlns:a16="http://schemas.microsoft.com/office/drawing/2014/main" id="{62C602E6-7570-4B4B-946E-BD4A4FB0AC63}"/>
            </a:ext>
          </a:extLst>
        </xdr:cNvPr>
        <xdr:cNvCxnSpPr/>
      </xdr:nvCxnSpPr>
      <xdr:spPr>
        <a:xfrm flipV="1">
          <a:off x="11778205" y="4367995"/>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66609</xdr:colOff>
      <xdr:row>10</xdr:row>
      <xdr:rowOff>179312</xdr:rowOff>
    </xdr:from>
    <xdr:to>
      <xdr:col>14</xdr:col>
      <xdr:colOff>581713</xdr:colOff>
      <xdr:row>10</xdr:row>
      <xdr:rowOff>179312</xdr:rowOff>
    </xdr:to>
    <xdr:cxnSp macro="">
      <xdr:nvCxnSpPr>
        <xdr:cNvPr id="53" name="Straight Connector 52">
          <a:extLst>
            <a:ext uri="{FF2B5EF4-FFF2-40B4-BE49-F238E27FC236}">
              <a16:creationId xmlns:a16="http://schemas.microsoft.com/office/drawing/2014/main" id="{087E6743-D0DE-4882-8680-0520020C2A15}"/>
            </a:ext>
          </a:extLst>
        </xdr:cNvPr>
        <xdr:cNvCxnSpPr/>
      </xdr:nvCxnSpPr>
      <xdr:spPr>
        <a:xfrm>
          <a:off x="5667309" y="1906512"/>
          <a:ext cx="3563104"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9641</xdr:colOff>
      <xdr:row>31</xdr:row>
      <xdr:rowOff>163361</xdr:rowOff>
    </xdr:from>
    <xdr:to>
      <xdr:col>21</xdr:col>
      <xdr:colOff>41413</xdr:colOff>
      <xdr:row>31</xdr:row>
      <xdr:rowOff>163361</xdr:rowOff>
    </xdr:to>
    <xdr:cxnSp macro="">
      <xdr:nvCxnSpPr>
        <xdr:cNvPr id="54" name="Straight Connector 53">
          <a:extLst>
            <a:ext uri="{FF2B5EF4-FFF2-40B4-BE49-F238E27FC236}">
              <a16:creationId xmlns:a16="http://schemas.microsoft.com/office/drawing/2014/main" id="{B6372BCB-4038-40DC-9EB0-DB21F8E158E4}"/>
            </a:ext>
          </a:extLst>
        </xdr:cNvPr>
        <xdr:cNvCxnSpPr/>
      </xdr:nvCxnSpPr>
      <xdr:spPr>
        <a:xfrm>
          <a:off x="3781541" y="5637061"/>
          <a:ext cx="9175772" cy="0"/>
        </a:xfrm>
        <a:prstGeom prst="line">
          <a:avLst/>
        </a:prstGeom>
        <a:ln w="12700">
          <a:solidFill>
            <a:schemeClr val="bg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76881</xdr:colOff>
      <xdr:row>33</xdr:row>
      <xdr:rowOff>162327</xdr:rowOff>
    </xdr:from>
    <xdr:to>
      <xdr:col>10</xdr:col>
      <xdr:colOff>580828</xdr:colOff>
      <xdr:row>33</xdr:row>
      <xdr:rowOff>163484</xdr:rowOff>
    </xdr:to>
    <xdr:cxnSp macro="">
      <xdr:nvCxnSpPr>
        <xdr:cNvPr id="55" name="Straight Connector 54">
          <a:extLst>
            <a:ext uri="{FF2B5EF4-FFF2-40B4-BE49-F238E27FC236}">
              <a16:creationId xmlns:a16="http://schemas.microsoft.com/office/drawing/2014/main" id="{10EFBF6A-B5E8-4D1C-BCB8-3BD47072DDA4}"/>
            </a:ext>
          </a:extLst>
        </xdr:cNvPr>
        <xdr:cNvCxnSpPr/>
      </xdr:nvCxnSpPr>
      <xdr:spPr>
        <a:xfrm flipV="1">
          <a:off x="5677581" y="601067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78935</xdr:colOff>
      <xdr:row>33</xdr:row>
      <xdr:rowOff>162327</xdr:rowOff>
    </xdr:from>
    <xdr:to>
      <xdr:col>12</xdr:col>
      <xdr:colOff>583758</xdr:colOff>
      <xdr:row>33</xdr:row>
      <xdr:rowOff>163484</xdr:rowOff>
    </xdr:to>
    <xdr:cxnSp macro="">
      <xdr:nvCxnSpPr>
        <xdr:cNvPr id="56" name="Straight Connector 55">
          <a:extLst>
            <a:ext uri="{FF2B5EF4-FFF2-40B4-BE49-F238E27FC236}">
              <a16:creationId xmlns:a16="http://schemas.microsoft.com/office/drawing/2014/main" id="{B5D4DC58-8A7E-4DF4-8B8C-4D4AE7C20D8D}"/>
            </a:ext>
          </a:extLst>
        </xdr:cNvPr>
        <xdr:cNvCxnSpPr/>
      </xdr:nvCxnSpPr>
      <xdr:spPr>
        <a:xfrm flipV="1">
          <a:off x="6898835" y="6010677"/>
          <a:ext cx="1114423"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77260</xdr:colOff>
      <xdr:row>33</xdr:row>
      <xdr:rowOff>162327</xdr:rowOff>
    </xdr:from>
    <xdr:to>
      <xdr:col>14</xdr:col>
      <xdr:colOff>582082</xdr:colOff>
      <xdr:row>33</xdr:row>
      <xdr:rowOff>163484</xdr:rowOff>
    </xdr:to>
    <xdr:cxnSp macro="">
      <xdr:nvCxnSpPr>
        <xdr:cNvPr id="57" name="Straight Connector 56">
          <a:extLst>
            <a:ext uri="{FF2B5EF4-FFF2-40B4-BE49-F238E27FC236}">
              <a16:creationId xmlns:a16="http://schemas.microsoft.com/office/drawing/2014/main" id="{A1601D93-D6DD-4544-B630-1D503A387747}"/>
            </a:ext>
          </a:extLst>
        </xdr:cNvPr>
        <xdr:cNvCxnSpPr/>
      </xdr:nvCxnSpPr>
      <xdr:spPr>
        <a:xfrm flipV="1">
          <a:off x="8116360" y="6010677"/>
          <a:ext cx="1114422"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87863</xdr:colOff>
      <xdr:row>33</xdr:row>
      <xdr:rowOff>162327</xdr:rowOff>
    </xdr:from>
    <xdr:to>
      <xdr:col>16</xdr:col>
      <xdr:colOff>591766</xdr:colOff>
      <xdr:row>33</xdr:row>
      <xdr:rowOff>163484</xdr:rowOff>
    </xdr:to>
    <xdr:cxnSp macro="">
      <xdr:nvCxnSpPr>
        <xdr:cNvPr id="58" name="Straight Connector 57">
          <a:extLst>
            <a:ext uri="{FF2B5EF4-FFF2-40B4-BE49-F238E27FC236}">
              <a16:creationId xmlns:a16="http://schemas.microsoft.com/office/drawing/2014/main" id="{514ADD31-C4AD-4611-BBB1-19E48D987E8F}"/>
            </a:ext>
          </a:extLst>
        </xdr:cNvPr>
        <xdr:cNvCxnSpPr/>
      </xdr:nvCxnSpPr>
      <xdr:spPr>
        <a:xfrm flipV="1">
          <a:off x="9346163" y="6010677"/>
          <a:ext cx="1113503"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76561</xdr:colOff>
      <xdr:row>33</xdr:row>
      <xdr:rowOff>162327</xdr:rowOff>
    </xdr:from>
    <xdr:to>
      <xdr:col>18</xdr:col>
      <xdr:colOff>580463</xdr:colOff>
      <xdr:row>33</xdr:row>
      <xdr:rowOff>163484</xdr:rowOff>
    </xdr:to>
    <xdr:cxnSp macro="">
      <xdr:nvCxnSpPr>
        <xdr:cNvPr id="59" name="Straight Connector 58">
          <a:extLst>
            <a:ext uri="{FF2B5EF4-FFF2-40B4-BE49-F238E27FC236}">
              <a16:creationId xmlns:a16="http://schemas.microsoft.com/office/drawing/2014/main" id="{241BA4DC-2F4A-4540-9613-C393C37C30C3}"/>
            </a:ext>
          </a:extLst>
        </xdr:cNvPr>
        <xdr:cNvCxnSpPr/>
      </xdr:nvCxnSpPr>
      <xdr:spPr>
        <a:xfrm flipV="1">
          <a:off x="10554061" y="6010677"/>
          <a:ext cx="1113502"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61427</xdr:colOff>
      <xdr:row>33</xdr:row>
      <xdr:rowOff>162327</xdr:rowOff>
    </xdr:from>
    <xdr:to>
      <xdr:col>20</xdr:col>
      <xdr:colOff>565330</xdr:colOff>
      <xdr:row>33</xdr:row>
      <xdr:rowOff>163484</xdr:rowOff>
    </xdr:to>
    <xdr:cxnSp macro="">
      <xdr:nvCxnSpPr>
        <xdr:cNvPr id="60" name="Straight Connector 59">
          <a:extLst>
            <a:ext uri="{FF2B5EF4-FFF2-40B4-BE49-F238E27FC236}">
              <a16:creationId xmlns:a16="http://schemas.microsoft.com/office/drawing/2014/main" id="{6A10FDA6-99BE-4733-9736-5D268440B597}"/>
            </a:ext>
          </a:extLst>
        </xdr:cNvPr>
        <xdr:cNvCxnSpPr/>
      </xdr:nvCxnSpPr>
      <xdr:spPr>
        <a:xfrm flipV="1">
          <a:off x="11758127" y="6010677"/>
          <a:ext cx="1113503"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76881</xdr:colOff>
      <xdr:row>40</xdr:row>
      <xdr:rowOff>159727</xdr:rowOff>
    </xdr:from>
    <xdr:to>
      <xdr:col>10</xdr:col>
      <xdr:colOff>580828</xdr:colOff>
      <xdr:row>40</xdr:row>
      <xdr:rowOff>160884</xdr:rowOff>
    </xdr:to>
    <xdr:cxnSp macro="">
      <xdr:nvCxnSpPr>
        <xdr:cNvPr id="61" name="Straight Connector 60">
          <a:extLst>
            <a:ext uri="{FF2B5EF4-FFF2-40B4-BE49-F238E27FC236}">
              <a16:creationId xmlns:a16="http://schemas.microsoft.com/office/drawing/2014/main" id="{8C74895B-4CC8-42D4-8027-88BEE53C8EC5}"/>
            </a:ext>
          </a:extLst>
        </xdr:cNvPr>
        <xdr:cNvCxnSpPr/>
      </xdr:nvCxnSpPr>
      <xdr:spPr>
        <a:xfrm flipV="1">
          <a:off x="5677581" y="715742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78935</xdr:colOff>
      <xdr:row>40</xdr:row>
      <xdr:rowOff>159727</xdr:rowOff>
    </xdr:from>
    <xdr:to>
      <xdr:col>12</xdr:col>
      <xdr:colOff>583758</xdr:colOff>
      <xdr:row>40</xdr:row>
      <xdr:rowOff>160884</xdr:rowOff>
    </xdr:to>
    <xdr:cxnSp macro="">
      <xdr:nvCxnSpPr>
        <xdr:cNvPr id="62" name="Straight Connector 61">
          <a:extLst>
            <a:ext uri="{FF2B5EF4-FFF2-40B4-BE49-F238E27FC236}">
              <a16:creationId xmlns:a16="http://schemas.microsoft.com/office/drawing/2014/main" id="{03F881CD-2485-4203-8CC4-7D8236EDE51D}"/>
            </a:ext>
          </a:extLst>
        </xdr:cNvPr>
        <xdr:cNvCxnSpPr/>
      </xdr:nvCxnSpPr>
      <xdr:spPr>
        <a:xfrm flipV="1">
          <a:off x="6898835" y="7157427"/>
          <a:ext cx="1114423"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77260</xdr:colOff>
      <xdr:row>40</xdr:row>
      <xdr:rowOff>159727</xdr:rowOff>
    </xdr:from>
    <xdr:to>
      <xdr:col>14</xdr:col>
      <xdr:colOff>582082</xdr:colOff>
      <xdr:row>40</xdr:row>
      <xdr:rowOff>160884</xdr:rowOff>
    </xdr:to>
    <xdr:cxnSp macro="">
      <xdr:nvCxnSpPr>
        <xdr:cNvPr id="63" name="Straight Connector 62">
          <a:extLst>
            <a:ext uri="{FF2B5EF4-FFF2-40B4-BE49-F238E27FC236}">
              <a16:creationId xmlns:a16="http://schemas.microsoft.com/office/drawing/2014/main" id="{BF5DA40E-8190-43CE-99F0-ADDA902B6CDE}"/>
            </a:ext>
          </a:extLst>
        </xdr:cNvPr>
        <xdr:cNvCxnSpPr/>
      </xdr:nvCxnSpPr>
      <xdr:spPr>
        <a:xfrm flipV="1">
          <a:off x="8116360" y="7157427"/>
          <a:ext cx="1114422"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87863</xdr:colOff>
      <xdr:row>40</xdr:row>
      <xdr:rowOff>159727</xdr:rowOff>
    </xdr:from>
    <xdr:to>
      <xdr:col>16</xdr:col>
      <xdr:colOff>591766</xdr:colOff>
      <xdr:row>40</xdr:row>
      <xdr:rowOff>160884</xdr:rowOff>
    </xdr:to>
    <xdr:cxnSp macro="">
      <xdr:nvCxnSpPr>
        <xdr:cNvPr id="64" name="Straight Connector 63">
          <a:extLst>
            <a:ext uri="{FF2B5EF4-FFF2-40B4-BE49-F238E27FC236}">
              <a16:creationId xmlns:a16="http://schemas.microsoft.com/office/drawing/2014/main" id="{A400503E-DAA2-4D7B-9559-6BA79E66B0FC}"/>
            </a:ext>
          </a:extLst>
        </xdr:cNvPr>
        <xdr:cNvCxnSpPr/>
      </xdr:nvCxnSpPr>
      <xdr:spPr>
        <a:xfrm flipV="1">
          <a:off x="9346163" y="7157427"/>
          <a:ext cx="1113503"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76561</xdr:colOff>
      <xdr:row>40</xdr:row>
      <xdr:rowOff>159727</xdr:rowOff>
    </xdr:from>
    <xdr:to>
      <xdr:col>18</xdr:col>
      <xdr:colOff>580463</xdr:colOff>
      <xdr:row>40</xdr:row>
      <xdr:rowOff>160884</xdr:rowOff>
    </xdr:to>
    <xdr:cxnSp macro="">
      <xdr:nvCxnSpPr>
        <xdr:cNvPr id="65" name="Straight Connector 64">
          <a:extLst>
            <a:ext uri="{FF2B5EF4-FFF2-40B4-BE49-F238E27FC236}">
              <a16:creationId xmlns:a16="http://schemas.microsoft.com/office/drawing/2014/main" id="{D0545EC4-B609-41F4-9766-22B2A2DB8137}"/>
            </a:ext>
          </a:extLst>
        </xdr:cNvPr>
        <xdr:cNvCxnSpPr/>
      </xdr:nvCxnSpPr>
      <xdr:spPr>
        <a:xfrm flipV="1">
          <a:off x="10554061" y="7157427"/>
          <a:ext cx="1113502"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61427</xdr:colOff>
      <xdr:row>40</xdr:row>
      <xdr:rowOff>159727</xdr:rowOff>
    </xdr:from>
    <xdr:to>
      <xdr:col>20</xdr:col>
      <xdr:colOff>565330</xdr:colOff>
      <xdr:row>40</xdr:row>
      <xdr:rowOff>160884</xdr:rowOff>
    </xdr:to>
    <xdr:cxnSp macro="">
      <xdr:nvCxnSpPr>
        <xdr:cNvPr id="66" name="Straight Connector 65">
          <a:extLst>
            <a:ext uri="{FF2B5EF4-FFF2-40B4-BE49-F238E27FC236}">
              <a16:creationId xmlns:a16="http://schemas.microsoft.com/office/drawing/2014/main" id="{F7C07A0E-A832-4B6F-8BA3-15C22DA704DE}"/>
            </a:ext>
          </a:extLst>
        </xdr:cNvPr>
        <xdr:cNvCxnSpPr/>
      </xdr:nvCxnSpPr>
      <xdr:spPr>
        <a:xfrm flipV="1">
          <a:off x="11758127" y="7157427"/>
          <a:ext cx="1113503"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58081</xdr:colOff>
      <xdr:row>44</xdr:row>
      <xdr:rowOff>162046</xdr:rowOff>
    </xdr:from>
    <xdr:to>
      <xdr:col>10</xdr:col>
      <xdr:colOff>562028</xdr:colOff>
      <xdr:row>44</xdr:row>
      <xdr:rowOff>163364</xdr:rowOff>
    </xdr:to>
    <xdr:cxnSp macro="">
      <xdr:nvCxnSpPr>
        <xdr:cNvPr id="67" name="Straight Connector 66">
          <a:extLst>
            <a:ext uri="{FF2B5EF4-FFF2-40B4-BE49-F238E27FC236}">
              <a16:creationId xmlns:a16="http://schemas.microsoft.com/office/drawing/2014/main" id="{F0D3E310-ACF0-4187-8A06-E8B68FD95BF6}"/>
            </a:ext>
          </a:extLst>
        </xdr:cNvPr>
        <xdr:cNvCxnSpPr/>
      </xdr:nvCxnSpPr>
      <xdr:spPr>
        <a:xfrm flipV="1">
          <a:off x="5658781" y="78963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60135</xdr:colOff>
      <xdr:row>44</xdr:row>
      <xdr:rowOff>162046</xdr:rowOff>
    </xdr:from>
    <xdr:to>
      <xdr:col>12</xdr:col>
      <xdr:colOff>564958</xdr:colOff>
      <xdr:row>44</xdr:row>
      <xdr:rowOff>163364</xdr:rowOff>
    </xdr:to>
    <xdr:cxnSp macro="">
      <xdr:nvCxnSpPr>
        <xdr:cNvPr id="68" name="Straight Connector 67">
          <a:extLst>
            <a:ext uri="{FF2B5EF4-FFF2-40B4-BE49-F238E27FC236}">
              <a16:creationId xmlns:a16="http://schemas.microsoft.com/office/drawing/2014/main" id="{F9B4F101-05F4-4B5B-9D71-31D68197D182}"/>
            </a:ext>
          </a:extLst>
        </xdr:cNvPr>
        <xdr:cNvCxnSpPr/>
      </xdr:nvCxnSpPr>
      <xdr:spPr>
        <a:xfrm flipV="1">
          <a:off x="6880035" y="7896346"/>
          <a:ext cx="1114423"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58460</xdr:colOff>
      <xdr:row>44</xdr:row>
      <xdr:rowOff>162046</xdr:rowOff>
    </xdr:from>
    <xdr:to>
      <xdr:col>14</xdr:col>
      <xdr:colOff>563282</xdr:colOff>
      <xdr:row>44</xdr:row>
      <xdr:rowOff>163364</xdr:rowOff>
    </xdr:to>
    <xdr:cxnSp macro="">
      <xdr:nvCxnSpPr>
        <xdr:cNvPr id="69" name="Straight Connector 68">
          <a:extLst>
            <a:ext uri="{FF2B5EF4-FFF2-40B4-BE49-F238E27FC236}">
              <a16:creationId xmlns:a16="http://schemas.microsoft.com/office/drawing/2014/main" id="{6E50C929-572B-4D8C-99EA-511AFC1C3BBF}"/>
            </a:ext>
          </a:extLst>
        </xdr:cNvPr>
        <xdr:cNvCxnSpPr/>
      </xdr:nvCxnSpPr>
      <xdr:spPr>
        <a:xfrm flipV="1">
          <a:off x="8097560" y="7896346"/>
          <a:ext cx="1114422"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69063</xdr:colOff>
      <xdr:row>44</xdr:row>
      <xdr:rowOff>162046</xdr:rowOff>
    </xdr:from>
    <xdr:to>
      <xdr:col>16</xdr:col>
      <xdr:colOff>572966</xdr:colOff>
      <xdr:row>44</xdr:row>
      <xdr:rowOff>163364</xdr:rowOff>
    </xdr:to>
    <xdr:cxnSp macro="">
      <xdr:nvCxnSpPr>
        <xdr:cNvPr id="70" name="Straight Connector 69">
          <a:extLst>
            <a:ext uri="{FF2B5EF4-FFF2-40B4-BE49-F238E27FC236}">
              <a16:creationId xmlns:a16="http://schemas.microsoft.com/office/drawing/2014/main" id="{DA19A4EE-FD95-43E3-9205-24456292C9CF}"/>
            </a:ext>
          </a:extLst>
        </xdr:cNvPr>
        <xdr:cNvCxnSpPr/>
      </xdr:nvCxnSpPr>
      <xdr:spPr>
        <a:xfrm flipV="1">
          <a:off x="9327363" y="7896346"/>
          <a:ext cx="1113503"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57761</xdr:colOff>
      <xdr:row>44</xdr:row>
      <xdr:rowOff>162046</xdr:rowOff>
    </xdr:from>
    <xdr:to>
      <xdr:col>18</xdr:col>
      <xdr:colOff>561663</xdr:colOff>
      <xdr:row>44</xdr:row>
      <xdr:rowOff>163364</xdr:rowOff>
    </xdr:to>
    <xdr:cxnSp macro="">
      <xdr:nvCxnSpPr>
        <xdr:cNvPr id="71" name="Straight Connector 70">
          <a:extLst>
            <a:ext uri="{FF2B5EF4-FFF2-40B4-BE49-F238E27FC236}">
              <a16:creationId xmlns:a16="http://schemas.microsoft.com/office/drawing/2014/main" id="{1F4814B1-FD9C-4222-ACDA-F59ABEE57C38}"/>
            </a:ext>
          </a:extLst>
        </xdr:cNvPr>
        <xdr:cNvCxnSpPr/>
      </xdr:nvCxnSpPr>
      <xdr:spPr>
        <a:xfrm flipV="1">
          <a:off x="10535261" y="7896346"/>
          <a:ext cx="1113502"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42627</xdr:colOff>
      <xdr:row>44</xdr:row>
      <xdr:rowOff>162046</xdr:rowOff>
    </xdr:from>
    <xdr:to>
      <xdr:col>20</xdr:col>
      <xdr:colOff>546530</xdr:colOff>
      <xdr:row>44</xdr:row>
      <xdr:rowOff>163364</xdr:rowOff>
    </xdr:to>
    <xdr:cxnSp macro="">
      <xdr:nvCxnSpPr>
        <xdr:cNvPr id="72" name="Straight Connector 71">
          <a:extLst>
            <a:ext uri="{FF2B5EF4-FFF2-40B4-BE49-F238E27FC236}">
              <a16:creationId xmlns:a16="http://schemas.microsoft.com/office/drawing/2014/main" id="{DCEDC76A-F353-45EF-BDEA-275AE829135C}"/>
            </a:ext>
          </a:extLst>
        </xdr:cNvPr>
        <xdr:cNvCxnSpPr/>
      </xdr:nvCxnSpPr>
      <xdr:spPr>
        <a:xfrm flipV="1">
          <a:off x="11739327" y="7896346"/>
          <a:ext cx="1113503"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58081</xdr:colOff>
      <xdr:row>53</xdr:row>
      <xdr:rowOff>159446</xdr:rowOff>
    </xdr:from>
    <xdr:to>
      <xdr:col>10</xdr:col>
      <xdr:colOff>562028</xdr:colOff>
      <xdr:row>53</xdr:row>
      <xdr:rowOff>160764</xdr:rowOff>
    </xdr:to>
    <xdr:cxnSp macro="">
      <xdr:nvCxnSpPr>
        <xdr:cNvPr id="73" name="Straight Connector 72">
          <a:extLst>
            <a:ext uri="{FF2B5EF4-FFF2-40B4-BE49-F238E27FC236}">
              <a16:creationId xmlns:a16="http://schemas.microsoft.com/office/drawing/2014/main" id="{D48E603F-DA72-4E9C-B71A-E02D70BA97C9}"/>
            </a:ext>
          </a:extLst>
        </xdr:cNvPr>
        <xdr:cNvCxnSpPr/>
      </xdr:nvCxnSpPr>
      <xdr:spPr>
        <a:xfrm flipV="1">
          <a:off x="5658781" y="93986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60135</xdr:colOff>
      <xdr:row>53</xdr:row>
      <xdr:rowOff>159446</xdr:rowOff>
    </xdr:from>
    <xdr:to>
      <xdr:col>12</xdr:col>
      <xdr:colOff>564958</xdr:colOff>
      <xdr:row>53</xdr:row>
      <xdr:rowOff>160764</xdr:rowOff>
    </xdr:to>
    <xdr:cxnSp macro="">
      <xdr:nvCxnSpPr>
        <xdr:cNvPr id="74" name="Straight Connector 73">
          <a:extLst>
            <a:ext uri="{FF2B5EF4-FFF2-40B4-BE49-F238E27FC236}">
              <a16:creationId xmlns:a16="http://schemas.microsoft.com/office/drawing/2014/main" id="{E2F0D73C-D3F0-4699-ABBB-EE12862430DD}"/>
            </a:ext>
          </a:extLst>
        </xdr:cNvPr>
        <xdr:cNvCxnSpPr/>
      </xdr:nvCxnSpPr>
      <xdr:spPr>
        <a:xfrm flipV="1">
          <a:off x="6880035" y="9398696"/>
          <a:ext cx="1114423"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58460</xdr:colOff>
      <xdr:row>53</xdr:row>
      <xdr:rowOff>159446</xdr:rowOff>
    </xdr:from>
    <xdr:to>
      <xdr:col>14</xdr:col>
      <xdr:colOff>563282</xdr:colOff>
      <xdr:row>53</xdr:row>
      <xdr:rowOff>160764</xdr:rowOff>
    </xdr:to>
    <xdr:cxnSp macro="">
      <xdr:nvCxnSpPr>
        <xdr:cNvPr id="75" name="Straight Connector 74">
          <a:extLst>
            <a:ext uri="{FF2B5EF4-FFF2-40B4-BE49-F238E27FC236}">
              <a16:creationId xmlns:a16="http://schemas.microsoft.com/office/drawing/2014/main" id="{3EB85FDE-3A9C-46BD-8655-0D14557F2FB2}"/>
            </a:ext>
          </a:extLst>
        </xdr:cNvPr>
        <xdr:cNvCxnSpPr/>
      </xdr:nvCxnSpPr>
      <xdr:spPr>
        <a:xfrm flipV="1">
          <a:off x="8097560" y="9398696"/>
          <a:ext cx="1114422"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69063</xdr:colOff>
      <xdr:row>53</xdr:row>
      <xdr:rowOff>159446</xdr:rowOff>
    </xdr:from>
    <xdr:to>
      <xdr:col>16</xdr:col>
      <xdr:colOff>572966</xdr:colOff>
      <xdr:row>53</xdr:row>
      <xdr:rowOff>160764</xdr:rowOff>
    </xdr:to>
    <xdr:cxnSp macro="">
      <xdr:nvCxnSpPr>
        <xdr:cNvPr id="76" name="Straight Connector 75">
          <a:extLst>
            <a:ext uri="{FF2B5EF4-FFF2-40B4-BE49-F238E27FC236}">
              <a16:creationId xmlns:a16="http://schemas.microsoft.com/office/drawing/2014/main" id="{2B9413A9-B60C-4A37-A521-BEC3B6F3BE64}"/>
            </a:ext>
          </a:extLst>
        </xdr:cNvPr>
        <xdr:cNvCxnSpPr/>
      </xdr:nvCxnSpPr>
      <xdr:spPr>
        <a:xfrm flipV="1">
          <a:off x="9327363" y="9398696"/>
          <a:ext cx="1113503"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57761</xdr:colOff>
      <xdr:row>53</xdr:row>
      <xdr:rowOff>159446</xdr:rowOff>
    </xdr:from>
    <xdr:to>
      <xdr:col>18</xdr:col>
      <xdr:colOff>561663</xdr:colOff>
      <xdr:row>53</xdr:row>
      <xdr:rowOff>160764</xdr:rowOff>
    </xdr:to>
    <xdr:cxnSp macro="">
      <xdr:nvCxnSpPr>
        <xdr:cNvPr id="77" name="Straight Connector 76">
          <a:extLst>
            <a:ext uri="{FF2B5EF4-FFF2-40B4-BE49-F238E27FC236}">
              <a16:creationId xmlns:a16="http://schemas.microsoft.com/office/drawing/2014/main" id="{97886780-AEE9-4ACD-9BA1-B49CC42F73AA}"/>
            </a:ext>
          </a:extLst>
        </xdr:cNvPr>
        <xdr:cNvCxnSpPr/>
      </xdr:nvCxnSpPr>
      <xdr:spPr>
        <a:xfrm flipV="1">
          <a:off x="10535261" y="9398696"/>
          <a:ext cx="1113502"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42627</xdr:colOff>
      <xdr:row>53</xdr:row>
      <xdr:rowOff>159446</xdr:rowOff>
    </xdr:from>
    <xdr:to>
      <xdr:col>20</xdr:col>
      <xdr:colOff>546530</xdr:colOff>
      <xdr:row>53</xdr:row>
      <xdr:rowOff>160764</xdr:rowOff>
    </xdr:to>
    <xdr:cxnSp macro="">
      <xdr:nvCxnSpPr>
        <xdr:cNvPr id="78" name="Straight Connector 77">
          <a:extLst>
            <a:ext uri="{FF2B5EF4-FFF2-40B4-BE49-F238E27FC236}">
              <a16:creationId xmlns:a16="http://schemas.microsoft.com/office/drawing/2014/main" id="{F1A2D08D-E155-4367-84BF-02C30E293420}"/>
            </a:ext>
          </a:extLst>
        </xdr:cNvPr>
        <xdr:cNvCxnSpPr/>
      </xdr:nvCxnSpPr>
      <xdr:spPr>
        <a:xfrm flipV="1">
          <a:off x="11739327" y="9398696"/>
          <a:ext cx="1113503"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58081</xdr:colOff>
      <xdr:row>54</xdr:row>
      <xdr:rowOff>161846</xdr:rowOff>
    </xdr:from>
    <xdr:to>
      <xdr:col>10</xdr:col>
      <xdr:colOff>562028</xdr:colOff>
      <xdr:row>54</xdr:row>
      <xdr:rowOff>163164</xdr:rowOff>
    </xdr:to>
    <xdr:cxnSp macro="">
      <xdr:nvCxnSpPr>
        <xdr:cNvPr id="79" name="Straight Connector 78">
          <a:extLst>
            <a:ext uri="{FF2B5EF4-FFF2-40B4-BE49-F238E27FC236}">
              <a16:creationId xmlns:a16="http://schemas.microsoft.com/office/drawing/2014/main" id="{123373FB-530A-409D-9614-5EF76F78C1CD}"/>
            </a:ext>
          </a:extLst>
        </xdr:cNvPr>
        <xdr:cNvCxnSpPr/>
      </xdr:nvCxnSpPr>
      <xdr:spPr>
        <a:xfrm flipV="1">
          <a:off x="5658781" y="95852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60135</xdr:colOff>
      <xdr:row>54</xdr:row>
      <xdr:rowOff>161846</xdr:rowOff>
    </xdr:from>
    <xdr:to>
      <xdr:col>12</xdr:col>
      <xdr:colOff>564958</xdr:colOff>
      <xdr:row>54</xdr:row>
      <xdr:rowOff>163164</xdr:rowOff>
    </xdr:to>
    <xdr:cxnSp macro="">
      <xdr:nvCxnSpPr>
        <xdr:cNvPr id="80" name="Straight Connector 79">
          <a:extLst>
            <a:ext uri="{FF2B5EF4-FFF2-40B4-BE49-F238E27FC236}">
              <a16:creationId xmlns:a16="http://schemas.microsoft.com/office/drawing/2014/main" id="{6FBF82D8-7D03-4E98-B9EA-987A3BC88CD2}"/>
            </a:ext>
          </a:extLst>
        </xdr:cNvPr>
        <xdr:cNvCxnSpPr/>
      </xdr:nvCxnSpPr>
      <xdr:spPr>
        <a:xfrm flipV="1">
          <a:off x="6880035" y="9585246"/>
          <a:ext cx="1114423"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58460</xdr:colOff>
      <xdr:row>54</xdr:row>
      <xdr:rowOff>161846</xdr:rowOff>
    </xdr:from>
    <xdr:to>
      <xdr:col>14</xdr:col>
      <xdr:colOff>563282</xdr:colOff>
      <xdr:row>54</xdr:row>
      <xdr:rowOff>163164</xdr:rowOff>
    </xdr:to>
    <xdr:cxnSp macro="">
      <xdr:nvCxnSpPr>
        <xdr:cNvPr id="81" name="Straight Connector 80">
          <a:extLst>
            <a:ext uri="{FF2B5EF4-FFF2-40B4-BE49-F238E27FC236}">
              <a16:creationId xmlns:a16="http://schemas.microsoft.com/office/drawing/2014/main" id="{5449DE4A-2B52-4F75-8919-D6C5BE5E35E2}"/>
            </a:ext>
          </a:extLst>
        </xdr:cNvPr>
        <xdr:cNvCxnSpPr/>
      </xdr:nvCxnSpPr>
      <xdr:spPr>
        <a:xfrm flipV="1">
          <a:off x="8097560" y="9585246"/>
          <a:ext cx="1114422"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69063</xdr:colOff>
      <xdr:row>54</xdr:row>
      <xdr:rowOff>161846</xdr:rowOff>
    </xdr:from>
    <xdr:to>
      <xdr:col>16</xdr:col>
      <xdr:colOff>572966</xdr:colOff>
      <xdr:row>54</xdr:row>
      <xdr:rowOff>163164</xdr:rowOff>
    </xdr:to>
    <xdr:cxnSp macro="">
      <xdr:nvCxnSpPr>
        <xdr:cNvPr id="82" name="Straight Connector 81">
          <a:extLst>
            <a:ext uri="{FF2B5EF4-FFF2-40B4-BE49-F238E27FC236}">
              <a16:creationId xmlns:a16="http://schemas.microsoft.com/office/drawing/2014/main" id="{DD576A97-4CB5-4720-BE44-EE329D3D905A}"/>
            </a:ext>
          </a:extLst>
        </xdr:cNvPr>
        <xdr:cNvCxnSpPr/>
      </xdr:nvCxnSpPr>
      <xdr:spPr>
        <a:xfrm flipV="1">
          <a:off x="9327363" y="9585246"/>
          <a:ext cx="1113503"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57761</xdr:colOff>
      <xdr:row>54</xdr:row>
      <xdr:rowOff>161846</xdr:rowOff>
    </xdr:from>
    <xdr:to>
      <xdr:col>18</xdr:col>
      <xdr:colOff>561663</xdr:colOff>
      <xdr:row>54</xdr:row>
      <xdr:rowOff>163164</xdr:rowOff>
    </xdr:to>
    <xdr:cxnSp macro="">
      <xdr:nvCxnSpPr>
        <xdr:cNvPr id="83" name="Straight Connector 82">
          <a:extLst>
            <a:ext uri="{FF2B5EF4-FFF2-40B4-BE49-F238E27FC236}">
              <a16:creationId xmlns:a16="http://schemas.microsoft.com/office/drawing/2014/main" id="{6EAD98DB-7575-4443-9484-BE75142B005C}"/>
            </a:ext>
          </a:extLst>
        </xdr:cNvPr>
        <xdr:cNvCxnSpPr/>
      </xdr:nvCxnSpPr>
      <xdr:spPr>
        <a:xfrm flipV="1">
          <a:off x="10535261" y="9585246"/>
          <a:ext cx="1113502"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42627</xdr:colOff>
      <xdr:row>54</xdr:row>
      <xdr:rowOff>161846</xdr:rowOff>
    </xdr:from>
    <xdr:to>
      <xdr:col>20</xdr:col>
      <xdr:colOff>546530</xdr:colOff>
      <xdr:row>54</xdr:row>
      <xdr:rowOff>163164</xdr:rowOff>
    </xdr:to>
    <xdr:cxnSp macro="">
      <xdr:nvCxnSpPr>
        <xdr:cNvPr id="84" name="Straight Connector 83">
          <a:extLst>
            <a:ext uri="{FF2B5EF4-FFF2-40B4-BE49-F238E27FC236}">
              <a16:creationId xmlns:a16="http://schemas.microsoft.com/office/drawing/2014/main" id="{7A5F39BF-44C0-4129-89A2-96AF65F2045A}"/>
            </a:ext>
          </a:extLst>
        </xdr:cNvPr>
        <xdr:cNvCxnSpPr/>
      </xdr:nvCxnSpPr>
      <xdr:spPr>
        <a:xfrm flipV="1">
          <a:off x="11739327" y="9585246"/>
          <a:ext cx="1113503"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58081</xdr:colOff>
      <xdr:row>55</xdr:row>
      <xdr:rowOff>4246</xdr:rowOff>
    </xdr:from>
    <xdr:to>
      <xdr:col>10</xdr:col>
      <xdr:colOff>562028</xdr:colOff>
      <xdr:row>55</xdr:row>
      <xdr:rowOff>5564</xdr:rowOff>
    </xdr:to>
    <xdr:cxnSp macro="">
      <xdr:nvCxnSpPr>
        <xdr:cNvPr id="85" name="Straight Connector 84">
          <a:extLst>
            <a:ext uri="{FF2B5EF4-FFF2-40B4-BE49-F238E27FC236}">
              <a16:creationId xmlns:a16="http://schemas.microsoft.com/office/drawing/2014/main" id="{908BEC0D-4B16-433C-9851-FBE8ECBFED56}"/>
            </a:ext>
          </a:extLst>
        </xdr:cNvPr>
        <xdr:cNvCxnSpPr/>
      </xdr:nvCxnSpPr>
      <xdr:spPr>
        <a:xfrm flipV="1">
          <a:off x="5658781" y="96117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60135</xdr:colOff>
      <xdr:row>55</xdr:row>
      <xdr:rowOff>4246</xdr:rowOff>
    </xdr:from>
    <xdr:to>
      <xdr:col>12</xdr:col>
      <xdr:colOff>564958</xdr:colOff>
      <xdr:row>55</xdr:row>
      <xdr:rowOff>5564</xdr:rowOff>
    </xdr:to>
    <xdr:cxnSp macro="">
      <xdr:nvCxnSpPr>
        <xdr:cNvPr id="86" name="Straight Connector 85">
          <a:extLst>
            <a:ext uri="{FF2B5EF4-FFF2-40B4-BE49-F238E27FC236}">
              <a16:creationId xmlns:a16="http://schemas.microsoft.com/office/drawing/2014/main" id="{E8143A4E-B76E-440E-82C7-24349189F18B}"/>
            </a:ext>
          </a:extLst>
        </xdr:cNvPr>
        <xdr:cNvCxnSpPr/>
      </xdr:nvCxnSpPr>
      <xdr:spPr>
        <a:xfrm flipV="1">
          <a:off x="6880035" y="9611796"/>
          <a:ext cx="1114423"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58460</xdr:colOff>
      <xdr:row>55</xdr:row>
      <xdr:rowOff>4246</xdr:rowOff>
    </xdr:from>
    <xdr:to>
      <xdr:col>14</xdr:col>
      <xdr:colOff>563282</xdr:colOff>
      <xdr:row>55</xdr:row>
      <xdr:rowOff>5564</xdr:rowOff>
    </xdr:to>
    <xdr:cxnSp macro="">
      <xdr:nvCxnSpPr>
        <xdr:cNvPr id="87" name="Straight Connector 86">
          <a:extLst>
            <a:ext uri="{FF2B5EF4-FFF2-40B4-BE49-F238E27FC236}">
              <a16:creationId xmlns:a16="http://schemas.microsoft.com/office/drawing/2014/main" id="{5BB64EFA-2512-43FE-A30D-6CF33A16A602}"/>
            </a:ext>
          </a:extLst>
        </xdr:cNvPr>
        <xdr:cNvCxnSpPr/>
      </xdr:nvCxnSpPr>
      <xdr:spPr>
        <a:xfrm flipV="1">
          <a:off x="8097560" y="9611796"/>
          <a:ext cx="1114422"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69063</xdr:colOff>
      <xdr:row>55</xdr:row>
      <xdr:rowOff>4246</xdr:rowOff>
    </xdr:from>
    <xdr:to>
      <xdr:col>16</xdr:col>
      <xdr:colOff>572966</xdr:colOff>
      <xdr:row>55</xdr:row>
      <xdr:rowOff>5564</xdr:rowOff>
    </xdr:to>
    <xdr:cxnSp macro="">
      <xdr:nvCxnSpPr>
        <xdr:cNvPr id="88" name="Straight Connector 87">
          <a:extLst>
            <a:ext uri="{FF2B5EF4-FFF2-40B4-BE49-F238E27FC236}">
              <a16:creationId xmlns:a16="http://schemas.microsoft.com/office/drawing/2014/main" id="{3E6B3A11-0540-4083-BC57-5772359BBBB6}"/>
            </a:ext>
          </a:extLst>
        </xdr:cNvPr>
        <xdr:cNvCxnSpPr/>
      </xdr:nvCxnSpPr>
      <xdr:spPr>
        <a:xfrm flipV="1">
          <a:off x="9327363" y="9611796"/>
          <a:ext cx="1113503"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57761</xdr:colOff>
      <xdr:row>55</xdr:row>
      <xdr:rowOff>4246</xdr:rowOff>
    </xdr:from>
    <xdr:to>
      <xdr:col>18</xdr:col>
      <xdr:colOff>561663</xdr:colOff>
      <xdr:row>55</xdr:row>
      <xdr:rowOff>5564</xdr:rowOff>
    </xdr:to>
    <xdr:cxnSp macro="">
      <xdr:nvCxnSpPr>
        <xdr:cNvPr id="89" name="Straight Connector 88">
          <a:extLst>
            <a:ext uri="{FF2B5EF4-FFF2-40B4-BE49-F238E27FC236}">
              <a16:creationId xmlns:a16="http://schemas.microsoft.com/office/drawing/2014/main" id="{FC5C7956-240B-40E3-AC41-72DB0C0E266F}"/>
            </a:ext>
          </a:extLst>
        </xdr:cNvPr>
        <xdr:cNvCxnSpPr/>
      </xdr:nvCxnSpPr>
      <xdr:spPr>
        <a:xfrm flipV="1">
          <a:off x="10535261" y="9611796"/>
          <a:ext cx="1113502"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42627</xdr:colOff>
      <xdr:row>55</xdr:row>
      <xdr:rowOff>4246</xdr:rowOff>
    </xdr:from>
    <xdr:to>
      <xdr:col>20</xdr:col>
      <xdr:colOff>546530</xdr:colOff>
      <xdr:row>55</xdr:row>
      <xdr:rowOff>5564</xdr:rowOff>
    </xdr:to>
    <xdr:cxnSp macro="">
      <xdr:nvCxnSpPr>
        <xdr:cNvPr id="90" name="Straight Connector 89">
          <a:extLst>
            <a:ext uri="{FF2B5EF4-FFF2-40B4-BE49-F238E27FC236}">
              <a16:creationId xmlns:a16="http://schemas.microsoft.com/office/drawing/2014/main" id="{C50C5EDF-31F8-4D77-A275-06AEAA36DC74}"/>
            </a:ext>
          </a:extLst>
        </xdr:cNvPr>
        <xdr:cNvCxnSpPr/>
      </xdr:nvCxnSpPr>
      <xdr:spPr>
        <a:xfrm flipV="1">
          <a:off x="11739327" y="9611796"/>
          <a:ext cx="1113503"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9641</xdr:colOff>
      <xdr:row>61</xdr:row>
      <xdr:rowOff>152722</xdr:rowOff>
    </xdr:from>
    <xdr:to>
      <xdr:col>21</xdr:col>
      <xdr:colOff>41413</xdr:colOff>
      <xdr:row>61</xdr:row>
      <xdr:rowOff>152722</xdr:rowOff>
    </xdr:to>
    <xdr:cxnSp macro="">
      <xdr:nvCxnSpPr>
        <xdr:cNvPr id="91" name="Straight Connector 90">
          <a:extLst>
            <a:ext uri="{FF2B5EF4-FFF2-40B4-BE49-F238E27FC236}">
              <a16:creationId xmlns:a16="http://schemas.microsoft.com/office/drawing/2014/main" id="{E2A4213A-0E48-4703-995E-F0A4FE9330D4}"/>
            </a:ext>
          </a:extLst>
        </xdr:cNvPr>
        <xdr:cNvCxnSpPr/>
      </xdr:nvCxnSpPr>
      <xdr:spPr>
        <a:xfrm>
          <a:off x="3781541" y="10738172"/>
          <a:ext cx="9175772" cy="0"/>
        </a:xfrm>
        <a:prstGeom prst="line">
          <a:avLst/>
        </a:prstGeom>
        <a:ln w="12700">
          <a:solidFill>
            <a:schemeClr val="bg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0</xdr:colOff>
      <xdr:row>64</xdr:row>
      <xdr:rowOff>155963</xdr:rowOff>
    </xdr:from>
    <xdr:to>
      <xdr:col>5</xdr:col>
      <xdr:colOff>0</xdr:colOff>
      <xdr:row>64</xdr:row>
      <xdr:rowOff>163262</xdr:rowOff>
    </xdr:to>
    <xdr:cxnSp macro="">
      <xdr:nvCxnSpPr>
        <xdr:cNvPr id="92" name="Straight Connector 91">
          <a:extLst>
            <a:ext uri="{FF2B5EF4-FFF2-40B4-BE49-F238E27FC236}">
              <a16:creationId xmlns:a16="http://schemas.microsoft.com/office/drawing/2014/main" id="{C0BCC2FB-78C4-49D2-B414-CAA664CFC827}"/>
            </a:ext>
          </a:extLst>
        </xdr:cNvPr>
        <xdr:cNvCxnSpPr/>
      </xdr:nvCxnSpPr>
      <xdr:spPr>
        <a:xfrm>
          <a:off x="609600" y="11300213"/>
          <a:ext cx="2552700" cy="7299"/>
        </a:xfrm>
        <a:prstGeom prst="line">
          <a:avLst/>
        </a:prstGeom>
        <a:ln w="12700">
          <a:solidFill>
            <a:schemeClr val="bg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604796</xdr:colOff>
      <xdr:row>68</xdr:row>
      <xdr:rowOff>154145</xdr:rowOff>
    </xdr:from>
    <xdr:to>
      <xdr:col>27</xdr:col>
      <xdr:colOff>0</xdr:colOff>
      <xdr:row>68</xdr:row>
      <xdr:rowOff>157534</xdr:rowOff>
    </xdr:to>
    <xdr:cxnSp macro="">
      <xdr:nvCxnSpPr>
        <xdr:cNvPr id="93" name="Straight Connector 92">
          <a:extLst>
            <a:ext uri="{FF2B5EF4-FFF2-40B4-BE49-F238E27FC236}">
              <a16:creationId xmlns:a16="http://schemas.microsoft.com/office/drawing/2014/main" id="{373AA34E-58DB-439A-BBFE-3113E8BA1E51}"/>
            </a:ext>
          </a:extLst>
        </xdr:cNvPr>
        <xdr:cNvCxnSpPr/>
      </xdr:nvCxnSpPr>
      <xdr:spPr>
        <a:xfrm flipV="1">
          <a:off x="3767096" y="12041345"/>
          <a:ext cx="13454104" cy="3389"/>
        </a:xfrm>
        <a:prstGeom prst="line">
          <a:avLst/>
        </a:prstGeom>
        <a:ln w="12700">
          <a:solidFill>
            <a:schemeClr val="bg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0</xdr:colOff>
      <xdr:row>38</xdr:row>
      <xdr:rowOff>155032</xdr:rowOff>
    </xdr:from>
    <xdr:to>
      <xdr:col>27</xdr:col>
      <xdr:colOff>0</xdr:colOff>
      <xdr:row>38</xdr:row>
      <xdr:rowOff>155124</xdr:rowOff>
    </xdr:to>
    <xdr:cxnSp macro="">
      <xdr:nvCxnSpPr>
        <xdr:cNvPr id="94" name="Straight Connector 93">
          <a:extLst>
            <a:ext uri="{FF2B5EF4-FFF2-40B4-BE49-F238E27FC236}">
              <a16:creationId xmlns:a16="http://schemas.microsoft.com/office/drawing/2014/main" id="{4A02523D-3B4D-4DE7-A8E1-61A80EC1FB6F}"/>
            </a:ext>
          </a:extLst>
        </xdr:cNvPr>
        <xdr:cNvCxnSpPr/>
      </xdr:nvCxnSpPr>
      <xdr:spPr>
        <a:xfrm flipV="1">
          <a:off x="13525500" y="6784432"/>
          <a:ext cx="3695700" cy="92"/>
        </a:xfrm>
        <a:prstGeom prst="line">
          <a:avLst/>
        </a:prstGeom>
        <a:ln w="12700">
          <a:solidFill>
            <a:schemeClr val="bg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62365</xdr:colOff>
      <xdr:row>9</xdr:row>
      <xdr:rowOff>159148</xdr:rowOff>
    </xdr:from>
    <xdr:to>
      <xdr:col>25</xdr:col>
      <xdr:colOff>702445</xdr:colOff>
      <xdr:row>9</xdr:row>
      <xdr:rowOff>159148</xdr:rowOff>
    </xdr:to>
    <xdr:cxnSp macro="">
      <xdr:nvCxnSpPr>
        <xdr:cNvPr id="95" name="Straight Connector 94">
          <a:extLst>
            <a:ext uri="{FF2B5EF4-FFF2-40B4-BE49-F238E27FC236}">
              <a16:creationId xmlns:a16="http://schemas.microsoft.com/office/drawing/2014/main" id="{12E03EFB-55CB-41EA-9CB2-D701D8FD33B9}"/>
            </a:ext>
          </a:extLst>
        </xdr:cNvPr>
        <xdr:cNvCxnSpPr/>
      </xdr:nvCxnSpPr>
      <xdr:spPr>
        <a:xfrm>
          <a:off x="15873865" y="1702198"/>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58251</xdr:colOff>
      <xdr:row>9</xdr:row>
      <xdr:rowOff>159148</xdr:rowOff>
    </xdr:from>
    <xdr:to>
      <xdr:col>26</xdr:col>
      <xdr:colOff>698331</xdr:colOff>
      <xdr:row>9</xdr:row>
      <xdr:rowOff>159148</xdr:rowOff>
    </xdr:to>
    <xdr:cxnSp macro="">
      <xdr:nvCxnSpPr>
        <xdr:cNvPr id="96" name="Straight Connector 95">
          <a:extLst>
            <a:ext uri="{FF2B5EF4-FFF2-40B4-BE49-F238E27FC236}">
              <a16:creationId xmlns:a16="http://schemas.microsoft.com/office/drawing/2014/main" id="{F8863BD7-9121-47AC-B789-E4184159B989}"/>
            </a:ext>
          </a:extLst>
        </xdr:cNvPr>
        <xdr:cNvCxnSpPr/>
      </xdr:nvCxnSpPr>
      <xdr:spPr>
        <a:xfrm>
          <a:off x="16631751" y="1702198"/>
          <a:ext cx="5892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67196</xdr:colOff>
      <xdr:row>13</xdr:row>
      <xdr:rowOff>159506</xdr:rowOff>
    </xdr:from>
    <xdr:to>
      <xdr:col>25</xdr:col>
      <xdr:colOff>707276</xdr:colOff>
      <xdr:row>13</xdr:row>
      <xdr:rowOff>159506</xdr:rowOff>
    </xdr:to>
    <xdr:cxnSp macro="">
      <xdr:nvCxnSpPr>
        <xdr:cNvPr id="97" name="Straight Connector 96">
          <a:extLst>
            <a:ext uri="{FF2B5EF4-FFF2-40B4-BE49-F238E27FC236}">
              <a16:creationId xmlns:a16="http://schemas.microsoft.com/office/drawing/2014/main" id="{A5A3E03E-9381-4978-8804-CD6323862A05}"/>
            </a:ext>
          </a:extLst>
        </xdr:cNvPr>
        <xdr:cNvCxnSpPr/>
      </xdr:nvCxnSpPr>
      <xdr:spPr>
        <a:xfrm>
          <a:off x="15878696" y="2445506"/>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63082</xdr:colOff>
      <xdr:row>13</xdr:row>
      <xdr:rowOff>159506</xdr:rowOff>
    </xdr:from>
    <xdr:to>
      <xdr:col>26</xdr:col>
      <xdr:colOff>703162</xdr:colOff>
      <xdr:row>13</xdr:row>
      <xdr:rowOff>159506</xdr:rowOff>
    </xdr:to>
    <xdr:cxnSp macro="">
      <xdr:nvCxnSpPr>
        <xdr:cNvPr id="98" name="Straight Connector 97">
          <a:extLst>
            <a:ext uri="{FF2B5EF4-FFF2-40B4-BE49-F238E27FC236}">
              <a16:creationId xmlns:a16="http://schemas.microsoft.com/office/drawing/2014/main" id="{32E36C75-FBD7-4EE9-AFC1-C17A3A8E7A7F}"/>
            </a:ext>
          </a:extLst>
        </xdr:cNvPr>
        <xdr:cNvCxnSpPr/>
      </xdr:nvCxnSpPr>
      <xdr:spPr>
        <a:xfrm>
          <a:off x="16636582" y="2445506"/>
          <a:ext cx="58293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68004</xdr:colOff>
      <xdr:row>18</xdr:row>
      <xdr:rowOff>171282</xdr:rowOff>
    </xdr:from>
    <xdr:to>
      <xdr:col>25</xdr:col>
      <xdr:colOff>708084</xdr:colOff>
      <xdr:row>18</xdr:row>
      <xdr:rowOff>171282</xdr:rowOff>
    </xdr:to>
    <xdr:cxnSp macro="">
      <xdr:nvCxnSpPr>
        <xdr:cNvPr id="99" name="Straight Connector 98">
          <a:extLst>
            <a:ext uri="{FF2B5EF4-FFF2-40B4-BE49-F238E27FC236}">
              <a16:creationId xmlns:a16="http://schemas.microsoft.com/office/drawing/2014/main" id="{49B53D65-1E25-47FF-8CC6-9DD31B6DC211}"/>
            </a:ext>
          </a:extLst>
        </xdr:cNvPr>
        <xdr:cNvCxnSpPr/>
      </xdr:nvCxnSpPr>
      <xdr:spPr>
        <a:xfrm>
          <a:off x="15879504" y="3378032"/>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63890</xdr:colOff>
      <xdr:row>18</xdr:row>
      <xdr:rowOff>171282</xdr:rowOff>
    </xdr:from>
    <xdr:to>
      <xdr:col>26</xdr:col>
      <xdr:colOff>703970</xdr:colOff>
      <xdr:row>18</xdr:row>
      <xdr:rowOff>171282</xdr:rowOff>
    </xdr:to>
    <xdr:cxnSp macro="">
      <xdr:nvCxnSpPr>
        <xdr:cNvPr id="100" name="Straight Connector 99">
          <a:extLst>
            <a:ext uri="{FF2B5EF4-FFF2-40B4-BE49-F238E27FC236}">
              <a16:creationId xmlns:a16="http://schemas.microsoft.com/office/drawing/2014/main" id="{9BA23D06-852D-488B-8956-4217A977AF4A}"/>
            </a:ext>
          </a:extLst>
        </xdr:cNvPr>
        <xdr:cNvCxnSpPr/>
      </xdr:nvCxnSpPr>
      <xdr:spPr>
        <a:xfrm>
          <a:off x="16637390" y="3378032"/>
          <a:ext cx="58293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69448</xdr:colOff>
      <xdr:row>20</xdr:row>
      <xdr:rowOff>166161</xdr:rowOff>
    </xdr:from>
    <xdr:to>
      <xdr:col>25</xdr:col>
      <xdr:colOff>709528</xdr:colOff>
      <xdr:row>20</xdr:row>
      <xdr:rowOff>166161</xdr:rowOff>
    </xdr:to>
    <xdr:cxnSp macro="">
      <xdr:nvCxnSpPr>
        <xdr:cNvPr id="101" name="Straight Connector 100">
          <a:extLst>
            <a:ext uri="{FF2B5EF4-FFF2-40B4-BE49-F238E27FC236}">
              <a16:creationId xmlns:a16="http://schemas.microsoft.com/office/drawing/2014/main" id="{A689FCA4-1C04-453C-8C12-4686C8F27379}"/>
            </a:ext>
          </a:extLst>
        </xdr:cNvPr>
        <xdr:cNvCxnSpPr/>
      </xdr:nvCxnSpPr>
      <xdr:spPr>
        <a:xfrm>
          <a:off x="15880948" y="3607861"/>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65334</xdr:colOff>
      <xdr:row>20</xdr:row>
      <xdr:rowOff>166161</xdr:rowOff>
    </xdr:from>
    <xdr:to>
      <xdr:col>26</xdr:col>
      <xdr:colOff>705414</xdr:colOff>
      <xdr:row>20</xdr:row>
      <xdr:rowOff>166161</xdr:rowOff>
    </xdr:to>
    <xdr:cxnSp macro="">
      <xdr:nvCxnSpPr>
        <xdr:cNvPr id="102" name="Straight Connector 101">
          <a:extLst>
            <a:ext uri="{FF2B5EF4-FFF2-40B4-BE49-F238E27FC236}">
              <a16:creationId xmlns:a16="http://schemas.microsoft.com/office/drawing/2014/main" id="{2811A9D9-8F4A-43A1-8015-ED109D13EF82}"/>
            </a:ext>
          </a:extLst>
        </xdr:cNvPr>
        <xdr:cNvCxnSpPr/>
      </xdr:nvCxnSpPr>
      <xdr:spPr>
        <a:xfrm>
          <a:off x="16638834" y="3607861"/>
          <a:ext cx="58293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74167</xdr:colOff>
      <xdr:row>24</xdr:row>
      <xdr:rowOff>159033</xdr:rowOff>
    </xdr:from>
    <xdr:to>
      <xdr:col>25</xdr:col>
      <xdr:colOff>714247</xdr:colOff>
      <xdr:row>24</xdr:row>
      <xdr:rowOff>159033</xdr:rowOff>
    </xdr:to>
    <xdr:cxnSp macro="">
      <xdr:nvCxnSpPr>
        <xdr:cNvPr id="103" name="Straight Connector 102">
          <a:extLst>
            <a:ext uri="{FF2B5EF4-FFF2-40B4-BE49-F238E27FC236}">
              <a16:creationId xmlns:a16="http://schemas.microsoft.com/office/drawing/2014/main" id="{88581908-7B5C-4A38-A8A6-21BEDEDBDAB5}"/>
            </a:ext>
          </a:extLst>
        </xdr:cNvPr>
        <xdr:cNvCxnSpPr/>
      </xdr:nvCxnSpPr>
      <xdr:spPr>
        <a:xfrm>
          <a:off x="15885667" y="4337333"/>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70053</xdr:colOff>
      <xdr:row>24</xdr:row>
      <xdr:rowOff>159033</xdr:rowOff>
    </xdr:from>
    <xdr:to>
      <xdr:col>26</xdr:col>
      <xdr:colOff>710133</xdr:colOff>
      <xdr:row>24</xdr:row>
      <xdr:rowOff>159033</xdr:rowOff>
    </xdr:to>
    <xdr:cxnSp macro="">
      <xdr:nvCxnSpPr>
        <xdr:cNvPr id="104" name="Straight Connector 103">
          <a:extLst>
            <a:ext uri="{FF2B5EF4-FFF2-40B4-BE49-F238E27FC236}">
              <a16:creationId xmlns:a16="http://schemas.microsoft.com/office/drawing/2014/main" id="{96D411E5-F461-4C68-9B24-A44FFE6B6C62}"/>
            </a:ext>
          </a:extLst>
        </xdr:cNvPr>
        <xdr:cNvCxnSpPr/>
      </xdr:nvCxnSpPr>
      <xdr:spPr>
        <a:xfrm>
          <a:off x="16643553" y="4337333"/>
          <a:ext cx="5765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74167</xdr:colOff>
      <xdr:row>28</xdr:row>
      <xdr:rowOff>166653</xdr:rowOff>
    </xdr:from>
    <xdr:to>
      <xdr:col>25</xdr:col>
      <xdr:colOff>714247</xdr:colOff>
      <xdr:row>28</xdr:row>
      <xdr:rowOff>166653</xdr:rowOff>
    </xdr:to>
    <xdr:cxnSp macro="">
      <xdr:nvCxnSpPr>
        <xdr:cNvPr id="105" name="Straight Connector 104">
          <a:extLst>
            <a:ext uri="{FF2B5EF4-FFF2-40B4-BE49-F238E27FC236}">
              <a16:creationId xmlns:a16="http://schemas.microsoft.com/office/drawing/2014/main" id="{95B2187D-A447-4F69-8FA8-3F1284CC9CEC}"/>
            </a:ext>
          </a:extLst>
        </xdr:cNvPr>
        <xdr:cNvCxnSpPr/>
      </xdr:nvCxnSpPr>
      <xdr:spPr>
        <a:xfrm>
          <a:off x="15885667" y="5081553"/>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70053</xdr:colOff>
      <xdr:row>28</xdr:row>
      <xdr:rowOff>166653</xdr:rowOff>
    </xdr:from>
    <xdr:to>
      <xdr:col>26</xdr:col>
      <xdr:colOff>710133</xdr:colOff>
      <xdr:row>28</xdr:row>
      <xdr:rowOff>166653</xdr:rowOff>
    </xdr:to>
    <xdr:cxnSp macro="">
      <xdr:nvCxnSpPr>
        <xdr:cNvPr id="106" name="Straight Connector 105">
          <a:extLst>
            <a:ext uri="{FF2B5EF4-FFF2-40B4-BE49-F238E27FC236}">
              <a16:creationId xmlns:a16="http://schemas.microsoft.com/office/drawing/2014/main" id="{2F2C41C7-0D6E-4F2D-9E2F-22A2F10DA615}"/>
            </a:ext>
          </a:extLst>
        </xdr:cNvPr>
        <xdr:cNvCxnSpPr/>
      </xdr:nvCxnSpPr>
      <xdr:spPr>
        <a:xfrm>
          <a:off x="16643553" y="5081553"/>
          <a:ext cx="5765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74167</xdr:colOff>
      <xdr:row>33</xdr:row>
      <xdr:rowOff>161573</xdr:rowOff>
    </xdr:from>
    <xdr:to>
      <xdr:col>25</xdr:col>
      <xdr:colOff>714247</xdr:colOff>
      <xdr:row>33</xdr:row>
      <xdr:rowOff>161573</xdr:rowOff>
    </xdr:to>
    <xdr:cxnSp macro="">
      <xdr:nvCxnSpPr>
        <xdr:cNvPr id="107" name="Straight Connector 106">
          <a:extLst>
            <a:ext uri="{FF2B5EF4-FFF2-40B4-BE49-F238E27FC236}">
              <a16:creationId xmlns:a16="http://schemas.microsoft.com/office/drawing/2014/main" id="{E8F68233-1DEE-468B-BE7F-DBA8E4E64D90}"/>
            </a:ext>
          </a:extLst>
        </xdr:cNvPr>
        <xdr:cNvCxnSpPr/>
      </xdr:nvCxnSpPr>
      <xdr:spPr>
        <a:xfrm>
          <a:off x="15885667" y="6009923"/>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70053</xdr:colOff>
      <xdr:row>33</xdr:row>
      <xdr:rowOff>161573</xdr:rowOff>
    </xdr:from>
    <xdr:to>
      <xdr:col>26</xdr:col>
      <xdr:colOff>710133</xdr:colOff>
      <xdr:row>33</xdr:row>
      <xdr:rowOff>161573</xdr:rowOff>
    </xdr:to>
    <xdr:cxnSp macro="">
      <xdr:nvCxnSpPr>
        <xdr:cNvPr id="108" name="Straight Connector 107">
          <a:extLst>
            <a:ext uri="{FF2B5EF4-FFF2-40B4-BE49-F238E27FC236}">
              <a16:creationId xmlns:a16="http://schemas.microsoft.com/office/drawing/2014/main" id="{49530B44-BF78-4EBC-97E5-E3454F8A7055}"/>
            </a:ext>
          </a:extLst>
        </xdr:cNvPr>
        <xdr:cNvCxnSpPr/>
      </xdr:nvCxnSpPr>
      <xdr:spPr>
        <a:xfrm>
          <a:off x="16643553" y="6009923"/>
          <a:ext cx="5765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71627</xdr:colOff>
      <xdr:row>34</xdr:row>
      <xdr:rowOff>164113</xdr:rowOff>
    </xdr:from>
    <xdr:to>
      <xdr:col>25</xdr:col>
      <xdr:colOff>711707</xdr:colOff>
      <xdr:row>34</xdr:row>
      <xdr:rowOff>164113</xdr:rowOff>
    </xdr:to>
    <xdr:cxnSp macro="">
      <xdr:nvCxnSpPr>
        <xdr:cNvPr id="109" name="Straight Connector 108">
          <a:extLst>
            <a:ext uri="{FF2B5EF4-FFF2-40B4-BE49-F238E27FC236}">
              <a16:creationId xmlns:a16="http://schemas.microsoft.com/office/drawing/2014/main" id="{72764C53-2D8D-4DA5-BC1E-07ADA9DDF84B}"/>
            </a:ext>
          </a:extLst>
        </xdr:cNvPr>
        <xdr:cNvCxnSpPr/>
      </xdr:nvCxnSpPr>
      <xdr:spPr>
        <a:xfrm>
          <a:off x="15883127" y="6196613"/>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67513</xdr:colOff>
      <xdr:row>34</xdr:row>
      <xdr:rowOff>164113</xdr:rowOff>
    </xdr:from>
    <xdr:to>
      <xdr:col>26</xdr:col>
      <xdr:colOff>707593</xdr:colOff>
      <xdr:row>34</xdr:row>
      <xdr:rowOff>164113</xdr:rowOff>
    </xdr:to>
    <xdr:cxnSp macro="">
      <xdr:nvCxnSpPr>
        <xdr:cNvPr id="110" name="Straight Connector 109">
          <a:extLst>
            <a:ext uri="{FF2B5EF4-FFF2-40B4-BE49-F238E27FC236}">
              <a16:creationId xmlns:a16="http://schemas.microsoft.com/office/drawing/2014/main" id="{D26B8A57-0A07-4892-AB88-DB61DD7CD3C4}"/>
            </a:ext>
          </a:extLst>
        </xdr:cNvPr>
        <xdr:cNvCxnSpPr/>
      </xdr:nvCxnSpPr>
      <xdr:spPr>
        <a:xfrm>
          <a:off x="16641013" y="6196613"/>
          <a:ext cx="58293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67221</xdr:colOff>
      <xdr:row>41</xdr:row>
      <xdr:rowOff>164521</xdr:rowOff>
    </xdr:from>
    <xdr:to>
      <xdr:col>26</xdr:col>
      <xdr:colOff>707301</xdr:colOff>
      <xdr:row>41</xdr:row>
      <xdr:rowOff>164521</xdr:rowOff>
    </xdr:to>
    <xdr:cxnSp macro="">
      <xdr:nvCxnSpPr>
        <xdr:cNvPr id="111" name="Straight Connector 110">
          <a:extLst>
            <a:ext uri="{FF2B5EF4-FFF2-40B4-BE49-F238E27FC236}">
              <a16:creationId xmlns:a16="http://schemas.microsoft.com/office/drawing/2014/main" id="{FB72A5A8-8278-4480-8582-08EEBC20797C}"/>
            </a:ext>
          </a:extLst>
        </xdr:cNvPr>
        <xdr:cNvCxnSpPr/>
      </xdr:nvCxnSpPr>
      <xdr:spPr>
        <a:xfrm>
          <a:off x="16640721" y="7346371"/>
          <a:ext cx="58293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67221</xdr:colOff>
      <xdr:row>43</xdr:row>
      <xdr:rowOff>165008</xdr:rowOff>
    </xdr:from>
    <xdr:to>
      <xdr:col>26</xdr:col>
      <xdr:colOff>707301</xdr:colOff>
      <xdr:row>43</xdr:row>
      <xdr:rowOff>165008</xdr:rowOff>
    </xdr:to>
    <xdr:cxnSp macro="">
      <xdr:nvCxnSpPr>
        <xdr:cNvPr id="112" name="Straight Connector 111">
          <a:extLst>
            <a:ext uri="{FF2B5EF4-FFF2-40B4-BE49-F238E27FC236}">
              <a16:creationId xmlns:a16="http://schemas.microsoft.com/office/drawing/2014/main" id="{CFA62A79-22EA-4E55-8BF1-72C44D02E592}"/>
            </a:ext>
          </a:extLst>
        </xdr:cNvPr>
        <xdr:cNvCxnSpPr/>
      </xdr:nvCxnSpPr>
      <xdr:spPr>
        <a:xfrm>
          <a:off x="16640721" y="7715158"/>
          <a:ext cx="58293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64183</xdr:colOff>
      <xdr:row>48</xdr:row>
      <xdr:rowOff>167497</xdr:rowOff>
    </xdr:from>
    <xdr:to>
      <xdr:col>22</xdr:col>
      <xdr:colOff>704263</xdr:colOff>
      <xdr:row>48</xdr:row>
      <xdr:rowOff>167497</xdr:rowOff>
    </xdr:to>
    <xdr:cxnSp macro="">
      <xdr:nvCxnSpPr>
        <xdr:cNvPr id="113" name="Straight Connector 112">
          <a:extLst>
            <a:ext uri="{FF2B5EF4-FFF2-40B4-BE49-F238E27FC236}">
              <a16:creationId xmlns:a16="http://schemas.microsoft.com/office/drawing/2014/main" id="{EDCAD87B-5B5D-4C1B-BBB2-87AEDE68B6CD}"/>
            </a:ext>
          </a:extLst>
        </xdr:cNvPr>
        <xdr:cNvCxnSpPr/>
      </xdr:nvCxnSpPr>
      <xdr:spPr>
        <a:xfrm>
          <a:off x="13589683" y="8638397"/>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606525</xdr:colOff>
      <xdr:row>46</xdr:row>
      <xdr:rowOff>139367</xdr:rowOff>
    </xdr:from>
    <xdr:to>
      <xdr:col>27</xdr:col>
      <xdr:colOff>0</xdr:colOff>
      <xdr:row>46</xdr:row>
      <xdr:rowOff>139367</xdr:rowOff>
    </xdr:to>
    <xdr:cxnSp macro="">
      <xdr:nvCxnSpPr>
        <xdr:cNvPr id="114" name="Straight Connector 113">
          <a:extLst>
            <a:ext uri="{FF2B5EF4-FFF2-40B4-BE49-F238E27FC236}">
              <a16:creationId xmlns:a16="http://schemas.microsoft.com/office/drawing/2014/main" id="{E0DD1C45-0DF8-4D6F-BF1E-81E53F3EF268}"/>
            </a:ext>
          </a:extLst>
        </xdr:cNvPr>
        <xdr:cNvCxnSpPr/>
      </xdr:nvCxnSpPr>
      <xdr:spPr>
        <a:xfrm>
          <a:off x="13522425" y="8241967"/>
          <a:ext cx="3698775"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61632</xdr:colOff>
      <xdr:row>48</xdr:row>
      <xdr:rowOff>167497</xdr:rowOff>
    </xdr:from>
    <xdr:to>
      <xdr:col>23</xdr:col>
      <xdr:colOff>701712</xdr:colOff>
      <xdr:row>48</xdr:row>
      <xdr:rowOff>167497</xdr:rowOff>
    </xdr:to>
    <xdr:cxnSp macro="">
      <xdr:nvCxnSpPr>
        <xdr:cNvPr id="115" name="Straight Connector 114">
          <a:extLst>
            <a:ext uri="{FF2B5EF4-FFF2-40B4-BE49-F238E27FC236}">
              <a16:creationId xmlns:a16="http://schemas.microsoft.com/office/drawing/2014/main" id="{EC7A878A-F1DB-4555-B267-779AD6C38B33}"/>
            </a:ext>
          </a:extLst>
        </xdr:cNvPr>
        <xdr:cNvCxnSpPr/>
      </xdr:nvCxnSpPr>
      <xdr:spPr>
        <a:xfrm>
          <a:off x="14349132" y="8638397"/>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24</xdr:col>
      <xdr:colOff>59079</xdr:colOff>
      <xdr:row>48</xdr:row>
      <xdr:rowOff>167497</xdr:rowOff>
    </xdr:from>
    <xdr:to>
      <xdr:col>24</xdr:col>
      <xdr:colOff>699159</xdr:colOff>
      <xdr:row>48</xdr:row>
      <xdr:rowOff>167497</xdr:rowOff>
    </xdr:to>
    <xdr:cxnSp macro="">
      <xdr:nvCxnSpPr>
        <xdr:cNvPr id="116" name="Straight Connector 115">
          <a:extLst>
            <a:ext uri="{FF2B5EF4-FFF2-40B4-BE49-F238E27FC236}">
              <a16:creationId xmlns:a16="http://schemas.microsoft.com/office/drawing/2014/main" id="{8FC8AB51-D4E9-4DC2-B4CE-5E78288D231B}"/>
            </a:ext>
          </a:extLst>
        </xdr:cNvPr>
        <xdr:cNvCxnSpPr/>
      </xdr:nvCxnSpPr>
      <xdr:spPr>
        <a:xfrm>
          <a:off x="15108579" y="8638397"/>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68679</xdr:colOff>
      <xdr:row>48</xdr:row>
      <xdr:rowOff>167497</xdr:rowOff>
    </xdr:from>
    <xdr:to>
      <xdr:col>25</xdr:col>
      <xdr:colOff>708759</xdr:colOff>
      <xdr:row>48</xdr:row>
      <xdr:rowOff>167497</xdr:rowOff>
    </xdr:to>
    <xdr:cxnSp macro="">
      <xdr:nvCxnSpPr>
        <xdr:cNvPr id="117" name="Straight Connector 116">
          <a:extLst>
            <a:ext uri="{FF2B5EF4-FFF2-40B4-BE49-F238E27FC236}">
              <a16:creationId xmlns:a16="http://schemas.microsoft.com/office/drawing/2014/main" id="{791FA632-5E02-4047-BED4-CE28706B0502}"/>
            </a:ext>
          </a:extLst>
        </xdr:cNvPr>
        <xdr:cNvCxnSpPr/>
      </xdr:nvCxnSpPr>
      <xdr:spPr>
        <a:xfrm>
          <a:off x="15880179" y="8638397"/>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63090</xdr:colOff>
      <xdr:row>48</xdr:row>
      <xdr:rowOff>167497</xdr:rowOff>
    </xdr:from>
    <xdr:to>
      <xdr:col>26</xdr:col>
      <xdr:colOff>703170</xdr:colOff>
      <xdr:row>48</xdr:row>
      <xdr:rowOff>167497</xdr:rowOff>
    </xdr:to>
    <xdr:cxnSp macro="">
      <xdr:nvCxnSpPr>
        <xdr:cNvPr id="118" name="Straight Connector 117">
          <a:extLst>
            <a:ext uri="{FF2B5EF4-FFF2-40B4-BE49-F238E27FC236}">
              <a16:creationId xmlns:a16="http://schemas.microsoft.com/office/drawing/2014/main" id="{76293467-2B68-4E34-A94A-32FF17B5C43D}"/>
            </a:ext>
          </a:extLst>
        </xdr:cNvPr>
        <xdr:cNvCxnSpPr/>
      </xdr:nvCxnSpPr>
      <xdr:spPr>
        <a:xfrm>
          <a:off x="16636590" y="8638397"/>
          <a:ext cx="58293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61274</xdr:colOff>
      <xdr:row>54</xdr:row>
      <xdr:rowOff>154333</xdr:rowOff>
    </xdr:from>
    <xdr:to>
      <xdr:col>23</xdr:col>
      <xdr:colOff>701354</xdr:colOff>
      <xdr:row>54</xdr:row>
      <xdr:rowOff>154333</xdr:rowOff>
    </xdr:to>
    <xdr:cxnSp macro="">
      <xdr:nvCxnSpPr>
        <xdr:cNvPr id="119" name="Straight Connector 118">
          <a:extLst>
            <a:ext uri="{FF2B5EF4-FFF2-40B4-BE49-F238E27FC236}">
              <a16:creationId xmlns:a16="http://schemas.microsoft.com/office/drawing/2014/main" id="{4737D2B5-F4B9-4B4B-92BE-9778E3F29991}"/>
            </a:ext>
          </a:extLst>
        </xdr:cNvPr>
        <xdr:cNvCxnSpPr/>
      </xdr:nvCxnSpPr>
      <xdr:spPr>
        <a:xfrm>
          <a:off x="14348774" y="9577733"/>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24</xdr:col>
      <xdr:colOff>58721</xdr:colOff>
      <xdr:row>54</xdr:row>
      <xdr:rowOff>154333</xdr:rowOff>
    </xdr:from>
    <xdr:to>
      <xdr:col>24</xdr:col>
      <xdr:colOff>698801</xdr:colOff>
      <xdr:row>54</xdr:row>
      <xdr:rowOff>154333</xdr:rowOff>
    </xdr:to>
    <xdr:cxnSp macro="">
      <xdr:nvCxnSpPr>
        <xdr:cNvPr id="120" name="Straight Connector 119">
          <a:extLst>
            <a:ext uri="{FF2B5EF4-FFF2-40B4-BE49-F238E27FC236}">
              <a16:creationId xmlns:a16="http://schemas.microsoft.com/office/drawing/2014/main" id="{2E360B2B-51E2-4952-A502-62890E6559BF}"/>
            </a:ext>
          </a:extLst>
        </xdr:cNvPr>
        <xdr:cNvCxnSpPr/>
      </xdr:nvCxnSpPr>
      <xdr:spPr>
        <a:xfrm>
          <a:off x="15108221" y="9577733"/>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14238</xdr:colOff>
      <xdr:row>57</xdr:row>
      <xdr:rowOff>155953</xdr:rowOff>
    </xdr:from>
    <xdr:to>
      <xdr:col>27</xdr:col>
      <xdr:colOff>0</xdr:colOff>
      <xdr:row>57</xdr:row>
      <xdr:rowOff>156614</xdr:rowOff>
    </xdr:to>
    <xdr:cxnSp macro="">
      <xdr:nvCxnSpPr>
        <xdr:cNvPr id="121" name="Straight Connector 120">
          <a:extLst>
            <a:ext uri="{FF2B5EF4-FFF2-40B4-BE49-F238E27FC236}">
              <a16:creationId xmlns:a16="http://schemas.microsoft.com/office/drawing/2014/main" id="{DE527753-8BCB-40D9-AE48-982A7DBBAB0E}"/>
            </a:ext>
          </a:extLst>
        </xdr:cNvPr>
        <xdr:cNvCxnSpPr/>
      </xdr:nvCxnSpPr>
      <xdr:spPr>
        <a:xfrm flipV="1">
          <a:off x="13539738" y="9998453"/>
          <a:ext cx="3681462" cy="661"/>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73838</xdr:colOff>
      <xdr:row>59</xdr:row>
      <xdr:rowOff>155229</xdr:rowOff>
    </xdr:from>
    <xdr:to>
      <xdr:col>23</xdr:col>
      <xdr:colOff>713918</xdr:colOff>
      <xdr:row>59</xdr:row>
      <xdr:rowOff>155229</xdr:rowOff>
    </xdr:to>
    <xdr:cxnSp macro="">
      <xdr:nvCxnSpPr>
        <xdr:cNvPr id="122" name="Straight Connector 121">
          <a:extLst>
            <a:ext uri="{FF2B5EF4-FFF2-40B4-BE49-F238E27FC236}">
              <a16:creationId xmlns:a16="http://schemas.microsoft.com/office/drawing/2014/main" id="{6DDFCDD6-DE7C-4CB2-BD45-9817E0B979D8}"/>
            </a:ext>
          </a:extLst>
        </xdr:cNvPr>
        <xdr:cNvCxnSpPr/>
      </xdr:nvCxnSpPr>
      <xdr:spPr>
        <a:xfrm>
          <a:off x="14361338" y="10372379"/>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24</xdr:col>
      <xdr:colOff>71285</xdr:colOff>
      <xdr:row>59</xdr:row>
      <xdr:rowOff>155229</xdr:rowOff>
    </xdr:from>
    <xdr:to>
      <xdr:col>24</xdr:col>
      <xdr:colOff>711365</xdr:colOff>
      <xdr:row>59</xdr:row>
      <xdr:rowOff>155229</xdr:rowOff>
    </xdr:to>
    <xdr:cxnSp macro="">
      <xdr:nvCxnSpPr>
        <xdr:cNvPr id="123" name="Straight Connector 122">
          <a:extLst>
            <a:ext uri="{FF2B5EF4-FFF2-40B4-BE49-F238E27FC236}">
              <a16:creationId xmlns:a16="http://schemas.microsoft.com/office/drawing/2014/main" id="{A2B43E21-3DCE-4480-8E76-126D811B9610}"/>
            </a:ext>
          </a:extLst>
        </xdr:cNvPr>
        <xdr:cNvCxnSpPr/>
      </xdr:nvCxnSpPr>
      <xdr:spPr>
        <a:xfrm>
          <a:off x="15120785" y="10372379"/>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80885</xdr:colOff>
      <xdr:row>59</xdr:row>
      <xdr:rowOff>155229</xdr:rowOff>
    </xdr:from>
    <xdr:to>
      <xdr:col>25</xdr:col>
      <xdr:colOff>720965</xdr:colOff>
      <xdr:row>59</xdr:row>
      <xdr:rowOff>155229</xdr:rowOff>
    </xdr:to>
    <xdr:cxnSp macro="">
      <xdr:nvCxnSpPr>
        <xdr:cNvPr id="124" name="Straight Connector 123">
          <a:extLst>
            <a:ext uri="{FF2B5EF4-FFF2-40B4-BE49-F238E27FC236}">
              <a16:creationId xmlns:a16="http://schemas.microsoft.com/office/drawing/2014/main" id="{00840923-93F2-4650-A4B6-64588460D4B5}"/>
            </a:ext>
          </a:extLst>
        </xdr:cNvPr>
        <xdr:cNvCxnSpPr/>
      </xdr:nvCxnSpPr>
      <xdr:spPr>
        <a:xfrm>
          <a:off x="15892385" y="10372379"/>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75296</xdr:colOff>
      <xdr:row>59</xdr:row>
      <xdr:rowOff>155229</xdr:rowOff>
    </xdr:from>
    <xdr:to>
      <xdr:col>26</xdr:col>
      <xdr:colOff>715376</xdr:colOff>
      <xdr:row>59</xdr:row>
      <xdr:rowOff>155229</xdr:rowOff>
    </xdr:to>
    <xdr:cxnSp macro="">
      <xdr:nvCxnSpPr>
        <xdr:cNvPr id="125" name="Straight Connector 124">
          <a:extLst>
            <a:ext uri="{FF2B5EF4-FFF2-40B4-BE49-F238E27FC236}">
              <a16:creationId xmlns:a16="http://schemas.microsoft.com/office/drawing/2014/main" id="{920C30DC-08D2-4000-B6FF-E2DD459E60EC}"/>
            </a:ext>
          </a:extLst>
        </xdr:cNvPr>
        <xdr:cNvCxnSpPr/>
      </xdr:nvCxnSpPr>
      <xdr:spPr>
        <a:xfrm>
          <a:off x="16648796" y="10372379"/>
          <a:ext cx="57023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76885</xdr:colOff>
      <xdr:row>64</xdr:row>
      <xdr:rowOff>159393</xdr:rowOff>
    </xdr:from>
    <xdr:to>
      <xdr:col>23</xdr:col>
      <xdr:colOff>716965</xdr:colOff>
      <xdr:row>64</xdr:row>
      <xdr:rowOff>159393</xdr:rowOff>
    </xdr:to>
    <xdr:cxnSp macro="">
      <xdr:nvCxnSpPr>
        <xdr:cNvPr id="126" name="Straight Connector 125">
          <a:extLst>
            <a:ext uri="{FF2B5EF4-FFF2-40B4-BE49-F238E27FC236}">
              <a16:creationId xmlns:a16="http://schemas.microsoft.com/office/drawing/2014/main" id="{1EF5DD26-ED4F-48D9-80C9-E9539B20D9FD}"/>
            </a:ext>
          </a:extLst>
        </xdr:cNvPr>
        <xdr:cNvCxnSpPr/>
      </xdr:nvCxnSpPr>
      <xdr:spPr>
        <a:xfrm>
          <a:off x="14364385" y="11303643"/>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24</xdr:col>
      <xdr:colOff>74332</xdr:colOff>
      <xdr:row>64</xdr:row>
      <xdr:rowOff>159393</xdr:rowOff>
    </xdr:from>
    <xdr:to>
      <xdr:col>24</xdr:col>
      <xdr:colOff>714412</xdr:colOff>
      <xdr:row>64</xdr:row>
      <xdr:rowOff>159393</xdr:rowOff>
    </xdr:to>
    <xdr:cxnSp macro="">
      <xdr:nvCxnSpPr>
        <xdr:cNvPr id="127" name="Straight Connector 126">
          <a:extLst>
            <a:ext uri="{FF2B5EF4-FFF2-40B4-BE49-F238E27FC236}">
              <a16:creationId xmlns:a16="http://schemas.microsoft.com/office/drawing/2014/main" id="{C6F1AF0F-423E-4501-B28E-47EFFDC6C874}"/>
            </a:ext>
          </a:extLst>
        </xdr:cNvPr>
        <xdr:cNvCxnSpPr/>
      </xdr:nvCxnSpPr>
      <xdr:spPr>
        <a:xfrm>
          <a:off x="15123832" y="11303643"/>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83932</xdr:colOff>
      <xdr:row>64</xdr:row>
      <xdr:rowOff>159393</xdr:rowOff>
    </xdr:from>
    <xdr:to>
      <xdr:col>25</xdr:col>
      <xdr:colOff>724012</xdr:colOff>
      <xdr:row>64</xdr:row>
      <xdr:rowOff>159393</xdr:rowOff>
    </xdr:to>
    <xdr:cxnSp macro="">
      <xdr:nvCxnSpPr>
        <xdr:cNvPr id="128" name="Straight Connector 127">
          <a:extLst>
            <a:ext uri="{FF2B5EF4-FFF2-40B4-BE49-F238E27FC236}">
              <a16:creationId xmlns:a16="http://schemas.microsoft.com/office/drawing/2014/main" id="{4C14C2F4-6EE2-4B16-BB84-6263761FBBD7}"/>
            </a:ext>
          </a:extLst>
        </xdr:cNvPr>
        <xdr:cNvCxnSpPr/>
      </xdr:nvCxnSpPr>
      <xdr:spPr>
        <a:xfrm>
          <a:off x="15895432" y="11303643"/>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78343</xdr:colOff>
      <xdr:row>64</xdr:row>
      <xdr:rowOff>159393</xdr:rowOff>
    </xdr:from>
    <xdr:to>
      <xdr:col>26</xdr:col>
      <xdr:colOff>718423</xdr:colOff>
      <xdr:row>64</xdr:row>
      <xdr:rowOff>159393</xdr:rowOff>
    </xdr:to>
    <xdr:cxnSp macro="">
      <xdr:nvCxnSpPr>
        <xdr:cNvPr id="129" name="Straight Connector 128">
          <a:extLst>
            <a:ext uri="{FF2B5EF4-FFF2-40B4-BE49-F238E27FC236}">
              <a16:creationId xmlns:a16="http://schemas.microsoft.com/office/drawing/2014/main" id="{B988877C-0DEA-47DA-91D4-A9D62A7FE6A5}"/>
            </a:ext>
          </a:extLst>
        </xdr:cNvPr>
        <xdr:cNvCxnSpPr/>
      </xdr:nvCxnSpPr>
      <xdr:spPr>
        <a:xfrm>
          <a:off x="16651843" y="11303643"/>
          <a:ext cx="57023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14355</xdr:colOff>
      <xdr:row>1</xdr:row>
      <xdr:rowOff>164873</xdr:rowOff>
    </xdr:from>
    <xdr:to>
      <xdr:col>26</xdr:col>
      <xdr:colOff>621133</xdr:colOff>
      <xdr:row>1</xdr:row>
      <xdr:rowOff>164965</xdr:rowOff>
    </xdr:to>
    <xdr:cxnSp macro="">
      <xdr:nvCxnSpPr>
        <xdr:cNvPr id="130" name="Straight Connector 129">
          <a:extLst>
            <a:ext uri="{FF2B5EF4-FFF2-40B4-BE49-F238E27FC236}">
              <a16:creationId xmlns:a16="http://schemas.microsoft.com/office/drawing/2014/main" id="{FCBFBA0A-E1CD-4F0B-992C-CFB0F08976F7}"/>
            </a:ext>
          </a:extLst>
        </xdr:cNvPr>
        <xdr:cNvCxnSpPr/>
      </xdr:nvCxnSpPr>
      <xdr:spPr>
        <a:xfrm flipV="1">
          <a:off x="13539855" y="349023"/>
          <a:ext cx="3654778" cy="92"/>
        </a:xfrm>
        <a:prstGeom prst="line">
          <a:avLst/>
        </a:prstGeom>
        <a:ln w="12700">
          <a:solidFill>
            <a:schemeClr val="bg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81638</xdr:colOff>
      <xdr:row>11</xdr:row>
      <xdr:rowOff>169534</xdr:rowOff>
    </xdr:from>
    <xdr:to>
      <xdr:col>20</xdr:col>
      <xdr:colOff>585586</xdr:colOff>
      <xdr:row>11</xdr:row>
      <xdr:rowOff>170691</xdr:rowOff>
    </xdr:to>
    <xdr:cxnSp macro="">
      <xdr:nvCxnSpPr>
        <xdr:cNvPr id="131" name="Straight Connector 130">
          <a:extLst>
            <a:ext uri="{FF2B5EF4-FFF2-40B4-BE49-F238E27FC236}">
              <a16:creationId xmlns:a16="http://schemas.microsoft.com/office/drawing/2014/main" id="{947F54EF-E661-4761-BA25-32D9E9CAADA5}"/>
            </a:ext>
          </a:extLst>
        </xdr:cNvPr>
        <xdr:cNvCxnSpPr/>
      </xdr:nvCxnSpPr>
      <xdr:spPr>
        <a:xfrm flipV="1">
          <a:off x="11778338" y="208088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81981</xdr:colOff>
      <xdr:row>16</xdr:row>
      <xdr:rowOff>154837</xdr:rowOff>
    </xdr:from>
    <xdr:to>
      <xdr:col>10</xdr:col>
      <xdr:colOff>585928</xdr:colOff>
      <xdr:row>16</xdr:row>
      <xdr:rowOff>155994</xdr:rowOff>
    </xdr:to>
    <xdr:cxnSp macro="">
      <xdr:nvCxnSpPr>
        <xdr:cNvPr id="132" name="Straight Connector 131">
          <a:extLst>
            <a:ext uri="{FF2B5EF4-FFF2-40B4-BE49-F238E27FC236}">
              <a16:creationId xmlns:a16="http://schemas.microsoft.com/office/drawing/2014/main" id="{7064AE91-763F-48F9-815A-45F03B4224D4}"/>
            </a:ext>
          </a:extLst>
        </xdr:cNvPr>
        <xdr:cNvCxnSpPr/>
      </xdr:nvCxnSpPr>
      <xdr:spPr>
        <a:xfrm flipV="1">
          <a:off x="5682681" y="299328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84473</xdr:colOff>
      <xdr:row>16</xdr:row>
      <xdr:rowOff>154837</xdr:rowOff>
    </xdr:from>
    <xdr:to>
      <xdr:col>12</xdr:col>
      <xdr:colOff>588420</xdr:colOff>
      <xdr:row>16</xdr:row>
      <xdr:rowOff>155994</xdr:rowOff>
    </xdr:to>
    <xdr:cxnSp macro="">
      <xdr:nvCxnSpPr>
        <xdr:cNvPr id="133" name="Straight Connector 132">
          <a:extLst>
            <a:ext uri="{FF2B5EF4-FFF2-40B4-BE49-F238E27FC236}">
              <a16:creationId xmlns:a16="http://schemas.microsoft.com/office/drawing/2014/main" id="{93445538-533B-4639-A624-9CE8D043DAC4}"/>
            </a:ext>
          </a:extLst>
        </xdr:cNvPr>
        <xdr:cNvCxnSpPr/>
      </xdr:nvCxnSpPr>
      <xdr:spPr>
        <a:xfrm flipV="1">
          <a:off x="6904373" y="299328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82797</xdr:colOff>
      <xdr:row>16</xdr:row>
      <xdr:rowOff>154837</xdr:rowOff>
    </xdr:from>
    <xdr:to>
      <xdr:col>14</xdr:col>
      <xdr:colOff>586744</xdr:colOff>
      <xdr:row>16</xdr:row>
      <xdr:rowOff>155994</xdr:rowOff>
    </xdr:to>
    <xdr:cxnSp macro="">
      <xdr:nvCxnSpPr>
        <xdr:cNvPr id="134" name="Straight Connector 133">
          <a:extLst>
            <a:ext uri="{FF2B5EF4-FFF2-40B4-BE49-F238E27FC236}">
              <a16:creationId xmlns:a16="http://schemas.microsoft.com/office/drawing/2014/main" id="{1DCE648A-637E-4D9B-A9AA-D38AC433CE2A}"/>
            </a:ext>
          </a:extLst>
        </xdr:cNvPr>
        <xdr:cNvCxnSpPr/>
      </xdr:nvCxnSpPr>
      <xdr:spPr>
        <a:xfrm flipV="1">
          <a:off x="8121897" y="299328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92541</xdr:colOff>
      <xdr:row>16</xdr:row>
      <xdr:rowOff>154837</xdr:rowOff>
    </xdr:from>
    <xdr:to>
      <xdr:col>16</xdr:col>
      <xdr:colOff>596489</xdr:colOff>
      <xdr:row>16</xdr:row>
      <xdr:rowOff>155994</xdr:rowOff>
    </xdr:to>
    <xdr:cxnSp macro="">
      <xdr:nvCxnSpPr>
        <xdr:cNvPr id="135" name="Straight Connector 134">
          <a:extLst>
            <a:ext uri="{FF2B5EF4-FFF2-40B4-BE49-F238E27FC236}">
              <a16:creationId xmlns:a16="http://schemas.microsoft.com/office/drawing/2014/main" id="{8FDB7769-E0E1-438F-9A42-ACA3A7143209}"/>
            </a:ext>
          </a:extLst>
        </xdr:cNvPr>
        <xdr:cNvCxnSpPr/>
      </xdr:nvCxnSpPr>
      <xdr:spPr>
        <a:xfrm flipV="1">
          <a:off x="9350841" y="2993287"/>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81638</xdr:colOff>
      <xdr:row>16</xdr:row>
      <xdr:rowOff>154837</xdr:rowOff>
    </xdr:from>
    <xdr:to>
      <xdr:col>18</xdr:col>
      <xdr:colOff>585586</xdr:colOff>
      <xdr:row>16</xdr:row>
      <xdr:rowOff>155994</xdr:rowOff>
    </xdr:to>
    <xdr:cxnSp macro="">
      <xdr:nvCxnSpPr>
        <xdr:cNvPr id="136" name="Straight Connector 135">
          <a:extLst>
            <a:ext uri="{FF2B5EF4-FFF2-40B4-BE49-F238E27FC236}">
              <a16:creationId xmlns:a16="http://schemas.microsoft.com/office/drawing/2014/main" id="{F3F1E0B6-2FE7-4E29-9B42-7AACF64769D9}"/>
            </a:ext>
          </a:extLst>
        </xdr:cNvPr>
        <xdr:cNvCxnSpPr/>
      </xdr:nvCxnSpPr>
      <xdr:spPr>
        <a:xfrm flipV="1">
          <a:off x="10559138" y="2993287"/>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81638</xdr:colOff>
      <xdr:row>11</xdr:row>
      <xdr:rowOff>169534</xdr:rowOff>
    </xdr:from>
    <xdr:to>
      <xdr:col>20</xdr:col>
      <xdr:colOff>585586</xdr:colOff>
      <xdr:row>11</xdr:row>
      <xdr:rowOff>170691</xdr:rowOff>
    </xdr:to>
    <xdr:cxnSp macro="">
      <xdr:nvCxnSpPr>
        <xdr:cNvPr id="137" name="Straight Connector 136">
          <a:extLst>
            <a:ext uri="{FF2B5EF4-FFF2-40B4-BE49-F238E27FC236}">
              <a16:creationId xmlns:a16="http://schemas.microsoft.com/office/drawing/2014/main" id="{C85FF7DE-0FC4-4C82-A0B6-CDBAB2120E1B}"/>
            </a:ext>
          </a:extLst>
        </xdr:cNvPr>
        <xdr:cNvCxnSpPr/>
      </xdr:nvCxnSpPr>
      <xdr:spPr>
        <a:xfrm flipV="1">
          <a:off x="11778338" y="208088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81638</xdr:colOff>
      <xdr:row>13</xdr:row>
      <xdr:rowOff>154837</xdr:rowOff>
    </xdr:from>
    <xdr:to>
      <xdr:col>20</xdr:col>
      <xdr:colOff>585586</xdr:colOff>
      <xdr:row>13</xdr:row>
      <xdr:rowOff>155994</xdr:rowOff>
    </xdr:to>
    <xdr:cxnSp macro="">
      <xdr:nvCxnSpPr>
        <xdr:cNvPr id="138" name="Straight Connector 137">
          <a:extLst>
            <a:ext uri="{FF2B5EF4-FFF2-40B4-BE49-F238E27FC236}">
              <a16:creationId xmlns:a16="http://schemas.microsoft.com/office/drawing/2014/main" id="{95520D0C-F4F6-411A-BCD7-063C78E33795}"/>
            </a:ext>
          </a:extLst>
        </xdr:cNvPr>
        <xdr:cNvCxnSpPr/>
      </xdr:nvCxnSpPr>
      <xdr:spPr>
        <a:xfrm flipV="1">
          <a:off x="11778338" y="2440837"/>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81638</xdr:colOff>
      <xdr:row>16</xdr:row>
      <xdr:rowOff>158334</xdr:rowOff>
    </xdr:from>
    <xdr:to>
      <xdr:col>20</xdr:col>
      <xdr:colOff>585586</xdr:colOff>
      <xdr:row>16</xdr:row>
      <xdr:rowOff>159491</xdr:rowOff>
    </xdr:to>
    <xdr:cxnSp macro="">
      <xdr:nvCxnSpPr>
        <xdr:cNvPr id="139" name="Straight Connector 138">
          <a:extLst>
            <a:ext uri="{FF2B5EF4-FFF2-40B4-BE49-F238E27FC236}">
              <a16:creationId xmlns:a16="http://schemas.microsoft.com/office/drawing/2014/main" id="{EF717139-1F60-4B57-9391-35986A8B8A70}"/>
            </a:ext>
          </a:extLst>
        </xdr:cNvPr>
        <xdr:cNvCxnSpPr/>
      </xdr:nvCxnSpPr>
      <xdr:spPr>
        <a:xfrm flipV="1">
          <a:off x="11778338" y="299678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81638</xdr:colOff>
      <xdr:row>18</xdr:row>
      <xdr:rowOff>166215</xdr:rowOff>
    </xdr:from>
    <xdr:to>
      <xdr:col>20</xdr:col>
      <xdr:colOff>585586</xdr:colOff>
      <xdr:row>18</xdr:row>
      <xdr:rowOff>167372</xdr:rowOff>
    </xdr:to>
    <xdr:cxnSp macro="">
      <xdr:nvCxnSpPr>
        <xdr:cNvPr id="140" name="Straight Connector 139">
          <a:extLst>
            <a:ext uri="{FF2B5EF4-FFF2-40B4-BE49-F238E27FC236}">
              <a16:creationId xmlns:a16="http://schemas.microsoft.com/office/drawing/2014/main" id="{997FD59D-CAFC-4F45-B4D3-52CC90E715E9}"/>
            </a:ext>
          </a:extLst>
        </xdr:cNvPr>
        <xdr:cNvCxnSpPr/>
      </xdr:nvCxnSpPr>
      <xdr:spPr>
        <a:xfrm flipV="1">
          <a:off x="11778338" y="3372965"/>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96661</xdr:colOff>
      <xdr:row>23</xdr:row>
      <xdr:rowOff>152197</xdr:rowOff>
    </xdr:from>
    <xdr:to>
      <xdr:col>20</xdr:col>
      <xdr:colOff>600563</xdr:colOff>
      <xdr:row>23</xdr:row>
      <xdr:rowOff>153354</xdr:rowOff>
    </xdr:to>
    <xdr:cxnSp macro="">
      <xdr:nvCxnSpPr>
        <xdr:cNvPr id="141" name="Straight Connector 140">
          <a:extLst>
            <a:ext uri="{FF2B5EF4-FFF2-40B4-BE49-F238E27FC236}">
              <a16:creationId xmlns:a16="http://schemas.microsoft.com/office/drawing/2014/main" id="{DAC5F317-4B5A-4999-8012-0CF8A836CBB0}"/>
            </a:ext>
          </a:extLst>
        </xdr:cNvPr>
        <xdr:cNvCxnSpPr/>
      </xdr:nvCxnSpPr>
      <xdr:spPr>
        <a:xfrm flipV="1">
          <a:off x="11793361" y="4146347"/>
          <a:ext cx="1113502"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81638</xdr:colOff>
      <xdr:row>24</xdr:row>
      <xdr:rowOff>191437</xdr:rowOff>
    </xdr:from>
    <xdr:to>
      <xdr:col>20</xdr:col>
      <xdr:colOff>585586</xdr:colOff>
      <xdr:row>24</xdr:row>
      <xdr:rowOff>192594</xdr:rowOff>
    </xdr:to>
    <xdr:cxnSp macro="">
      <xdr:nvCxnSpPr>
        <xdr:cNvPr id="142" name="Straight Connector 141">
          <a:extLst>
            <a:ext uri="{FF2B5EF4-FFF2-40B4-BE49-F238E27FC236}">
              <a16:creationId xmlns:a16="http://schemas.microsoft.com/office/drawing/2014/main" id="{CFD82A8D-EBA4-41FC-9F97-4D34D77051CA}"/>
            </a:ext>
          </a:extLst>
        </xdr:cNvPr>
        <xdr:cNvCxnSpPr/>
      </xdr:nvCxnSpPr>
      <xdr:spPr>
        <a:xfrm flipV="1">
          <a:off x="11778338" y="4363387"/>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81638</xdr:colOff>
      <xdr:row>25</xdr:row>
      <xdr:rowOff>5545</xdr:rowOff>
    </xdr:from>
    <xdr:to>
      <xdr:col>20</xdr:col>
      <xdr:colOff>585586</xdr:colOff>
      <xdr:row>25</xdr:row>
      <xdr:rowOff>6702</xdr:rowOff>
    </xdr:to>
    <xdr:cxnSp macro="">
      <xdr:nvCxnSpPr>
        <xdr:cNvPr id="143" name="Straight Connector 142">
          <a:extLst>
            <a:ext uri="{FF2B5EF4-FFF2-40B4-BE49-F238E27FC236}">
              <a16:creationId xmlns:a16="http://schemas.microsoft.com/office/drawing/2014/main" id="{5B286B87-194E-47AA-B7AB-2F2EBB3103E2}"/>
            </a:ext>
          </a:extLst>
        </xdr:cNvPr>
        <xdr:cNvCxnSpPr/>
      </xdr:nvCxnSpPr>
      <xdr:spPr>
        <a:xfrm flipV="1">
          <a:off x="11778338" y="4367995"/>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76561</xdr:colOff>
      <xdr:row>33</xdr:row>
      <xdr:rowOff>162327</xdr:rowOff>
    </xdr:from>
    <xdr:to>
      <xdr:col>20</xdr:col>
      <xdr:colOff>580463</xdr:colOff>
      <xdr:row>33</xdr:row>
      <xdr:rowOff>163484</xdr:rowOff>
    </xdr:to>
    <xdr:cxnSp macro="">
      <xdr:nvCxnSpPr>
        <xdr:cNvPr id="144" name="Straight Connector 143">
          <a:extLst>
            <a:ext uri="{FF2B5EF4-FFF2-40B4-BE49-F238E27FC236}">
              <a16:creationId xmlns:a16="http://schemas.microsoft.com/office/drawing/2014/main" id="{3685FECC-0122-401F-B254-DC205C4B55F6}"/>
            </a:ext>
          </a:extLst>
        </xdr:cNvPr>
        <xdr:cNvCxnSpPr/>
      </xdr:nvCxnSpPr>
      <xdr:spPr>
        <a:xfrm flipV="1">
          <a:off x="11773261" y="6010677"/>
          <a:ext cx="1113502"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76561</xdr:colOff>
      <xdr:row>40</xdr:row>
      <xdr:rowOff>159727</xdr:rowOff>
    </xdr:from>
    <xdr:to>
      <xdr:col>20</xdr:col>
      <xdr:colOff>580463</xdr:colOff>
      <xdr:row>40</xdr:row>
      <xdr:rowOff>160884</xdr:rowOff>
    </xdr:to>
    <xdr:cxnSp macro="">
      <xdr:nvCxnSpPr>
        <xdr:cNvPr id="145" name="Straight Connector 144">
          <a:extLst>
            <a:ext uri="{FF2B5EF4-FFF2-40B4-BE49-F238E27FC236}">
              <a16:creationId xmlns:a16="http://schemas.microsoft.com/office/drawing/2014/main" id="{E7B70716-252E-4E65-9C27-85F01D25B318}"/>
            </a:ext>
          </a:extLst>
        </xdr:cNvPr>
        <xdr:cNvCxnSpPr/>
      </xdr:nvCxnSpPr>
      <xdr:spPr>
        <a:xfrm flipV="1">
          <a:off x="11773261" y="7157427"/>
          <a:ext cx="1113502"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57761</xdr:colOff>
      <xdr:row>44</xdr:row>
      <xdr:rowOff>162046</xdr:rowOff>
    </xdr:from>
    <xdr:to>
      <xdr:col>20</xdr:col>
      <xdr:colOff>561663</xdr:colOff>
      <xdr:row>44</xdr:row>
      <xdr:rowOff>163364</xdr:rowOff>
    </xdr:to>
    <xdr:cxnSp macro="">
      <xdr:nvCxnSpPr>
        <xdr:cNvPr id="146" name="Straight Connector 145">
          <a:extLst>
            <a:ext uri="{FF2B5EF4-FFF2-40B4-BE49-F238E27FC236}">
              <a16:creationId xmlns:a16="http://schemas.microsoft.com/office/drawing/2014/main" id="{6A9FB527-E206-4D9B-AED0-0AD530C4F862}"/>
            </a:ext>
          </a:extLst>
        </xdr:cNvPr>
        <xdr:cNvCxnSpPr/>
      </xdr:nvCxnSpPr>
      <xdr:spPr>
        <a:xfrm flipV="1">
          <a:off x="11754461" y="7896346"/>
          <a:ext cx="1113502"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57761</xdr:colOff>
      <xdr:row>53</xdr:row>
      <xdr:rowOff>159446</xdr:rowOff>
    </xdr:from>
    <xdr:to>
      <xdr:col>20</xdr:col>
      <xdr:colOff>561663</xdr:colOff>
      <xdr:row>53</xdr:row>
      <xdr:rowOff>160764</xdr:rowOff>
    </xdr:to>
    <xdr:cxnSp macro="">
      <xdr:nvCxnSpPr>
        <xdr:cNvPr id="147" name="Straight Connector 146">
          <a:extLst>
            <a:ext uri="{FF2B5EF4-FFF2-40B4-BE49-F238E27FC236}">
              <a16:creationId xmlns:a16="http://schemas.microsoft.com/office/drawing/2014/main" id="{C86925B3-4BB1-48A5-B5A6-04E8F3CADA0F}"/>
            </a:ext>
          </a:extLst>
        </xdr:cNvPr>
        <xdr:cNvCxnSpPr/>
      </xdr:nvCxnSpPr>
      <xdr:spPr>
        <a:xfrm flipV="1">
          <a:off x="11754461" y="9398696"/>
          <a:ext cx="1113502"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57761</xdr:colOff>
      <xdr:row>54</xdr:row>
      <xdr:rowOff>161846</xdr:rowOff>
    </xdr:from>
    <xdr:to>
      <xdr:col>20</xdr:col>
      <xdr:colOff>561663</xdr:colOff>
      <xdr:row>54</xdr:row>
      <xdr:rowOff>163164</xdr:rowOff>
    </xdr:to>
    <xdr:cxnSp macro="">
      <xdr:nvCxnSpPr>
        <xdr:cNvPr id="148" name="Straight Connector 147">
          <a:extLst>
            <a:ext uri="{FF2B5EF4-FFF2-40B4-BE49-F238E27FC236}">
              <a16:creationId xmlns:a16="http://schemas.microsoft.com/office/drawing/2014/main" id="{6251A7D3-98D9-4A78-A15C-DB82A9CA287E}"/>
            </a:ext>
          </a:extLst>
        </xdr:cNvPr>
        <xdr:cNvCxnSpPr/>
      </xdr:nvCxnSpPr>
      <xdr:spPr>
        <a:xfrm flipV="1">
          <a:off x="11754461" y="9585246"/>
          <a:ext cx="1113502"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57761</xdr:colOff>
      <xdr:row>55</xdr:row>
      <xdr:rowOff>4246</xdr:rowOff>
    </xdr:from>
    <xdr:to>
      <xdr:col>20</xdr:col>
      <xdr:colOff>561663</xdr:colOff>
      <xdr:row>55</xdr:row>
      <xdr:rowOff>5564</xdr:rowOff>
    </xdr:to>
    <xdr:cxnSp macro="">
      <xdr:nvCxnSpPr>
        <xdr:cNvPr id="149" name="Straight Connector 148">
          <a:extLst>
            <a:ext uri="{FF2B5EF4-FFF2-40B4-BE49-F238E27FC236}">
              <a16:creationId xmlns:a16="http://schemas.microsoft.com/office/drawing/2014/main" id="{76A960EB-122C-4EC7-AD1A-606DB394CE3A}"/>
            </a:ext>
          </a:extLst>
        </xdr:cNvPr>
        <xdr:cNvCxnSpPr/>
      </xdr:nvCxnSpPr>
      <xdr:spPr>
        <a:xfrm flipV="1">
          <a:off x="11754461" y="9611796"/>
          <a:ext cx="1113502"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81638</xdr:colOff>
      <xdr:row>16</xdr:row>
      <xdr:rowOff>154837</xdr:rowOff>
    </xdr:from>
    <xdr:to>
      <xdr:col>20</xdr:col>
      <xdr:colOff>585586</xdr:colOff>
      <xdr:row>16</xdr:row>
      <xdr:rowOff>155994</xdr:rowOff>
    </xdr:to>
    <xdr:cxnSp macro="">
      <xdr:nvCxnSpPr>
        <xdr:cNvPr id="150" name="Straight Connector 149">
          <a:extLst>
            <a:ext uri="{FF2B5EF4-FFF2-40B4-BE49-F238E27FC236}">
              <a16:creationId xmlns:a16="http://schemas.microsoft.com/office/drawing/2014/main" id="{24F76187-B769-49F6-86DE-BC50C5A786FD}"/>
            </a:ext>
          </a:extLst>
        </xdr:cNvPr>
        <xdr:cNvCxnSpPr/>
      </xdr:nvCxnSpPr>
      <xdr:spPr>
        <a:xfrm flipV="1">
          <a:off x="11778338" y="2993287"/>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81981</xdr:colOff>
      <xdr:row>24</xdr:row>
      <xdr:rowOff>191437</xdr:rowOff>
    </xdr:from>
    <xdr:to>
      <xdr:col>12</xdr:col>
      <xdr:colOff>585928</xdr:colOff>
      <xdr:row>24</xdr:row>
      <xdr:rowOff>192594</xdr:rowOff>
    </xdr:to>
    <xdr:cxnSp macro="">
      <xdr:nvCxnSpPr>
        <xdr:cNvPr id="151" name="Straight Connector 150">
          <a:extLst>
            <a:ext uri="{FF2B5EF4-FFF2-40B4-BE49-F238E27FC236}">
              <a16:creationId xmlns:a16="http://schemas.microsoft.com/office/drawing/2014/main" id="{79C98A2E-87BA-4EFC-BAA8-673B4F14A4B6}"/>
            </a:ext>
          </a:extLst>
        </xdr:cNvPr>
        <xdr:cNvCxnSpPr/>
      </xdr:nvCxnSpPr>
      <xdr:spPr>
        <a:xfrm flipV="1">
          <a:off x="6901881" y="436338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81981</xdr:colOff>
      <xdr:row>25</xdr:row>
      <xdr:rowOff>5545</xdr:rowOff>
    </xdr:from>
    <xdr:to>
      <xdr:col>12</xdr:col>
      <xdr:colOff>585928</xdr:colOff>
      <xdr:row>25</xdr:row>
      <xdr:rowOff>6702</xdr:rowOff>
    </xdr:to>
    <xdr:cxnSp macro="">
      <xdr:nvCxnSpPr>
        <xdr:cNvPr id="152" name="Straight Connector 151">
          <a:extLst>
            <a:ext uri="{FF2B5EF4-FFF2-40B4-BE49-F238E27FC236}">
              <a16:creationId xmlns:a16="http://schemas.microsoft.com/office/drawing/2014/main" id="{AFD0A1B9-7C0C-4AE7-B3AF-528239985250}"/>
            </a:ext>
          </a:extLst>
        </xdr:cNvPr>
        <xdr:cNvCxnSpPr/>
      </xdr:nvCxnSpPr>
      <xdr:spPr>
        <a:xfrm flipV="1">
          <a:off x="6901881" y="436799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81981</xdr:colOff>
      <xdr:row>24</xdr:row>
      <xdr:rowOff>191437</xdr:rowOff>
    </xdr:from>
    <xdr:to>
      <xdr:col>14</xdr:col>
      <xdr:colOff>585928</xdr:colOff>
      <xdr:row>24</xdr:row>
      <xdr:rowOff>192594</xdr:rowOff>
    </xdr:to>
    <xdr:cxnSp macro="">
      <xdr:nvCxnSpPr>
        <xdr:cNvPr id="153" name="Straight Connector 152">
          <a:extLst>
            <a:ext uri="{FF2B5EF4-FFF2-40B4-BE49-F238E27FC236}">
              <a16:creationId xmlns:a16="http://schemas.microsoft.com/office/drawing/2014/main" id="{96651E7C-0345-44D9-8AFE-BA55974B2452}"/>
            </a:ext>
          </a:extLst>
        </xdr:cNvPr>
        <xdr:cNvCxnSpPr/>
      </xdr:nvCxnSpPr>
      <xdr:spPr>
        <a:xfrm flipV="1">
          <a:off x="8121081" y="436338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81981</xdr:colOff>
      <xdr:row>25</xdr:row>
      <xdr:rowOff>5545</xdr:rowOff>
    </xdr:from>
    <xdr:to>
      <xdr:col>14</xdr:col>
      <xdr:colOff>585928</xdr:colOff>
      <xdr:row>25</xdr:row>
      <xdr:rowOff>6702</xdr:rowOff>
    </xdr:to>
    <xdr:cxnSp macro="">
      <xdr:nvCxnSpPr>
        <xdr:cNvPr id="154" name="Straight Connector 153">
          <a:extLst>
            <a:ext uri="{FF2B5EF4-FFF2-40B4-BE49-F238E27FC236}">
              <a16:creationId xmlns:a16="http://schemas.microsoft.com/office/drawing/2014/main" id="{39BAEC00-C92D-44D8-B1D6-BCF586C42DD5}"/>
            </a:ext>
          </a:extLst>
        </xdr:cNvPr>
        <xdr:cNvCxnSpPr/>
      </xdr:nvCxnSpPr>
      <xdr:spPr>
        <a:xfrm flipV="1">
          <a:off x="8121081" y="436799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81981</xdr:colOff>
      <xdr:row>24</xdr:row>
      <xdr:rowOff>191437</xdr:rowOff>
    </xdr:from>
    <xdr:to>
      <xdr:col>16</xdr:col>
      <xdr:colOff>585928</xdr:colOff>
      <xdr:row>24</xdr:row>
      <xdr:rowOff>192594</xdr:rowOff>
    </xdr:to>
    <xdr:cxnSp macro="">
      <xdr:nvCxnSpPr>
        <xdr:cNvPr id="155" name="Straight Connector 154">
          <a:extLst>
            <a:ext uri="{FF2B5EF4-FFF2-40B4-BE49-F238E27FC236}">
              <a16:creationId xmlns:a16="http://schemas.microsoft.com/office/drawing/2014/main" id="{DE5F5DFE-833C-4791-84A2-17FC14EFE4B2}"/>
            </a:ext>
          </a:extLst>
        </xdr:cNvPr>
        <xdr:cNvCxnSpPr/>
      </xdr:nvCxnSpPr>
      <xdr:spPr>
        <a:xfrm flipV="1">
          <a:off x="9340281" y="436338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81981</xdr:colOff>
      <xdr:row>25</xdr:row>
      <xdr:rowOff>5545</xdr:rowOff>
    </xdr:from>
    <xdr:to>
      <xdr:col>16</xdr:col>
      <xdr:colOff>585928</xdr:colOff>
      <xdr:row>25</xdr:row>
      <xdr:rowOff>6702</xdr:rowOff>
    </xdr:to>
    <xdr:cxnSp macro="">
      <xdr:nvCxnSpPr>
        <xdr:cNvPr id="156" name="Straight Connector 155">
          <a:extLst>
            <a:ext uri="{FF2B5EF4-FFF2-40B4-BE49-F238E27FC236}">
              <a16:creationId xmlns:a16="http://schemas.microsoft.com/office/drawing/2014/main" id="{775BCD18-4C85-4A71-8EB2-9C0DE8166B23}"/>
            </a:ext>
          </a:extLst>
        </xdr:cNvPr>
        <xdr:cNvCxnSpPr/>
      </xdr:nvCxnSpPr>
      <xdr:spPr>
        <a:xfrm flipV="1">
          <a:off x="9340281" y="436799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81981</xdr:colOff>
      <xdr:row>24</xdr:row>
      <xdr:rowOff>191437</xdr:rowOff>
    </xdr:from>
    <xdr:to>
      <xdr:col>18</xdr:col>
      <xdr:colOff>585928</xdr:colOff>
      <xdr:row>24</xdr:row>
      <xdr:rowOff>192594</xdr:rowOff>
    </xdr:to>
    <xdr:cxnSp macro="">
      <xdr:nvCxnSpPr>
        <xdr:cNvPr id="157" name="Straight Connector 156">
          <a:extLst>
            <a:ext uri="{FF2B5EF4-FFF2-40B4-BE49-F238E27FC236}">
              <a16:creationId xmlns:a16="http://schemas.microsoft.com/office/drawing/2014/main" id="{4E67ABF1-5524-4C4F-981D-DABFA868AB06}"/>
            </a:ext>
          </a:extLst>
        </xdr:cNvPr>
        <xdr:cNvCxnSpPr/>
      </xdr:nvCxnSpPr>
      <xdr:spPr>
        <a:xfrm flipV="1">
          <a:off x="10559481" y="436338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81981</xdr:colOff>
      <xdr:row>25</xdr:row>
      <xdr:rowOff>5545</xdr:rowOff>
    </xdr:from>
    <xdr:to>
      <xdr:col>18</xdr:col>
      <xdr:colOff>585928</xdr:colOff>
      <xdr:row>25</xdr:row>
      <xdr:rowOff>6702</xdr:rowOff>
    </xdr:to>
    <xdr:cxnSp macro="">
      <xdr:nvCxnSpPr>
        <xdr:cNvPr id="158" name="Straight Connector 157">
          <a:extLst>
            <a:ext uri="{FF2B5EF4-FFF2-40B4-BE49-F238E27FC236}">
              <a16:creationId xmlns:a16="http://schemas.microsoft.com/office/drawing/2014/main" id="{9D0A69C9-9F69-4E86-A96C-C4B0DB55BCEC}"/>
            </a:ext>
          </a:extLst>
        </xdr:cNvPr>
        <xdr:cNvCxnSpPr/>
      </xdr:nvCxnSpPr>
      <xdr:spPr>
        <a:xfrm flipV="1">
          <a:off x="10559481" y="436799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81981</xdr:colOff>
      <xdr:row>24</xdr:row>
      <xdr:rowOff>191437</xdr:rowOff>
    </xdr:from>
    <xdr:to>
      <xdr:col>20</xdr:col>
      <xdr:colOff>585928</xdr:colOff>
      <xdr:row>24</xdr:row>
      <xdr:rowOff>192594</xdr:rowOff>
    </xdr:to>
    <xdr:cxnSp macro="">
      <xdr:nvCxnSpPr>
        <xdr:cNvPr id="159" name="Straight Connector 158">
          <a:extLst>
            <a:ext uri="{FF2B5EF4-FFF2-40B4-BE49-F238E27FC236}">
              <a16:creationId xmlns:a16="http://schemas.microsoft.com/office/drawing/2014/main" id="{80546EFC-8E9B-4AD6-8B5F-98A62E1F06BB}"/>
            </a:ext>
          </a:extLst>
        </xdr:cNvPr>
        <xdr:cNvCxnSpPr/>
      </xdr:nvCxnSpPr>
      <xdr:spPr>
        <a:xfrm flipV="1">
          <a:off x="11778681" y="436338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81981</xdr:colOff>
      <xdr:row>25</xdr:row>
      <xdr:rowOff>5545</xdr:rowOff>
    </xdr:from>
    <xdr:to>
      <xdr:col>20</xdr:col>
      <xdr:colOff>585928</xdr:colOff>
      <xdr:row>25</xdr:row>
      <xdr:rowOff>6702</xdr:rowOff>
    </xdr:to>
    <xdr:cxnSp macro="">
      <xdr:nvCxnSpPr>
        <xdr:cNvPr id="160" name="Straight Connector 159">
          <a:extLst>
            <a:ext uri="{FF2B5EF4-FFF2-40B4-BE49-F238E27FC236}">
              <a16:creationId xmlns:a16="http://schemas.microsoft.com/office/drawing/2014/main" id="{FF785FF7-CD76-4696-9B48-B55E774ADBD6}"/>
            </a:ext>
          </a:extLst>
        </xdr:cNvPr>
        <xdr:cNvCxnSpPr/>
      </xdr:nvCxnSpPr>
      <xdr:spPr>
        <a:xfrm flipV="1">
          <a:off x="11778681" y="436799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81981</xdr:colOff>
      <xdr:row>27</xdr:row>
      <xdr:rowOff>191437</xdr:rowOff>
    </xdr:from>
    <xdr:to>
      <xdr:col>10</xdr:col>
      <xdr:colOff>585928</xdr:colOff>
      <xdr:row>27</xdr:row>
      <xdr:rowOff>192594</xdr:rowOff>
    </xdr:to>
    <xdr:cxnSp macro="">
      <xdr:nvCxnSpPr>
        <xdr:cNvPr id="161" name="Straight Connector 160">
          <a:extLst>
            <a:ext uri="{FF2B5EF4-FFF2-40B4-BE49-F238E27FC236}">
              <a16:creationId xmlns:a16="http://schemas.microsoft.com/office/drawing/2014/main" id="{5E8011CD-6C28-4E11-96DF-508D020C1937}"/>
            </a:ext>
          </a:extLst>
        </xdr:cNvPr>
        <xdr:cNvCxnSpPr/>
      </xdr:nvCxnSpPr>
      <xdr:spPr>
        <a:xfrm flipV="1">
          <a:off x="5682681" y="491583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81981</xdr:colOff>
      <xdr:row>28</xdr:row>
      <xdr:rowOff>5545</xdr:rowOff>
    </xdr:from>
    <xdr:to>
      <xdr:col>10</xdr:col>
      <xdr:colOff>585928</xdr:colOff>
      <xdr:row>28</xdr:row>
      <xdr:rowOff>6702</xdr:rowOff>
    </xdr:to>
    <xdr:cxnSp macro="">
      <xdr:nvCxnSpPr>
        <xdr:cNvPr id="162" name="Straight Connector 161">
          <a:extLst>
            <a:ext uri="{FF2B5EF4-FFF2-40B4-BE49-F238E27FC236}">
              <a16:creationId xmlns:a16="http://schemas.microsoft.com/office/drawing/2014/main" id="{7B991CAA-56CA-4872-AA7E-B4DDB41E2218}"/>
            </a:ext>
          </a:extLst>
        </xdr:cNvPr>
        <xdr:cNvCxnSpPr/>
      </xdr:nvCxnSpPr>
      <xdr:spPr>
        <a:xfrm flipV="1">
          <a:off x="5682681" y="492044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81981</xdr:colOff>
      <xdr:row>27</xdr:row>
      <xdr:rowOff>191437</xdr:rowOff>
    </xdr:from>
    <xdr:to>
      <xdr:col>12</xdr:col>
      <xdr:colOff>585928</xdr:colOff>
      <xdr:row>27</xdr:row>
      <xdr:rowOff>192594</xdr:rowOff>
    </xdr:to>
    <xdr:cxnSp macro="">
      <xdr:nvCxnSpPr>
        <xdr:cNvPr id="163" name="Straight Connector 162">
          <a:extLst>
            <a:ext uri="{FF2B5EF4-FFF2-40B4-BE49-F238E27FC236}">
              <a16:creationId xmlns:a16="http://schemas.microsoft.com/office/drawing/2014/main" id="{4971C916-71C6-4E55-B13A-381E289F3EA0}"/>
            </a:ext>
          </a:extLst>
        </xdr:cNvPr>
        <xdr:cNvCxnSpPr/>
      </xdr:nvCxnSpPr>
      <xdr:spPr>
        <a:xfrm flipV="1">
          <a:off x="6901881" y="491583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81981</xdr:colOff>
      <xdr:row>28</xdr:row>
      <xdr:rowOff>5545</xdr:rowOff>
    </xdr:from>
    <xdr:to>
      <xdr:col>12</xdr:col>
      <xdr:colOff>585928</xdr:colOff>
      <xdr:row>28</xdr:row>
      <xdr:rowOff>6702</xdr:rowOff>
    </xdr:to>
    <xdr:cxnSp macro="">
      <xdr:nvCxnSpPr>
        <xdr:cNvPr id="164" name="Straight Connector 163">
          <a:extLst>
            <a:ext uri="{FF2B5EF4-FFF2-40B4-BE49-F238E27FC236}">
              <a16:creationId xmlns:a16="http://schemas.microsoft.com/office/drawing/2014/main" id="{88E676D5-CD44-4232-9CF1-888238F2615E}"/>
            </a:ext>
          </a:extLst>
        </xdr:cNvPr>
        <xdr:cNvCxnSpPr/>
      </xdr:nvCxnSpPr>
      <xdr:spPr>
        <a:xfrm flipV="1">
          <a:off x="6901881" y="492044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81981</xdr:colOff>
      <xdr:row>27</xdr:row>
      <xdr:rowOff>191437</xdr:rowOff>
    </xdr:from>
    <xdr:to>
      <xdr:col>14</xdr:col>
      <xdr:colOff>585928</xdr:colOff>
      <xdr:row>27</xdr:row>
      <xdr:rowOff>192594</xdr:rowOff>
    </xdr:to>
    <xdr:cxnSp macro="">
      <xdr:nvCxnSpPr>
        <xdr:cNvPr id="165" name="Straight Connector 164">
          <a:extLst>
            <a:ext uri="{FF2B5EF4-FFF2-40B4-BE49-F238E27FC236}">
              <a16:creationId xmlns:a16="http://schemas.microsoft.com/office/drawing/2014/main" id="{BBEBDBD4-915B-45B3-A1FB-C18709D49AE1}"/>
            </a:ext>
          </a:extLst>
        </xdr:cNvPr>
        <xdr:cNvCxnSpPr/>
      </xdr:nvCxnSpPr>
      <xdr:spPr>
        <a:xfrm flipV="1">
          <a:off x="8121081" y="491583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81981</xdr:colOff>
      <xdr:row>28</xdr:row>
      <xdr:rowOff>5545</xdr:rowOff>
    </xdr:from>
    <xdr:to>
      <xdr:col>14</xdr:col>
      <xdr:colOff>585928</xdr:colOff>
      <xdr:row>28</xdr:row>
      <xdr:rowOff>6702</xdr:rowOff>
    </xdr:to>
    <xdr:cxnSp macro="">
      <xdr:nvCxnSpPr>
        <xdr:cNvPr id="166" name="Straight Connector 165">
          <a:extLst>
            <a:ext uri="{FF2B5EF4-FFF2-40B4-BE49-F238E27FC236}">
              <a16:creationId xmlns:a16="http://schemas.microsoft.com/office/drawing/2014/main" id="{7B5A8584-0DB0-4182-8C12-77318CC95D44}"/>
            </a:ext>
          </a:extLst>
        </xdr:cNvPr>
        <xdr:cNvCxnSpPr/>
      </xdr:nvCxnSpPr>
      <xdr:spPr>
        <a:xfrm flipV="1">
          <a:off x="8121081" y="492044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81981</xdr:colOff>
      <xdr:row>27</xdr:row>
      <xdr:rowOff>191437</xdr:rowOff>
    </xdr:from>
    <xdr:to>
      <xdr:col>16</xdr:col>
      <xdr:colOff>585928</xdr:colOff>
      <xdr:row>27</xdr:row>
      <xdr:rowOff>192594</xdr:rowOff>
    </xdr:to>
    <xdr:cxnSp macro="">
      <xdr:nvCxnSpPr>
        <xdr:cNvPr id="167" name="Straight Connector 166">
          <a:extLst>
            <a:ext uri="{FF2B5EF4-FFF2-40B4-BE49-F238E27FC236}">
              <a16:creationId xmlns:a16="http://schemas.microsoft.com/office/drawing/2014/main" id="{80181002-F085-4069-8DF3-E8A03A0D5D7E}"/>
            </a:ext>
          </a:extLst>
        </xdr:cNvPr>
        <xdr:cNvCxnSpPr/>
      </xdr:nvCxnSpPr>
      <xdr:spPr>
        <a:xfrm flipV="1">
          <a:off x="9340281" y="491583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81981</xdr:colOff>
      <xdr:row>28</xdr:row>
      <xdr:rowOff>5545</xdr:rowOff>
    </xdr:from>
    <xdr:to>
      <xdr:col>16</xdr:col>
      <xdr:colOff>585928</xdr:colOff>
      <xdr:row>28</xdr:row>
      <xdr:rowOff>6702</xdr:rowOff>
    </xdr:to>
    <xdr:cxnSp macro="">
      <xdr:nvCxnSpPr>
        <xdr:cNvPr id="168" name="Straight Connector 167">
          <a:extLst>
            <a:ext uri="{FF2B5EF4-FFF2-40B4-BE49-F238E27FC236}">
              <a16:creationId xmlns:a16="http://schemas.microsoft.com/office/drawing/2014/main" id="{54E61087-1DEE-4374-A774-E526941000FC}"/>
            </a:ext>
          </a:extLst>
        </xdr:cNvPr>
        <xdr:cNvCxnSpPr/>
      </xdr:nvCxnSpPr>
      <xdr:spPr>
        <a:xfrm flipV="1">
          <a:off x="9340281" y="492044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81981</xdr:colOff>
      <xdr:row>27</xdr:row>
      <xdr:rowOff>191437</xdr:rowOff>
    </xdr:from>
    <xdr:to>
      <xdr:col>18</xdr:col>
      <xdr:colOff>585928</xdr:colOff>
      <xdr:row>27</xdr:row>
      <xdr:rowOff>192594</xdr:rowOff>
    </xdr:to>
    <xdr:cxnSp macro="">
      <xdr:nvCxnSpPr>
        <xdr:cNvPr id="169" name="Straight Connector 168">
          <a:extLst>
            <a:ext uri="{FF2B5EF4-FFF2-40B4-BE49-F238E27FC236}">
              <a16:creationId xmlns:a16="http://schemas.microsoft.com/office/drawing/2014/main" id="{D4AD9E7C-4A22-4E58-8368-4A5030AEE4BE}"/>
            </a:ext>
          </a:extLst>
        </xdr:cNvPr>
        <xdr:cNvCxnSpPr/>
      </xdr:nvCxnSpPr>
      <xdr:spPr>
        <a:xfrm flipV="1">
          <a:off x="10559481" y="491583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81981</xdr:colOff>
      <xdr:row>28</xdr:row>
      <xdr:rowOff>5545</xdr:rowOff>
    </xdr:from>
    <xdr:to>
      <xdr:col>18</xdr:col>
      <xdr:colOff>585928</xdr:colOff>
      <xdr:row>28</xdr:row>
      <xdr:rowOff>6702</xdr:rowOff>
    </xdr:to>
    <xdr:cxnSp macro="">
      <xdr:nvCxnSpPr>
        <xdr:cNvPr id="170" name="Straight Connector 169">
          <a:extLst>
            <a:ext uri="{FF2B5EF4-FFF2-40B4-BE49-F238E27FC236}">
              <a16:creationId xmlns:a16="http://schemas.microsoft.com/office/drawing/2014/main" id="{D2F58F0D-F410-401B-BFED-467C3841FE32}"/>
            </a:ext>
          </a:extLst>
        </xdr:cNvPr>
        <xdr:cNvCxnSpPr/>
      </xdr:nvCxnSpPr>
      <xdr:spPr>
        <a:xfrm flipV="1">
          <a:off x="10559481" y="492044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81981</xdr:colOff>
      <xdr:row>27</xdr:row>
      <xdr:rowOff>191437</xdr:rowOff>
    </xdr:from>
    <xdr:to>
      <xdr:col>20</xdr:col>
      <xdr:colOff>585928</xdr:colOff>
      <xdr:row>27</xdr:row>
      <xdr:rowOff>192594</xdr:rowOff>
    </xdr:to>
    <xdr:cxnSp macro="">
      <xdr:nvCxnSpPr>
        <xdr:cNvPr id="171" name="Straight Connector 170">
          <a:extLst>
            <a:ext uri="{FF2B5EF4-FFF2-40B4-BE49-F238E27FC236}">
              <a16:creationId xmlns:a16="http://schemas.microsoft.com/office/drawing/2014/main" id="{DA953A98-6A59-4BE5-B6A0-6BFA1B514712}"/>
            </a:ext>
          </a:extLst>
        </xdr:cNvPr>
        <xdr:cNvCxnSpPr/>
      </xdr:nvCxnSpPr>
      <xdr:spPr>
        <a:xfrm flipV="1">
          <a:off x="11778681" y="491583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81981</xdr:colOff>
      <xdr:row>28</xdr:row>
      <xdr:rowOff>5545</xdr:rowOff>
    </xdr:from>
    <xdr:to>
      <xdr:col>20</xdr:col>
      <xdr:colOff>585928</xdr:colOff>
      <xdr:row>28</xdr:row>
      <xdr:rowOff>6702</xdr:rowOff>
    </xdr:to>
    <xdr:cxnSp macro="">
      <xdr:nvCxnSpPr>
        <xdr:cNvPr id="172" name="Straight Connector 171">
          <a:extLst>
            <a:ext uri="{FF2B5EF4-FFF2-40B4-BE49-F238E27FC236}">
              <a16:creationId xmlns:a16="http://schemas.microsoft.com/office/drawing/2014/main" id="{07C4CD48-B39B-4021-B662-63FCDA925256}"/>
            </a:ext>
          </a:extLst>
        </xdr:cNvPr>
        <xdr:cNvCxnSpPr/>
      </xdr:nvCxnSpPr>
      <xdr:spPr>
        <a:xfrm flipV="1">
          <a:off x="11778681" y="492044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58081</xdr:colOff>
      <xdr:row>44</xdr:row>
      <xdr:rowOff>162046</xdr:rowOff>
    </xdr:from>
    <xdr:to>
      <xdr:col>12</xdr:col>
      <xdr:colOff>562028</xdr:colOff>
      <xdr:row>44</xdr:row>
      <xdr:rowOff>163364</xdr:rowOff>
    </xdr:to>
    <xdr:cxnSp macro="">
      <xdr:nvCxnSpPr>
        <xdr:cNvPr id="173" name="Straight Connector 172">
          <a:extLst>
            <a:ext uri="{FF2B5EF4-FFF2-40B4-BE49-F238E27FC236}">
              <a16:creationId xmlns:a16="http://schemas.microsoft.com/office/drawing/2014/main" id="{BF0B71A7-02BD-4B99-97FD-D3B05E13FE7C}"/>
            </a:ext>
          </a:extLst>
        </xdr:cNvPr>
        <xdr:cNvCxnSpPr/>
      </xdr:nvCxnSpPr>
      <xdr:spPr>
        <a:xfrm flipV="1">
          <a:off x="6877981" y="78963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58081</xdr:colOff>
      <xdr:row>44</xdr:row>
      <xdr:rowOff>162046</xdr:rowOff>
    </xdr:from>
    <xdr:to>
      <xdr:col>14</xdr:col>
      <xdr:colOff>562028</xdr:colOff>
      <xdr:row>44</xdr:row>
      <xdr:rowOff>163364</xdr:rowOff>
    </xdr:to>
    <xdr:cxnSp macro="">
      <xdr:nvCxnSpPr>
        <xdr:cNvPr id="174" name="Straight Connector 173">
          <a:extLst>
            <a:ext uri="{FF2B5EF4-FFF2-40B4-BE49-F238E27FC236}">
              <a16:creationId xmlns:a16="http://schemas.microsoft.com/office/drawing/2014/main" id="{02A005DE-D90D-4627-86DE-FC5181BDFD86}"/>
            </a:ext>
          </a:extLst>
        </xdr:cNvPr>
        <xdr:cNvCxnSpPr/>
      </xdr:nvCxnSpPr>
      <xdr:spPr>
        <a:xfrm flipV="1">
          <a:off x="8097181" y="78963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58081</xdr:colOff>
      <xdr:row>44</xdr:row>
      <xdr:rowOff>162046</xdr:rowOff>
    </xdr:from>
    <xdr:to>
      <xdr:col>16</xdr:col>
      <xdr:colOff>562028</xdr:colOff>
      <xdr:row>44</xdr:row>
      <xdr:rowOff>163364</xdr:rowOff>
    </xdr:to>
    <xdr:cxnSp macro="">
      <xdr:nvCxnSpPr>
        <xdr:cNvPr id="175" name="Straight Connector 174">
          <a:extLst>
            <a:ext uri="{FF2B5EF4-FFF2-40B4-BE49-F238E27FC236}">
              <a16:creationId xmlns:a16="http://schemas.microsoft.com/office/drawing/2014/main" id="{0A2624C9-BC99-4AC4-97D8-11D67AACEAC0}"/>
            </a:ext>
          </a:extLst>
        </xdr:cNvPr>
        <xdr:cNvCxnSpPr/>
      </xdr:nvCxnSpPr>
      <xdr:spPr>
        <a:xfrm flipV="1">
          <a:off x="9316381" y="78963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58081</xdr:colOff>
      <xdr:row>44</xdr:row>
      <xdr:rowOff>162046</xdr:rowOff>
    </xdr:from>
    <xdr:to>
      <xdr:col>18</xdr:col>
      <xdr:colOff>562028</xdr:colOff>
      <xdr:row>44</xdr:row>
      <xdr:rowOff>163364</xdr:rowOff>
    </xdr:to>
    <xdr:cxnSp macro="">
      <xdr:nvCxnSpPr>
        <xdr:cNvPr id="176" name="Straight Connector 175">
          <a:extLst>
            <a:ext uri="{FF2B5EF4-FFF2-40B4-BE49-F238E27FC236}">
              <a16:creationId xmlns:a16="http://schemas.microsoft.com/office/drawing/2014/main" id="{9620B52E-CAF2-404E-9413-403DA51D7090}"/>
            </a:ext>
          </a:extLst>
        </xdr:cNvPr>
        <xdr:cNvCxnSpPr/>
      </xdr:nvCxnSpPr>
      <xdr:spPr>
        <a:xfrm flipV="1">
          <a:off x="10535581" y="78963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58081</xdr:colOff>
      <xdr:row>44</xdr:row>
      <xdr:rowOff>162046</xdr:rowOff>
    </xdr:from>
    <xdr:to>
      <xdr:col>20</xdr:col>
      <xdr:colOff>562028</xdr:colOff>
      <xdr:row>44</xdr:row>
      <xdr:rowOff>163364</xdr:rowOff>
    </xdr:to>
    <xdr:cxnSp macro="">
      <xdr:nvCxnSpPr>
        <xdr:cNvPr id="177" name="Straight Connector 176">
          <a:extLst>
            <a:ext uri="{FF2B5EF4-FFF2-40B4-BE49-F238E27FC236}">
              <a16:creationId xmlns:a16="http://schemas.microsoft.com/office/drawing/2014/main" id="{CC754EB7-5433-4075-BDF5-EC4E8222794E}"/>
            </a:ext>
          </a:extLst>
        </xdr:cNvPr>
        <xdr:cNvCxnSpPr/>
      </xdr:nvCxnSpPr>
      <xdr:spPr>
        <a:xfrm flipV="1">
          <a:off x="11754781" y="78963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58081</xdr:colOff>
      <xdr:row>53</xdr:row>
      <xdr:rowOff>159446</xdr:rowOff>
    </xdr:from>
    <xdr:to>
      <xdr:col>12</xdr:col>
      <xdr:colOff>562028</xdr:colOff>
      <xdr:row>53</xdr:row>
      <xdr:rowOff>160764</xdr:rowOff>
    </xdr:to>
    <xdr:cxnSp macro="">
      <xdr:nvCxnSpPr>
        <xdr:cNvPr id="178" name="Straight Connector 177">
          <a:extLst>
            <a:ext uri="{FF2B5EF4-FFF2-40B4-BE49-F238E27FC236}">
              <a16:creationId xmlns:a16="http://schemas.microsoft.com/office/drawing/2014/main" id="{FE8F352B-ED0C-4BD6-9D2E-EAAE218B2FF8}"/>
            </a:ext>
          </a:extLst>
        </xdr:cNvPr>
        <xdr:cNvCxnSpPr/>
      </xdr:nvCxnSpPr>
      <xdr:spPr>
        <a:xfrm flipV="1">
          <a:off x="6877981" y="93986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58081</xdr:colOff>
      <xdr:row>53</xdr:row>
      <xdr:rowOff>159446</xdr:rowOff>
    </xdr:from>
    <xdr:to>
      <xdr:col>14</xdr:col>
      <xdr:colOff>562028</xdr:colOff>
      <xdr:row>53</xdr:row>
      <xdr:rowOff>160764</xdr:rowOff>
    </xdr:to>
    <xdr:cxnSp macro="">
      <xdr:nvCxnSpPr>
        <xdr:cNvPr id="179" name="Straight Connector 178">
          <a:extLst>
            <a:ext uri="{FF2B5EF4-FFF2-40B4-BE49-F238E27FC236}">
              <a16:creationId xmlns:a16="http://schemas.microsoft.com/office/drawing/2014/main" id="{1DD195F2-FB5E-47FD-9108-63B69197056B}"/>
            </a:ext>
          </a:extLst>
        </xdr:cNvPr>
        <xdr:cNvCxnSpPr/>
      </xdr:nvCxnSpPr>
      <xdr:spPr>
        <a:xfrm flipV="1">
          <a:off x="8097181" y="93986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58081</xdr:colOff>
      <xdr:row>53</xdr:row>
      <xdr:rowOff>159446</xdr:rowOff>
    </xdr:from>
    <xdr:to>
      <xdr:col>16</xdr:col>
      <xdr:colOff>562028</xdr:colOff>
      <xdr:row>53</xdr:row>
      <xdr:rowOff>160764</xdr:rowOff>
    </xdr:to>
    <xdr:cxnSp macro="">
      <xdr:nvCxnSpPr>
        <xdr:cNvPr id="180" name="Straight Connector 179">
          <a:extLst>
            <a:ext uri="{FF2B5EF4-FFF2-40B4-BE49-F238E27FC236}">
              <a16:creationId xmlns:a16="http://schemas.microsoft.com/office/drawing/2014/main" id="{0BBE083A-268E-439C-9F2A-DC2DE236F33A}"/>
            </a:ext>
          </a:extLst>
        </xdr:cNvPr>
        <xdr:cNvCxnSpPr/>
      </xdr:nvCxnSpPr>
      <xdr:spPr>
        <a:xfrm flipV="1">
          <a:off x="9316381" y="93986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58081</xdr:colOff>
      <xdr:row>53</xdr:row>
      <xdr:rowOff>159446</xdr:rowOff>
    </xdr:from>
    <xdr:to>
      <xdr:col>18</xdr:col>
      <xdr:colOff>562028</xdr:colOff>
      <xdr:row>53</xdr:row>
      <xdr:rowOff>160764</xdr:rowOff>
    </xdr:to>
    <xdr:cxnSp macro="">
      <xdr:nvCxnSpPr>
        <xdr:cNvPr id="181" name="Straight Connector 180">
          <a:extLst>
            <a:ext uri="{FF2B5EF4-FFF2-40B4-BE49-F238E27FC236}">
              <a16:creationId xmlns:a16="http://schemas.microsoft.com/office/drawing/2014/main" id="{F9C583F4-C269-4293-97CB-CF0A34107682}"/>
            </a:ext>
          </a:extLst>
        </xdr:cNvPr>
        <xdr:cNvCxnSpPr/>
      </xdr:nvCxnSpPr>
      <xdr:spPr>
        <a:xfrm flipV="1">
          <a:off x="10535581" y="93986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58081</xdr:colOff>
      <xdr:row>53</xdr:row>
      <xdr:rowOff>159446</xdr:rowOff>
    </xdr:from>
    <xdr:to>
      <xdr:col>20</xdr:col>
      <xdr:colOff>562028</xdr:colOff>
      <xdr:row>53</xdr:row>
      <xdr:rowOff>160764</xdr:rowOff>
    </xdr:to>
    <xdr:cxnSp macro="">
      <xdr:nvCxnSpPr>
        <xdr:cNvPr id="182" name="Straight Connector 181">
          <a:extLst>
            <a:ext uri="{FF2B5EF4-FFF2-40B4-BE49-F238E27FC236}">
              <a16:creationId xmlns:a16="http://schemas.microsoft.com/office/drawing/2014/main" id="{D94A05F0-9E47-4527-987C-EF80A5A3FDE2}"/>
            </a:ext>
          </a:extLst>
        </xdr:cNvPr>
        <xdr:cNvCxnSpPr/>
      </xdr:nvCxnSpPr>
      <xdr:spPr>
        <a:xfrm flipV="1">
          <a:off x="11754781" y="93986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58081</xdr:colOff>
      <xdr:row>54</xdr:row>
      <xdr:rowOff>159446</xdr:rowOff>
    </xdr:from>
    <xdr:to>
      <xdr:col>10</xdr:col>
      <xdr:colOff>562028</xdr:colOff>
      <xdr:row>54</xdr:row>
      <xdr:rowOff>160764</xdr:rowOff>
    </xdr:to>
    <xdr:cxnSp macro="">
      <xdr:nvCxnSpPr>
        <xdr:cNvPr id="183" name="Straight Connector 182">
          <a:extLst>
            <a:ext uri="{FF2B5EF4-FFF2-40B4-BE49-F238E27FC236}">
              <a16:creationId xmlns:a16="http://schemas.microsoft.com/office/drawing/2014/main" id="{F0ACFBC5-F70A-423C-AB6A-DF9C15A29D61}"/>
            </a:ext>
          </a:extLst>
        </xdr:cNvPr>
        <xdr:cNvCxnSpPr/>
      </xdr:nvCxnSpPr>
      <xdr:spPr>
        <a:xfrm flipV="1">
          <a:off x="5658781" y="95828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58081</xdr:colOff>
      <xdr:row>54</xdr:row>
      <xdr:rowOff>161846</xdr:rowOff>
    </xdr:from>
    <xdr:to>
      <xdr:col>12</xdr:col>
      <xdr:colOff>562028</xdr:colOff>
      <xdr:row>54</xdr:row>
      <xdr:rowOff>163164</xdr:rowOff>
    </xdr:to>
    <xdr:cxnSp macro="">
      <xdr:nvCxnSpPr>
        <xdr:cNvPr id="184" name="Straight Connector 183">
          <a:extLst>
            <a:ext uri="{FF2B5EF4-FFF2-40B4-BE49-F238E27FC236}">
              <a16:creationId xmlns:a16="http://schemas.microsoft.com/office/drawing/2014/main" id="{17664B96-7A54-48C4-A737-C13883A42322}"/>
            </a:ext>
          </a:extLst>
        </xdr:cNvPr>
        <xdr:cNvCxnSpPr/>
      </xdr:nvCxnSpPr>
      <xdr:spPr>
        <a:xfrm flipV="1">
          <a:off x="6877981" y="95852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58081</xdr:colOff>
      <xdr:row>54</xdr:row>
      <xdr:rowOff>159446</xdr:rowOff>
    </xdr:from>
    <xdr:to>
      <xdr:col>12</xdr:col>
      <xdr:colOff>562028</xdr:colOff>
      <xdr:row>54</xdr:row>
      <xdr:rowOff>160764</xdr:rowOff>
    </xdr:to>
    <xdr:cxnSp macro="">
      <xdr:nvCxnSpPr>
        <xdr:cNvPr id="185" name="Straight Connector 184">
          <a:extLst>
            <a:ext uri="{FF2B5EF4-FFF2-40B4-BE49-F238E27FC236}">
              <a16:creationId xmlns:a16="http://schemas.microsoft.com/office/drawing/2014/main" id="{1EFACF65-A90D-4F1D-A43B-94E5EC729460}"/>
            </a:ext>
          </a:extLst>
        </xdr:cNvPr>
        <xdr:cNvCxnSpPr/>
      </xdr:nvCxnSpPr>
      <xdr:spPr>
        <a:xfrm flipV="1">
          <a:off x="6877981" y="95828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58081</xdr:colOff>
      <xdr:row>54</xdr:row>
      <xdr:rowOff>161846</xdr:rowOff>
    </xdr:from>
    <xdr:to>
      <xdr:col>14</xdr:col>
      <xdr:colOff>562028</xdr:colOff>
      <xdr:row>54</xdr:row>
      <xdr:rowOff>163164</xdr:rowOff>
    </xdr:to>
    <xdr:cxnSp macro="">
      <xdr:nvCxnSpPr>
        <xdr:cNvPr id="186" name="Straight Connector 185">
          <a:extLst>
            <a:ext uri="{FF2B5EF4-FFF2-40B4-BE49-F238E27FC236}">
              <a16:creationId xmlns:a16="http://schemas.microsoft.com/office/drawing/2014/main" id="{8E860607-E1CE-46D6-AB0C-7444FCDFB29C}"/>
            </a:ext>
          </a:extLst>
        </xdr:cNvPr>
        <xdr:cNvCxnSpPr/>
      </xdr:nvCxnSpPr>
      <xdr:spPr>
        <a:xfrm flipV="1">
          <a:off x="8097181" y="95852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58081</xdr:colOff>
      <xdr:row>54</xdr:row>
      <xdr:rowOff>159446</xdr:rowOff>
    </xdr:from>
    <xdr:to>
      <xdr:col>14</xdr:col>
      <xdr:colOff>562028</xdr:colOff>
      <xdr:row>54</xdr:row>
      <xdr:rowOff>160764</xdr:rowOff>
    </xdr:to>
    <xdr:cxnSp macro="">
      <xdr:nvCxnSpPr>
        <xdr:cNvPr id="187" name="Straight Connector 186">
          <a:extLst>
            <a:ext uri="{FF2B5EF4-FFF2-40B4-BE49-F238E27FC236}">
              <a16:creationId xmlns:a16="http://schemas.microsoft.com/office/drawing/2014/main" id="{4DB32455-A4DF-4B07-BD9F-BF5A96D23799}"/>
            </a:ext>
          </a:extLst>
        </xdr:cNvPr>
        <xdr:cNvCxnSpPr/>
      </xdr:nvCxnSpPr>
      <xdr:spPr>
        <a:xfrm flipV="1">
          <a:off x="8097181" y="95828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58081</xdr:colOff>
      <xdr:row>54</xdr:row>
      <xdr:rowOff>161846</xdr:rowOff>
    </xdr:from>
    <xdr:to>
      <xdr:col>16</xdr:col>
      <xdr:colOff>562028</xdr:colOff>
      <xdr:row>54</xdr:row>
      <xdr:rowOff>163164</xdr:rowOff>
    </xdr:to>
    <xdr:cxnSp macro="">
      <xdr:nvCxnSpPr>
        <xdr:cNvPr id="188" name="Straight Connector 187">
          <a:extLst>
            <a:ext uri="{FF2B5EF4-FFF2-40B4-BE49-F238E27FC236}">
              <a16:creationId xmlns:a16="http://schemas.microsoft.com/office/drawing/2014/main" id="{B21CE980-29F8-4ED2-8494-E41E8CB23EDD}"/>
            </a:ext>
          </a:extLst>
        </xdr:cNvPr>
        <xdr:cNvCxnSpPr/>
      </xdr:nvCxnSpPr>
      <xdr:spPr>
        <a:xfrm flipV="1">
          <a:off x="9316381" y="95852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58081</xdr:colOff>
      <xdr:row>54</xdr:row>
      <xdr:rowOff>159446</xdr:rowOff>
    </xdr:from>
    <xdr:to>
      <xdr:col>16</xdr:col>
      <xdr:colOff>562028</xdr:colOff>
      <xdr:row>54</xdr:row>
      <xdr:rowOff>160764</xdr:rowOff>
    </xdr:to>
    <xdr:cxnSp macro="">
      <xdr:nvCxnSpPr>
        <xdr:cNvPr id="189" name="Straight Connector 188">
          <a:extLst>
            <a:ext uri="{FF2B5EF4-FFF2-40B4-BE49-F238E27FC236}">
              <a16:creationId xmlns:a16="http://schemas.microsoft.com/office/drawing/2014/main" id="{9453BC36-C8EE-4E9F-9860-907AB2CB26F4}"/>
            </a:ext>
          </a:extLst>
        </xdr:cNvPr>
        <xdr:cNvCxnSpPr/>
      </xdr:nvCxnSpPr>
      <xdr:spPr>
        <a:xfrm flipV="1">
          <a:off x="9316381" y="95828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58081</xdr:colOff>
      <xdr:row>54</xdr:row>
      <xdr:rowOff>161846</xdr:rowOff>
    </xdr:from>
    <xdr:to>
      <xdr:col>18</xdr:col>
      <xdr:colOff>562028</xdr:colOff>
      <xdr:row>54</xdr:row>
      <xdr:rowOff>163164</xdr:rowOff>
    </xdr:to>
    <xdr:cxnSp macro="">
      <xdr:nvCxnSpPr>
        <xdr:cNvPr id="190" name="Straight Connector 189">
          <a:extLst>
            <a:ext uri="{FF2B5EF4-FFF2-40B4-BE49-F238E27FC236}">
              <a16:creationId xmlns:a16="http://schemas.microsoft.com/office/drawing/2014/main" id="{40EAD5AD-48C5-4CA6-9593-A36184D187EF}"/>
            </a:ext>
          </a:extLst>
        </xdr:cNvPr>
        <xdr:cNvCxnSpPr/>
      </xdr:nvCxnSpPr>
      <xdr:spPr>
        <a:xfrm flipV="1">
          <a:off x="10535581" y="95852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58081</xdr:colOff>
      <xdr:row>54</xdr:row>
      <xdr:rowOff>159446</xdr:rowOff>
    </xdr:from>
    <xdr:to>
      <xdr:col>18</xdr:col>
      <xdr:colOff>562028</xdr:colOff>
      <xdr:row>54</xdr:row>
      <xdr:rowOff>160764</xdr:rowOff>
    </xdr:to>
    <xdr:cxnSp macro="">
      <xdr:nvCxnSpPr>
        <xdr:cNvPr id="191" name="Straight Connector 190">
          <a:extLst>
            <a:ext uri="{FF2B5EF4-FFF2-40B4-BE49-F238E27FC236}">
              <a16:creationId xmlns:a16="http://schemas.microsoft.com/office/drawing/2014/main" id="{551A1DA7-2257-4F2D-A53C-DFE1AF6394FE}"/>
            </a:ext>
          </a:extLst>
        </xdr:cNvPr>
        <xdr:cNvCxnSpPr/>
      </xdr:nvCxnSpPr>
      <xdr:spPr>
        <a:xfrm flipV="1">
          <a:off x="10535581" y="95828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58081</xdr:colOff>
      <xdr:row>54</xdr:row>
      <xdr:rowOff>161846</xdr:rowOff>
    </xdr:from>
    <xdr:to>
      <xdr:col>20</xdr:col>
      <xdr:colOff>562028</xdr:colOff>
      <xdr:row>54</xdr:row>
      <xdr:rowOff>163164</xdr:rowOff>
    </xdr:to>
    <xdr:cxnSp macro="">
      <xdr:nvCxnSpPr>
        <xdr:cNvPr id="192" name="Straight Connector 191">
          <a:extLst>
            <a:ext uri="{FF2B5EF4-FFF2-40B4-BE49-F238E27FC236}">
              <a16:creationId xmlns:a16="http://schemas.microsoft.com/office/drawing/2014/main" id="{01AA4118-07AC-41A1-8AE5-68B8498C1E00}"/>
            </a:ext>
          </a:extLst>
        </xdr:cNvPr>
        <xdr:cNvCxnSpPr/>
      </xdr:nvCxnSpPr>
      <xdr:spPr>
        <a:xfrm flipV="1">
          <a:off x="11754781" y="95852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58081</xdr:colOff>
      <xdr:row>54</xdr:row>
      <xdr:rowOff>159446</xdr:rowOff>
    </xdr:from>
    <xdr:to>
      <xdr:col>20</xdr:col>
      <xdr:colOff>562028</xdr:colOff>
      <xdr:row>54</xdr:row>
      <xdr:rowOff>160764</xdr:rowOff>
    </xdr:to>
    <xdr:cxnSp macro="">
      <xdr:nvCxnSpPr>
        <xdr:cNvPr id="193" name="Straight Connector 192">
          <a:extLst>
            <a:ext uri="{FF2B5EF4-FFF2-40B4-BE49-F238E27FC236}">
              <a16:creationId xmlns:a16="http://schemas.microsoft.com/office/drawing/2014/main" id="{021DC8AE-B857-47A8-9AFD-0266A18973FF}"/>
            </a:ext>
          </a:extLst>
        </xdr:cNvPr>
        <xdr:cNvCxnSpPr/>
      </xdr:nvCxnSpPr>
      <xdr:spPr>
        <a:xfrm flipV="1">
          <a:off x="11754781" y="95828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58081</xdr:colOff>
      <xdr:row>55</xdr:row>
      <xdr:rowOff>4246</xdr:rowOff>
    </xdr:from>
    <xdr:to>
      <xdr:col>12</xdr:col>
      <xdr:colOff>562028</xdr:colOff>
      <xdr:row>55</xdr:row>
      <xdr:rowOff>5564</xdr:rowOff>
    </xdr:to>
    <xdr:cxnSp macro="">
      <xdr:nvCxnSpPr>
        <xdr:cNvPr id="194" name="Straight Connector 193">
          <a:extLst>
            <a:ext uri="{FF2B5EF4-FFF2-40B4-BE49-F238E27FC236}">
              <a16:creationId xmlns:a16="http://schemas.microsoft.com/office/drawing/2014/main" id="{0A378608-CC4B-4B12-9794-F38021F1B1C2}"/>
            </a:ext>
          </a:extLst>
        </xdr:cNvPr>
        <xdr:cNvCxnSpPr/>
      </xdr:nvCxnSpPr>
      <xdr:spPr>
        <a:xfrm flipV="1">
          <a:off x="6877981" y="96117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58081</xdr:colOff>
      <xdr:row>55</xdr:row>
      <xdr:rowOff>4246</xdr:rowOff>
    </xdr:from>
    <xdr:to>
      <xdr:col>14</xdr:col>
      <xdr:colOff>562028</xdr:colOff>
      <xdr:row>55</xdr:row>
      <xdr:rowOff>5564</xdr:rowOff>
    </xdr:to>
    <xdr:cxnSp macro="">
      <xdr:nvCxnSpPr>
        <xdr:cNvPr id="195" name="Straight Connector 194">
          <a:extLst>
            <a:ext uri="{FF2B5EF4-FFF2-40B4-BE49-F238E27FC236}">
              <a16:creationId xmlns:a16="http://schemas.microsoft.com/office/drawing/2014/main" id="{EC02DACF-A486-4340-977E-5D540C136070}"/>
            </a:ext>
          </a:extLst>
        </xdr:cNvPr>
        <xdr:cNvCxnSpPr/>
      </xdr:nvCxnSpPr>
      <xdr:spPr>
        <a:xfrm flipV="1">
          <a:off x="8097181" y="96117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58081</xdr:colOff>
      <xdr:row>55</xdr:row>
      <xdr:rowOff>4246</xdr:rowOff>
    </xdr:from>
    <xdr:to>
      <xdr:col>16</xdr:col>
      <xdr:colOff>562028</xdr:colOff>
      <xdr:row>55</xdr:row>
      <xdr:rowOff>5564</xdr:rowOff>
    </xdr:to>
    <xdr:cxnSp macro="">
      <xdr:nvCxnSpPr>
        <xdr:cNvPr id="196" name="Straight Connector 195">
          <a:extLst>
            <a:ext uri="{FF2B5EF4-FFF2-40B4-BE49-F238E27FC236}">
              <a16:creationId xmlns:a16="http://schemas.microsoft.com/office/drawing/2014/main" id="{C923EC92-4907-4AF8-9A21-AED54DD044B2}"/>
            </a:ext>
          </a:extLst>
        </xdr:cNvPr>
        <xdr:cNvCxnSpPr/>
      </xdr:nvCxnSpPr>
      <xdr:spPr>
        <a:xfrm flipV="1">
          <a:off x="9316381" y="96117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58081</xdr:colOff>
      <xdr:row>55</xdr:row>
      <xdr:rowOff>4246</xdr:rowOff>
    </xdr:from>
    <xdr:to>
      <xdr:col>18</xdr:col>
      <xdr:colOff>562028</xdr:colOff>
      <xdr:row>55</xdr:row>
      <xdr:rowOff>5564</xdr:rowOff>
    </xdr:to>
    <xdr:cxnSp macro="">
      <xdr:nvCxnSpPr>
        <xdr:cNvPr id="197" name="Straight Connector 196">
          <a:extLst>
            <a:ext uri="{FF2B5EF4-FFF2-40B4-BE49-F238E27FC236}">
              <a16:creationId xmlns:a16="http://schemas.microsoft.com/office/drawing/2014/main" id="{FE063435-0F81-4F46-8D04-071ABA1E0034}"/>
            </a:ext>
          </a:extLst>
        </xdr:cNvPr>
        <xdr:cNvCxnSpPr/>
      </xdr:nvCxnSpPr>
      <xdr:spPr>
        <a:xfrm flipV="1">
          <a:off x="10535581" y="96117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58081</xdr:colOff>
      <xdr:row>55</xdr:row>
      <xdr:rowOff>4246</xdr:rowOff>
    </xdr:from>
    <xdr:to>
      <xdr:col>20</xdr:col>
      <xdr:colOff>562028</xdr:colOff>
      <xdr:row>55</xdr:row>
      <xdr:rowOff>5564</xdr:rowOff>
    </xdr:to>
    <xdr:cxnSp macro="">
      <xdr:nvCxnSpPr>
        <xdr:cNvPr id="198" name="Straight Connector 197">
          <a:extLst>
            <a:ext uri="{FF2B5EF4-FFF2-40B4-BE49-F238E27FC236}">
              <a16:creationId xmlns:a16="http://schemas.microsoft.com/office/drawing/2014/main" id="{044A7438-51B0-46AA-94B4-22F9524ADC51}"/>
            </a:ext>
          </a:extLst>
        </xdr:cNvPr>
        <xdr:cNvCxnSpPr/>
      </xdr:nvCxnSpPr>
      <xdr:spPr>
        <a:xfrm flipV="1">
          <a:off x="11754781" y="96117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69448</xdr:colOff>
      <xdr:row>20</xdr:row>
      <xdr:rowOff>166161</xdr:rowOff>
    </xdr:from>
    <xdr:to>
      <xdr:col>26</xdr:col>
      <xdr:colOff>709528</xdr:colOff>
      <xdr:row>20</xdr:row>
      <xdr:rowOff>166161</xdr:rowOff>
    </xdr:to>
    <xdr:cxnSp macro="">
      <xdr:nvCxnSpPr>
        <xdr:cNvPr id="199" name="Straight Connector 198">
          <a:extLst>
            <a:ext uri="{FF2B5EF4-FFF2-40B4-BE49-F238E27FC236}">
              <a16:creationId xmlns:a16="http://schemas.microsoft.com/office/drawing/2014/main" id="{7D5574A4-77E3-4028-90CF-2E400CA183EA}"/>
            </a:ext>
          </a:extLst>
        </xdr:cNvPr>
        <xdr:cNvCxnSpPr/>
      </xdr:nvCxnSpPr>
      <xdr:spPr>
        <a:xfrm>
          <a:off x="16642948" y="3607861"/>
          <a:ext cx="5765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69448</xdr:colOff>
      <xdr:row>20</xdr:row>
      <xdr:rowOff>166161</xdr:rowOff>
    </xdr:from>
    <xdr:to>
      <xdr:col>26</xdr:col>
      <xdr:colOff>709528</xdr:colOff>
      <xdr:row>20</xdr:row>
      <xdr:rowOff>166161</xdr:rowOff>
    </xdr:to>
    <xdr:cxnSp macro="">
      <xdr:nvCxnSpPr>
        <xdr:cNvPr id="200" name="Straight Connector 199">
          <a:extLst>
            <a:ext uri="{FF2B5EF4-FFF2-40B4-BE49-F238E27FC236}">
              <a16:creationId xmlns:a16="http://schemas.microsoft.com/office/drawing/2014/main" id="{A8AF6523-9E8A-4CF3-9392-9799904DA592}"/>
            </a:ext>
          </a:extLst>
        </xdr:cNvPr>
        <xdr:cNvCxnSpPr/>
      </xdr:nvCxnSpPr>
      <xdr:spPr>
        <a:xfrm>
          <a:off x="16642948" y="3607861"/>
          <a:ext cx="5765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71627</xdr:colOff>
      <xdr:row>34</xdr:row>
      <xdr:rowOff>164113</xdr:rowOff>
    </xdr:from>
    <xdr:to>
      <xdr:col>26</xdr:col>
      <xdr:colOff>711707</xdr:colOff>
      <xdr:row>34</xdr:row>
      <xdr:rowOff>164113</xdr:rowOff>
    </xdr:to>
    <xdr:cxnSp macro="">
      <xdr:nvCxnSpPr>
        <xdr:cNvPr id="201" name="Straight Connector 200">
          <a:extLst>
            <a:ext uri="{FF2B5EF4-FFF2-40B4-BE49-F238E27FC236}">
              <a16:creationId xmlns:a16="http://schemas.microsoft.com/office/drawing/2014/main" id="{42C0DAAA-340D-4D8F-8953-E35B6C2F580E}"/>
            </a:ext>
          </a:extLst>
        </xdr:cNvPr>
        <xdr:cNvCxnSpPr/>
      </xdr:nvCxnSpPr>
      <xdr:spPr>
        <a:xfrm>
          <a:off x="16645127" y="6196613"/>
          <a:ext cx="5765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81638</xdr:colOff>
      <xdr:row>11</xdr:row>
      <xdr:rowOff>169534</xdr:rowOff>
    </xdr:from>
    <xdr:to>
      <xdr:col>20</xdr:col>
      <xdr:colOff>585586</xdr:colOff>
      <xdr:row>11</xdr:row>
      <xdr:rowOff>170691</xdr:rowOff>
    </xdr:to>
    <xdr:cxnSp macro="">
      <xdr:nvCxnSpPr>
        <xdr:cNvPr id="202" name="Straight Connector 201">
          <a:extLst>
            <a:ext uri="{FF2B5EF4-FFF2-40B4-BE49-F238E27FC236}">
              <a16:creationId xmlns:a16="http://schemas.microsoft.com/office/drawing/2014/main" id="{A8414C62-2629-4177-B76F-6995AC17220A}"/>
            </a:ext>
          </a:extLst>
        </xdr:cNvPr>
        <xdr:cNvCxnSpPr/>
      </xdr:nvCxnSpPr>
      <xdr:spPr>
        <a:xfrm flipV="1">
          <a:off x="11778338" y="208088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74332</xdr:colOff>
      <xdr:row>64</xdr:row>
      <xdr:rowOff>159393</xdr:rowOff>
    </xdr:from>
    <xdr:to>
      <xdr:col>25</xdr:col>
      <xdr:colOff>714412</xdr:colOff>
      <xdr:row>64</xdr:row>
      <xdr:rowOff>159393</xdr:rowOff>
    </xdr:to>
    <xdr:cxnSp macro="">
      <xdr:nvCxnSpPr>
        <xdr:cNvPr id="203" name="Straight Connector 202">
          <a:extLst>
            <a:ext uri="{FF2B5EF4-FFF2-40B4-BE49-F238E27FC236}">
              <a16:creationId xmlns:a16="http://schemas.microsoft.com/office/drawing/2014/main" id="{979A24D6-6CCC-4661-B45A-97E354AB1050}"/>
            </a:ext>
          </a:extLst>
        </xdr:cNvPr>
        <xdr:cNvCxnSpPr/>
      </xdr:nvCxnSpPr>
      <xdr:spPr>
        <a:xfrm>
          <a:off x="15885832" y="11303643"/>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55843</xdr:colOff>
      <xdr:row>26</xdr:row>
      <xdr:rowOff>139492</xdr:rowOff>
    </xdr:from>
    <xdr:to>
      <xdr:col>4</xdr:col>
      <xdr:colOff>541946</xdr:colOff>
      <xdr:row>26</xdr:row>
      <xdr:rowOff>139492</xdr:rowOff>
    </xdr:to>
    <xdr:cxnSp macro="">
      <xdr:nvCxnSpPr>
        <xdr:cNvPr id="204" name="Straight Connector 203">
          <a:extLst>
            <a:ext uri="{FF2B5EF4-FFF2-40B4-BE49-F238E27FC236}">
              <a16:creationId xmlns:a16="http://schemas.microsoft.com/office/drawing/2014/main" id="{A51675B1-5AAE-40B2-BEF9-9CE21CBCE903}"/>
            </a:ext>
          </a:extLst>
        </xdr:cNvPr>
        <xdr:cNvCxnSpPr/>
      </xdr:nvCxnSpPr>
      <xdr:spPr>
        <a:xfrm>
          <a:off x="2678393" y="4686092"/>
          <a:ext cx="486103"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55843</xdr:colOff>
      <xdr:row>32</xdr:row>
      <xdr:rowOff>169413</xdr:rowOff>
    </xdr:from>
    <xdr:to>
      <xdr:col>4</xdr:col>
      <xdr:colOff>541946</xdr:colOff>
      <xdr:row>32</xdr:row>
      <xdr:rowOff>169413</xdr:rowOff>
    </xdr:to>
    <xdr:cxnSp macro="">
      <xdr:nvCxnSpPr>
        <xdr:cNvPr id="205" name="Straight Connector 204">
          <a:extLst>
            <a:ext uri="{FF2B5EF4-FFF2-40B4-BE49-F238E27FC236}">
              <a16:creationId xmlns:a16="http://schemas.microsoft.com/office/drawing/2014/main" id="{605DAD53-BF20-480F-8899-C923F439CB57}"/>
            </a:ext>
          </a:extLst>
        </xdr:cNvPr>
        <xdr:cNvCxnSpPr/>
      </xdr:nvCxnSpPr>
      <xdr:spPr>
        <a:xfrm>
          <a:off x="2678393" y="5833613"/>
          <a:ext cx="486103"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55843</xdr:colOff>
      <xdr:row>33</xdr:row>
      <xdr:rowOff>167269</xdr:rowOff>
    </xdr:from>
    <xdr:to>
      <xdr:col>4</xdr:col>
      <xdr:colOff>541946</xdr:colOff>
      <xdr:row>33</xdr:row>
      <xdr:rowOff>167269</xdr:rowOff>
    </xdr:to>
    <xdr:cxnSp macro="">
      <xdr:nvCxnSpPr>
        <xdr:cNvPr id="206" name="Straight Connector 205">
          <a:extLst>
            <a:ext uri="{FF2B5EF4-FFF2-40B4-BE49-F238E27FC236}">
              <a16:creationId xmlns:a16="http://schemas.microsoft.com/office/drawing/2014/main" id="{6DC75D76-2613-44F3-B609-6D68BCDAB325}"/>
            </a:ext>
          </a:extLst>
        </xdr:cNvPr>
        <xdr:cNvCxnSpPr/>
      </xdr:nvCxnSpPr>
      <xdr:spPr>
        <a:xfrm>
          <a:off x="2678393" y="6015619"/>
          <a:ext cx="486103"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25099</xdr:colOff>
      <xdr:row>38</xdr:row>
      <xdr:rowOff>175830</xdr:rowOff>
    </xdr:from>
    <xdr:to>
      <xdr:col>2</xdr:col>
      <xdr:colOff>665179</xdr:colOff>
      <xdr:row>38</xdr:row>
      <xdr:rowOff>175830</xdr:rowOff>
    </xdr:to>
    <xdr:cxnSp macro="">
      <xdr:nvCxnSpPr>
        <xdr:cNvPr id="207" name="Straight Connector 206">
          <a:extLst>
            <a:ext uri="{FF2B5EF4-FFF2-40B4-BE49-F238E27FC236}">
              <a16:creationId xmlns:a16="http://schemas.microsoft.com/office/drawing/2014/main" id="{FE367067-B8C7-470B-BA6C-056A95FFEB62}"/>
            </a:ext>
          </a:extLst>
        </xdr:cNvPr>
        <xdr:cNvCxnSpPr/>
      </xdr:nvCxnSpPr>
      <xdr:spPr>
        <a:xfrm>
          <a:off x="1244299" y="6805230"/>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26112</xdr:colOff>
      <xdr:row>38</xdr:row>
      <xdr:rowOff>170983</xdr:rowOff>
    </xdr:from>
    <xdr:to>
      <xdr:col>3</xdr:col>
      <xdr:colOff>593040</xdr:colOff>
      <xdr:row>38</xdr:row>
      <xdr:rowOff>170983</xdr:rowOff>
    </xdr:to>
    <xdr:cxnSp macro="">
      <xdr:nvCxnSpPr>
        <xdr:cNvPr id="208" name="Straight Connector 207">
          <a:extLst>
            <a:ext uri="{FF2B5EF4-FFF2-40B4-BE49-F238E27FC236}">
              <a16:creationId xmlns:a16="http://schemas.microsoft.com/office/drawing/2014/main" id="{1330B6F9-FE2C-4C98-88B9-5C4F990E1CE9}"/>
            </a:ext>
          </a:extLst>
        </xdr:cNvPr>
        <xdr:cNvCxnSpPr/>
      </xdr:nvCxnSpPr>
      <xdr:spPr>
        <a:xfrm>
          <a:off x="1975562" y="6800383"/>
          <a:ext cx="566928"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22202</xdr:colOff>
      <xdr:row>38</xdr:row>
      <xdr:rowOff>170983</xdr:rowOff>
    </xdr:from>
    <xdr:to>
      <xdr:col>4</xdr:col>
      <xdr:colOff>589130</xdr:colOff>
      <xdr:row>38</xdr:row>
      <xdr:rowOff>170983</xdr:rowOff>
    </xdr:to>
    <xdr:cxnSp macro="">
      <xdr:nvCxnSpPr>
        <xdr:cNvPr id="209" name="Straight Connector 208">
          <a:extLst>
            <a:ext uri="{FF2B5EF4-FFF2-40B4-BE49-F238E27FC236}">
              <a16:creationId xmlns:a16="http://schemas.microsoft.com/office/drawing/2014/main" id="{70BC278E-64D1-46A9-B5E1-95BA4BDA2A67}"/>
            </a:ext>
          </a:extLst>
        </xdr:cNvPr>
        <xdr:cNvCxnSpPr/>
      </xdr:nvCxnSpPr>
      <xdr:spPr>
        <a:xfrm>
          <a:off x="2644752" y="6800383"/>
          <a:ext cx="516128"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30719</xdr:colOff>
      <xdr:row>65</xdr:row>
      <xdr:rowOff>145082</xdr:rowOff>
    </xdr:from>
    <xdr:to>
      <xdr:col>2</xdr:col>
      <xdr:colOff>670799</xdr:colOff>
      <xdr:row>65</xdr:row>
      <xdr:rowOff>145082</xdr:rowOff>
    </xdr:to>
    <xdr:cxnSp macro="">
      <xdr:nvCxnSpPr>
        <xdr:cNvPr id="210" name="Straight Connector 209">
          <a:extLst>
            <a:ext uri="{FF2B5EF4-FFF2-40B4-BE49-F238E27FC236}">
              <a16:creationId xmlns:a16="http://schemas.microsoft.com/office/drawing/2014/main" id="{8BA93DAA-BDD0-4D59-9275-C392D9701663}"/>
            </a:ext>
          </a:extLst>
        </xdr:cNvPr>
        <xdr:cNvCxnSpPr/>
      </xdr:nvCxnSpPr>
      <xdr:spPr>
        <a:xfrm>
          <a:off x="1249919" y="11473482"/>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26112</xdr:colOff>
      <xdr:row>65</xdr:row>
      <xdr:rowOff>145082</xdr:rowOff>
    </xdr:from>
    <xdr:to>
      <xdr:col>3</xdr:col>
      <xdr:colOff>593040</xdr:colOff>
      <xdr:row>65</xdr:row>
      <xdr:rowOff>145082</xdr:rowOff>
    </xdr:to>
    <xdr:cxnSp macro="">
      <xdr:nvCxnSpPr>
        <xdr:cNvPr id="211" name="Straight Connector 210">
          <a:extLst>
            <a:ext uri="{FF2B5EF4-FFF2-40B4-BE49-F238E27FC236}">
              <a16:creationId xmlns:a16="http://schemas.microsoft.com/office/drawing/2014/main" id="{EE578E3E-F025-4553-9704-84664C53DDCE}"/>
            </a:ext>
          </a:extLst>
        </xdr:cNvPr>
        <xdr:cNvCxnSpPr/>
      </xdr:nvCxnSpPr>
      <xdr:spPr>
        <a:xfrm>
          <a:off x="1975562" y="11473482"/>
          <a:ext cx="566928"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22202</xdr:colOff>
      <xdr:row>65</xdr:row>
      <xdr:rowOff>145082</xdr:rowOff>
    </xdr:from>
    <xdr:to>
      <xdr:col>4</xdr:col>
      <xdr:colOff>589130</xdr:colOff>
      <xdr:row>65</xdr:row>
      <xdr:rowOff>145082</xdr:rowOff>
    </xdr:to>
    <xdr:cxnSp macro="">
      <xdr:nvCxnSpPr>
        <xdr:cNvPr id="212" name="Straight Connector 211">
          <a:extLst>
            <a:ext uri="{FF2B5EF4-FFF2-40B4-BE49-F238E27FC236}">
              <a16:creationId xmlns:a16="http://schemas.microsoft.com/office/drawing/2014/main" id="{36B43430-4FC2-4F76-B9D1-239F25682891}"/>
            </a:ext>
          </a:extLst>
        </xdr:cNvPr>
        <xdr:cNvCxnSpPr/>
      </xdr:nvCxnSpPr>
      <xdr:spPr>
        <a:xfrm>
          <a:off x="2644752" y="11473482"/>
          <a:ext cx="516128"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81981</xdr:colOff>
      <xdr:row>11</xdr:row>
      <xdr:rowOff>169534</xdr:rowOff>
    </xdr:from>
    <xdr:to>
      <xdr:col>10</xdr:col>
      <xdr:colOff>585928</xdr:colOff>
      <xdr:row>11</xdr:row>
      <xdr:rowOff>170691</xdr:rowOff>
    </xdr:to>
    <xdr:cxnSp macro="">
      <xdr:nvCxnSpPr>
        <xdr:cNvPr id="213" name="Straight Connector 212">
          <a:extLst>
            <a:ext uri="{FF2B5EF4-FFF2-40B4-BE49-F238E27FC236}">
              <a16:creationId xmlns:a16="http://schemas.microsoft.com/office/drawing/2014/main" id="{98F09762-05CD-40D0-8C7E-17BF106DCFE6}"/>
            </a:ext>
          </a:extLst>
        </xdr:cNvPr>
        <xdr:cNvCxnSpPr/>
      </xdr:nvCxnSpPr>
      <xdr:spPr>
        <a:xfrm flipV="1">
          <a:off x="5682681" y="2080884"/>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84473</xdr:colOff>
      <xdr:row>11</xdr:row>
      <xdr:rowOff>169534</xdr:rowOff>
    </xdr:from>
    <xdr:to>
      <xdr:col>12</xdr:col>
      <xdr:colOff>588420</xdr:colOff>
      <xdr:row>11</xdr:row>
      <xdr:rowOff>170691</xdr:rowOff>
    </xdr:to>
    <xdr:cxnSp macro="">
      <xdr:nvCxnSpPr>
        <xdr:cNvPr id="214" name="Straight Connector 213">
          <a:extLst>
            <a:ext uri="{FF2B5EF4-FFF2-40B4-BE49-F238E27FC236}">
              <a16:creationId xmlns:a16="http://schemas.microsoft.com/office/drawing/2014/main" id="{87CE4355-A233-46D3-BE6D-FE3AA7F33299}"/>
            </a:ext>
          </a:extLst>
        </xdr:cNvPr>
        <xdr:cNvCxnSpPr/>
      </xdr:nvCxnSpPr>
      <xdr:spPr>
        <a:xfrm flipV="1">
          <a:off x="6904373" y="2080884"/>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82797</xdr:colOff>
      <xdr:row>11</xdr:row>
      <xdr:rowOff>169534</xdr:rowOff>
    </xdr:from>
    <xdr:to>
      <xdr:col>14</xdr:col>
      <xdr:colOff>586744</xdr:colOff>
      <xdr:row>11</xdr:row>
      <xdr:rowOff>170691</xdr:rowOff>
    </xdr:to>
    <xdr:cxnSp macro="">
      <xdr:nvCxnSpPr>
        <xdr:cNvPr id="215" name="Straight Connector 214">
          <a:extLst>
            <a:ext uri="{FF2B5EF4-FFF2-40B4-BE49-F238E27FC236}">
              <a16:creationId xmlns:a16="http://schemas.microsoft.com/office/drawing/2014/main" id="{B2288DCF-30DD-4D5B-9030-BC1D1BCC1FF8}"/>
            </a:ext>
          </a:extLst>
        </xdr:cNvPr>
        <xdr:cNvCxnSpPr/>
      </xdr:nvCxnSpPr>
      <xdr:spPr>
        <a:xfrm flipV="1">
          <a:off x="8121897" y="2080884"/>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77421</xdr:colOff>
      <xdr:row>11</xdr:row>
      <xdr:rowOff>169534</xdr:rowOff>
    </xdr:from>
    <xdr:to>
      <xdr:col>16</xdr:col>
      <xdr:colOff>581369</xdr:colOff>
      <xdr:row>11</xdr:row>
      <xdr:rowOff>170691</xdr:rowOff>
    </xdr:to>
    <xdr:cxnSp macro="">
      <xdr:nvCxnSpPr>
        <xdr:cNvPr id="216" name="Straight Connector 215">
          <a:extLst>
            <a:ext uri="{FF2B5EF4-FFF2-40B4-BE49-F238E27FC236}">
              <a16:creationId xmlns:a16="http://schemas.microsoft.com/office/drawing/2014/main" id="{CE9A4393-79D0-42B7-BC9D-6C6935EA11D0}"/>
            </a:ext>
          </a:extLst>
        </xdr:cNvPr>
        <xdr:cNvCxnSpPr/>
      </xdr:nvCxnSpPr>
      <xdr:spPr>
        <a:xfrm flipV="1">
          <a:off x="9335721" y="208088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81638</xdr:colOff>
      <xdr:row>11</xdr:row>
      <xdr:rowOff>169534</xdr:rowOff>
    </xdr:from>
    <xdr:to>
      <xdr:col>18</xdr:col>
      <xdr:colOff>585586</xdr:colOff>
      <xdr:row>11</xdr:row>
      <xdr:rowOff>170691</xdr:rowOff>
    </xdr:to>
    <xdr:cxnSp macro="">
      <xdr:nvCxnSpPr>
        <xdr:cNvPr id="217" name="Straight Connector 216">
          <a:extLst>
            <a:ext uri="{FF2B5EF4-FFF2-40B4-BE49-F238E27FC236}">
              <a16:creationId xmlns:a16="http://schemas.microsoft.com/office/drawing/2014/main" id="{14DDAA69-BAC9-4049-92D2-CCF959A1C963}"/>
            </a:ext>
          </a:extLst>
        </xdr:cNvPr>
        <xdr:cNvCxnSpPr/>
      </xdr:nvCxnSpPr>
      <xdr:spPr>
        <a:xfrm flipV="1">
          <a:off x="10559138" y="208088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81505</xdr:colOff>
      <xdr:row>11</xdr:row>
      <xdr:rowOff>169534</xdr:rowOff>
    </xdr:from>
    <xdr:to>
      <xdr:col>20</xdr:col>
      <xdr:colOff>585453</xdr:colOff>
      <xdr:row>11</xdr:row>
      <xdr:rowOff>170691</xdr:rowOff>
    </xdr:to>
    <xdr:cxnSp macro="">
      <xdr:nvCxnSpPr>
        <xdr:cNvPr id="218" name="Straight Connector 217">
          <a:extLst>
            <a:ext uri="{FF2B5EF4-FFF2-40B4-BE49-F238E27FC236}">
              <a16:creationId xmlns:a16="http://schemas.microsoft.com/office/drawing/2014/main" id="{A0760721-9E4C-44D3-A286-7E2D163185CC}"/>
            </a:ext>
          </a:extLst>
        </xdr:cNvPr>
        <xdr:cNvCxnSpPr/>
      </xdr:nvCxnSpPr>
      <xdr:spPr>
        <a:xfrm flipV="1">
          <a:off x="11778205" y="208088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81981</xdr:colOff>
      <xdr:row>13</xdr:row>
      <xdr:rowOff>154837</xdr:rowOff>
    </xdr:from>
    <xdr:to>
      <xdr:col>10</xdr:col>
      <xdr:colOff>585928</xdr:colOff>
      <xdr:row>13</xdr:row>
      <xdr:rowOff>155994</xdr:rowOff>
    </xdr:to>
    <xdr:cxnSp macro="">
      <xdr:nvCxnSpPr>
        <xdr:cNvPr id="219" name="Straight Connector 218">
          <a:extLst>
            <a:ext uri="{FF2B5EF4-FFF2-40B4-BE49-F238E27FC236}">
              <a16:creationId xmlns:a16="http://schemas.microsoft.com/office/drawing/2014/main" id="{28EF2459-9855-4B23-8EA7-2E090B30DEF2}"/>
            </a:ext>
          </a:extLst>
        </xdr:cNvPr>
        <xdr:cNvCxnSpPr/>
      </xdr:nvCxnSpPr>
      <xdr:spPr>
        <a:xfrm flipV="1">
          <a:off x="5682681" y="244083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84473</xdr:colOff>
      <xdr:row>13</xdr:row>
      <xdr:rowOff>154837</xdr:rowOff>
    </xdr:from>
    <xdr:to>
      <xdr:col>12</xdr:col>
      <xdr:colOff>588420</xdr:colOff>
      <xdr:row>13</xdr:row>
      <xdr:rowOff>155994</xdr:rowOff>
    </xdr:to>
    <xdr:cxnSp macro="">
      <xdr:nvCxnSpPr>
        <xdr:cNvPr id="220" name="Straight Connector 219">
          <a:extLst>
            <a:ext uri="{FF2B5EF4-FFF2-40B4-BE49-F238E27FC236}">
              <a16:creationId xmlns:a16="http://schemas.microsoft.com/office/drawing/2014/main" id="{8C36AD5E-8522-402B-AB50-B236F6916FD8}"/>
            </a:ext>
          </a:extLst>
        </xdr:cNvPr>
        <xdr:cNvCxnSpPr/>
      </xdr:nvCxnSpPr>
      <xdr:spPr>
        <a:xfrm flipV="1">
          <a:off x="6904373" y="244083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82797</xdr:colOff>
      <xdr:row>13</xdr:row>
      <xdr:rowOff>154837</xdr:rowOff>
    </xdr:from>
    <xdr:to>
      <xdr:col>14</xdr:col>
      <xdr:colOff>586744</xdr:colOff>
      <xdr:row>13</xdr:row>
      <xdr:rowOff>155994</xdr:rowOff>
    </xdr:to>
    <xdr:cxnSp macro="">
      <xdr:nvCxnSpPr>
        <xdr:cNvPr id="221" name="Straight Connector 220">
          <a:extLst>
            <a:ext uri="{FF2B5EF4-FFF2-40B4-BE49-F238E27FC236}">
              <a16:creationId xmlns:a16="http://schemas.microsoft.com/office/drawing/2014/main" id="{C320CB5D-FB1D-4E2F-9BCA-93A9F1AF0BBF}"/>
            </a:ext>
          </a:extLst>
        </xdr:cNvPr>
        <xdr:cNvCxnSpPr/>
      </xdr:nvCxnSpPr>
      <xdr:spPr>
        <a:xfrm flipV="1">
          <a:off x="8121897" y="244083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92541</xdr:colOff>
      <xdr:row>13</xdr:row>
      <xdr:rowOff>154837</xdr:rowOff>
    </xdr:from>
    <xdr:to>
      <xdr:col>16</xdr:col>
      <xdr:colOff>596489</xdr:colOff>
      <xdr:row>13</xdr:row>
      <xdr:rowOff>155994</xdr:rowOff>
    </xdr:to>
    <xdr:cxnSp macro="">
      <xdr:nvCxnSpPr>
        <xdr:cNvPr id="222" name="Straight Connector 221">
          <a:extLst>
            <a:ext uri="{FF2B5EF4-FFF2-40B4-BE49-F238E27FC236}">
              <a16:creationId xmlns:a16="http://schemas.microsoft.com/office/drawing/2014/main" id="{541848D6-A549-4F33-B6FC-7D3CDB53FF79}"/>
            </a:ext>
          </a:extLst>
        </xdr:cNvPr>
        <xdr:cNvCxnSpPr/>
      </xdr:nvCxnSpPr>
      <xdr:spPr>
        <a:xfrm flipV="1">
          <a:off x="9350841" y="2440837"/>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81638</xdr:colOff>
      <xdr:row>13</xdr:row>
      <xdr:rowOff>154837</xdr:rowOff>
    </xdr:from>
    <xdr:to>
      <xdr:col>18</xdr:col>
      <xdr:colOff>585586</xdr:colOff>
      <xdr:row>13</xdr:row>
      <xdr:rowOff>155994</xdr:rowOff>
    </xdr:to>
    <xdr:cxnSp macro="">
      <xdr:nvCxnSpPr>
        <xdr:cNvPr id="223" name="Straight Connector 222">
          <a:extLst>
            <a:ext uri="{FF2B5EF4-FFF2-40B4-BE49-F238E27FC236}">
              <a16:creationId xmlns:a16="http://schemas.microsoft.com/office/drawing/2014/main" id="{1FDBAED7-10DE-4366-B75B-36921F235CA6}"/>
            </a:ext>
          </a:extLst>
        </xdr:cNvPr>
        <xdr:cNvCxnSpPr/>
      </xdr:nvCxnSpPr>
      <xdr:spPr>
        <a:xfrm flipV="1">
          <a:off x="10559138" y="2440837"/>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81505</xdr:colOff>
      <xdr:row>13</xdr:row>
      <xdr:rowOff>154837</xdr:rowOff>
    </xdr:from>
    <xdr:to>
      <xdr:col>20</xdr:col>
      <xdr:colOff>585453</xdr:colOff>
      <xdr:row>13</xdr:row>
      <xdr:rowOff>155994</xdr:rowOff>
    </xdr:to>
    <xdr:cxnSp macro="">
      <xdr:nvCxnSpPr>
        <xdr:cNvPr id="224" name="Straight Connector 223">
          <a:extLst>
            <a:ext uri="{FF2B5EF4-FFF2-40B4-BE49-F238E27FC236}">
              <a16:creationId xmlns:a16="http://schemas.microsoft.com/office/drawing/2014/main" id="{749C5868-48D7-4FDF-A15C-B3A2647180C4}"/>
            </a:ext>
          </a:extLst>
        </xdr:cNvPr>
        <xdr:cNvCxnSpPr/>
      </xdr:nvCxnSpPr>
      <xdr:spPr>
        <a:xfrm flipV="1">
          <a:off x="11778205" y="2440837"/>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81981</xdr:colOff>
      <xdr:row>16</xdr:row>
      <xdr:rowOff>158334</xdr:rowOff>
    </xdr:from>
    <xdr:to>
      <xdr:col>10</xdr:col>
      <xdr:colOff>585928</xdr:colOff>
      <xdr:row>16</xdr:row>
      <xdr:rowOff>159491</xdr:rowOff>
    </xdr:to>
    <xdr:cxnSp macro="">
      <xdr:nvCxnSpPr>
        <xdr:cNvPr id="225" name="Straight Connector 224">
          <a:extLst>
            <a:ext uri="{FF2B5EF4-FFF2-40B4-BE49-F238E27FC236}">
              <a16:creationId xmlns:a16="http://schemas.microsoft.com/office/drawing/2014/main" id="{37489782-D8B6-47B8-89A9-945D9F5854AB}"/>
            </a:ext>
          </a:extLst>
        </xdr:cNvPr>
        <xdr:cNvCxnSpPr/>
      </xdr:nvCxnSpPr>
      <xdr:spPr>
        <a:xfrm flipV="1">
          <a:off x="5682681" y="2996784"/>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84473</xdr:colOff>
      <xdr:row>16</xdr:row>
      <xdr:rowOff>158334</xdr:rowOff>
    </xdr:from>
    <xdr:to>
      <xdr:col>12</xdr:col>
      <xdr:colOff>588420</xdr:colOff>
      <xdr:row>16</xdr:row>
      <xdr:rowOff>159491</xdr:rowOff>
    </xdr:to>
    <xdr:cxnSp macro="">
      <xdr:nvCxnSpPr>
        <xdr:cNvPr id="226" name="Straight Connector 225">
          <a:extLst>
            <a:ext uri="{FF2B5EF4-FFF2-40B4-BE49-F238E27FC236}">
              <a16:creationId xmlns:a16="http://schemas.microsoft.com/office/drawing/2014/main" id="{7338E2EA-1583-430D-9F05-D256E9E15C42}"/>
            </a:ext>
          </a:extLst>
        </xdr:cNvPr>
        <xdr:cNvCxnSpPr/>
      </xdr:nvCxnSpPr>
      <xdr:spPr>
        <a:xfrm flipV="1">
          <a:off x="6904373" y="2996784"/>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82797</xdr:colOff>
      <xdr:row>16</xdr:row>
      <xdr:rowOff>158334</xdr:rowOff>
    </xdr:from>
    <xdr:to>
      <xdr:col>14</xdr:col>
      <xdr:colOff>586744</xdr:colOff>
      <xdr:row>16</xdr:row>
      <xdr:rowOff>159491</xdr:rowOff>
    </xdr:to>
    <xdr:cxnSp macro="">
      <xdr:nvCxnSpPr>
        <xdr:cNvPr id="227" name="Straight Connector 226">
          <a:extLst>
            <a:ext uri="{FF2B5EF4-FFF2-40B4-BE49-F238E27FC236}">
              <a16:creationId xmlns:a16="http://schemas.microsoft.com/office/drawing/2014/main" id="{2A496C72-AE9A-45C3-9D29-BCC41C93201F}"/>
            </a:ext>
          </a:extLst>
        </xdr:cNvPr>
        <xdr:cNvCxnSpPr/>
      </xdr:nvCxnSpPr>
      <xdr:spPr>
        <a:xfrm flipV="1">
          <a:off x="8121897" y="2996784"/>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75886</xdr:colOff>
      <xdr:row>16</xdr:row>
      <xdr:rowOff>158334</xdr:rowOff>
    </xdr:from>
    <xdr:to>
      <xdr:col>16</xdr:col>
      <xdr:colOff>579834</xdr:colOff>
      <xdr:row>16</xdr:row>
      <xdr:rowOff>159491</xdr:rowOff>
    </xdr:to>
    <xdr:cxnSp macro="">
      <xdr:nvCxnSpPr>
        <xdr:cNvPr id="228" name="Straight Connector 227">
          <a:extLst>
            <a:ext uri="{FF2B5EF4-FFF2-40B4-BE49-F238E27FC236}">
              <a16:creationId xmlns:a16="http://schemas.microsoft.com/office/drawing/2014/main" id="{7D0E9ED1-37A0-4F56-BBFB-281D4FE71874}"/>
            </a:ext>
          </a:extLst>
        </xdr:cNvPr>
        <xdr:cNvCxnSpPr/>
      </xdr:nvCxnSpPr>
      <xdr:spPr>
        <a:xfrm flipV="1">
          <a:off x="9334186" y="299678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81638</xdr:colOff>
      <xdr:row>16</xdr:row>
      <xdr:rowOff>158334</xdr:rowOff>
    </xdr:from>
    <xdr:to>
      <xdr:col>18</xdr:col>
      <xdr:colOff>585586</xdr:colOff>
      <xdr:row>16</xdr:row>
      <xdr:rowOff>159491</xdr:rowOff>
    </xdr:to>
    <xdr:cxnSp macro="">
      <xdr:nvCxnSpPr>
        <xdr:cNvPr id="229" name="Straight Connector 228">
          <a:extLst>
            <a:ext uri="{FF2B5EF4-FFF2-40B4-BE49-F238E27FC236}">
              <a16:creationId xmlns:a16="http://schemas.microsoft.com/office/drawing/2014/main" id="{26234262-27E4-497A-BD82-7626B3A3CAA9}"/>
            </a:ext>
          </a:extLst>
        </xdr:cNvPr>
        <xdr:cNvCxnSpPr/>
      </xdr:nvCxnSpPr>
      <xdr:spPr>
        <a:xfrm flipV="1">
          <a:off x="10559138" y="299678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81505</xdr:colOff>
      <xdr:row>16</xdr:row>
      <xdr:rowOff>158334</xdr:rowOff>
    </xdr:from>
    <xdr:to>
      <xdr:col>20</xdr:col>
      <xdr:colOff>585453</xdr:colOff>
      <xdr:row>16</xdr:row>
      <xdr:rowOff>159491</xdr:rowOff>
    </xdr:to>
    <xdr:cxnSp macro="">
      <xdr:nvCxnSpPr>
        <xdr:cNvPr id="230" name="Straight Connector 229">
          <a:extLst>
            <a:ext uri="{FF2B5EF4-FFF2-40B4-BE49-F238E27FC236}">
              <a16:creationId xmlns:a16="http://schemas.microsoft.com/office/drawing/2014/main" id="{BF14AB57-2976-4E06-AFB7-C74E7AB80D89}"/>
            </a:ext>
          </a:extLst>
        </xdr:cNvPr>
        <xdr:cNvCxnSpPr/>
      </xdr:nvCxnSpPr>
      <xdr:spPr>
        <a:xfrm flipV="1">
          <a:off x="11778205" y="299678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81981</xdr:colOff>
      <xdr:row>18</xdr:row>
      <xdr:rowOff>166215</xdr:rowOff>
    </xdr:from>
    <xdr:to>
      <xdr:col>10</xdr:col>
      <xdr:colOff>585928</xdr:colOff>
      <xdr:row>18</xdr:row>
      <xdr:rowOff>167372</xdr:rowOff>
    </xdr:to>
    <xdr:cxnSp macro="">
      <xdr:nvCxnSpPr>
        <xdr:cNvPr id="231" name="Straight Connector 230">
          <a:extLst>
            <a:ext uri="{FF2B5EF4-FFF2-40B4-BE49-F238E27FC236}">
              <a16:creationId xmlns:a16="http://schemas.microsoft.com/office/drawing/2014/main" id="{B70975DB-8FAF-45B8-A49B-39A57CA4B61B}"/>
            </a:ext>
          </a:extLst>
        </xdr:cNvPr>
        <xdr:cNvCxnSpPr/>
      </xdr:nvCxnSpPr>
      <xdr:spPr>
        <a:xfrm flipV="1">
          <a:off x="5682681" y="337296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84473</xdr:colOff>
      <xdr:row>18</xdr:row>
      <xdr:rowOff>166215</xdr:rowOff>
    </xdr:from>
    <xdr:to>
      <xdr:col>12</xdr:col>
      <xdr:colOff>588420</xdr:colOff>
      <xdr:row>18</xdr:row>
      <xdr:rowOff>167372</xdr:rowOff>
    </xdr:to>
    <xdr:cxnSp macro="">
      <xdr:nvCxnSpPr>
        <xdr:cNvPr id="232" name="Straight Connector 231">
          <a:extLst>
            <a:ext uri="{FF2B5EF4-FFF2-40B4-BE49-F238E27FC236}">
              <a16:creationId xmlns:a16="http://schemas.microsoft.com/office/drawing/2014/main" id="{4F590579-CCEC-4A33-B00C-85E43C07638B}"/>
            </a:ext>
          </a:extLst>
        </xdr:cNvPr>
        <xdr:cNvCxnSpPr/>
      </xdr:nvCxnSpPr>
      <xdr:spPr>
        <a:xfrm flipV="1">
          <a:off x="6904373" y="337296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82797</xdr:colOff>
      <xdr:row>18</xdr:row>
      <xdr:rowOff>166215</xdr:rowOff>
    </xdr:from>
    <xdr:to>
      <xdr:col>14</xdr:col>
      <xdr:colOff>586744</xdr:colOff>
      <xdr:row>18</xdr:row>
      <xdr:rowOff>167372</xdr:rowOff>
    </xdr:to>
    <xdr:cxnSp macro="">
      <xdr:nvCxnSpPr>
        <xdr:cNvPr id="233" name="Straight Connector 232">
          <a:extLst>
            <a:ext uri="{FF2B5EF4-FFF2-40B4-BE49-F238E27FC236}">
              <a16:creationId xmlns:a16="http://schemas.microsoft.com/office/drawing/2014/main" id="{AEFF0FAF-6EA3-41A5-830E-774306891798}"/>
            </a:ext>
          </a:extLst>
        </xdr:cNvPr>
        <xdr:cNvCxnSpPr/>
      </xdr:nvCxnSpPr>
      <xdr:spPr>
        <a:xfrm flipV="1">
          <a:off x="8121897" y="337296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92941</xdr:colOff>
      <xdr:row>18</xdr:row>
      <xdr:rowOff>166215</xdr:rowOff>
    </xdr:from>
    <xdr:to>
      <xdr:col>16</xdr:col>
      <xdr:colOff>596889</xdr:colOff>
      <xdr:row>18</xdr:row>
      <xdr:rowOff>167372</xdr:rowOff>
    </xdr:to>
    <xdr:cxnSp macro="">
      <xdr:nvCxnSpPr>
        <xdr:cNvPr id="234" name="Straight Connector 233">
          <a:extLst>
            <a:ext uri="{FF2B5EF4-FFF2-40B4-BE49-F238E27FC236}">
              <a16:creationId xmlns:a16="http://schemas.microsoft.com/office/drawing/2014/main" id="{3FB63D74-B110-4CCF-B507-B1EDA922D1B4}"/>
            </a:ext>
          </a:extLst>
        </xdr:cNvPr>
        <xdr:cNvCxnSpPr/>
      </xdr:nvCxnSpPr>
      <xdr:spPr>
        <a:xfrm flipV="1">
          <a:off x="9351241" y="3372965"/>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81638</xdr:colOff>
      <xdr:row>18</xdr:row>
      <xdr:rowOff>166215</xdr:rowOff>
    </xdr:from>
    <xdr:to>
      <xdr:col>18</xdr:col>
      <xdr:colOff>585586</xdr:colOff>
      <xdr:row>18</xdr:row>
      <xdr:rowOff>167372</xdr:rowOff>
    </xdr:to>
    <xdr:cxnSp macro="">
      <xdr:nvCxnSpPr>
        <xdr:cNvPr id="235" name="Straight Connector 234">
          <a:extLst>
            <a:ext uri="{FF2B5EF4-FFF2-40B4-BE49-F238E27FC236}">
              <a16:creationId xmlns:a16="http://schemas.microsoft.com/office/drawing/2014/main" id="{FCD896A2-49C9-4CC6-A7F8-0D27099C8478}"/>
            </a:ext>
          </a:extLst>
        </xdr:cNvPr>
        <xdr:cNvCxnSpPr/>
      </xdr:nvCxnSpPr>
      <xdr:spPr>
        <a:xfrm flipV="1">
          <a:off x="10559138" y="3372965"/>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81505</xdr:colOff>
      <xdr:row>18</xdr:row>
      <xdr:rowOff>166215</xdr:rowOff>
    </xdr:from>
    <xdr:to>
      <xdr:col>20</xdr:col>
      <xdr:colOff>585453</xdr:colOff>
      <xdr:row>18</xdr:row>
      <xdr:rowOff>167372</xdr:rowOff>
    </xdr:to>
    <xdr:cxnSp macro="">
      <xdr:nvCxnSpPr>
        <xdr:cNvPr id="236" name="Straight Connector 235">
          <a:extLst>
            <a:ext uri="{FF2B5EF4-FFF2-40B4-BE49-F238E27FC236}">
              <a16:creationId xmlns:a16="http://schemas.microsoft.com/office/drawing/2014/main" id="{4A38D65D-D9AB-4813-85B8-39FF88D1BFAC}"/>
            </a:ext>
          </a:extLst>
        </xdr:cNvPr>
        <xdr:cNvCxnSpPr/>
      </xdr:nvCxnSpPr>
      <xdr:spPr>
        <a:xfrm flipV="1">
          <a:off x="11778205" y="3372965"/>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96981</xdr:colOff>
      <xdr:row>23</xdr:row>
      <xdr:rowOff>152197</xdr:rowOff>
    </xdr:from>
    <xdr:to>
      <xdr:col>10</xdr:col>
      <xdr:colOff>600928</xdr:colOff>
      <xdr:row>23</xdr:row>
      <xdr:rowOff>153354</xdr:rowOff>
    </xdr:to>
    <xdr:cxnSp macro="">
      <xdr:nvCxnSpPr>
        <xdr:cNvPr id="237" name="Straight Connector 236">
          <a:extLst>
            <a:ext uri="{FF2B5EF4-FFF2-40B4-BE49-F238E27FC236}">
              <a16:creationId xmlns:a16="http://schemas.microsoft.com/office/drawing/2014/main" id="{D43D746C-5B82-42F6-94D3-5FB387063CF3}"/>
            </a:ext>
          </a:extLst>
        </xdr:cNvPr>
        <xdr:cNvCxnSpPr/>
      </xdr:nvCxnSpPr>
      <xdr:spPr>
        <a:xfrm flipV="1">
          <a:off x="5697681" y="414634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99035</xdr:colOff>
      <xdr:row>23</xdr:row>
      <xdr:rowOff>152197</xdr:rowOff>
    </xdr:from>
    <xdr:to>
      <xdr:col>12</xdr:col>
      <xdr:colOff>603858</xdr:colOff>
      <xdr:row>23</xdr:row>
      <xdr:rowOff>153354</xdr:rowOff>
    </xdr:to>
    <xdr:cxnSp macro="">
      <xdr:nvCxnSpPr>
        <xdr:cNvPr id="238" name="Straight Connector 237">
          <a:extLst>
            <a:ext uri="{FF2B5EF4-FFF2-40B4-BE49-F238E27FC236}">
              <a16:creationId xmlns:a16="http://schemas.microsoft.com/office/drawing/2014/main" id="{3471D5D8-2D6C-44C2-8B53-D62B40C1471C}"/>
            </a:ext>
          </a:extLst>
        </xdr:cNvPr>
        <xdr:cNvCxnSpPr/>
      </xdr:nvCxnSpPr>
      <xdr:spPr>
        <a:xfrm flipV="1">
          <a:off x="6918935" y="4146347"/>
          <a:ext cx="1114423"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97360</xdr:colOff>
      <xdr:row>23</xdr:row>
      <xdr:rowOff>152197</xdr:rowOff>
    </xdr:from>
    <xdr:to>
      <xdr:col>14</xdr:col>
      <xdr:colOff>602182</xdr:colOff>
      <xdr:row>23</xdr:row>
      <xdr:rowOff>153354</xdr:rowOff>
    </xdr:to>
    <xdr:cxnSp macro="">
      <xdr:nvCxnSpPr>
        <xdr:cNvPr id="239" name="Straight Connector 238">
          <a:extLst>
            <a:ext uri="{FF2B5EF4-FFF2-40B4-BE49-F238E27FC236}">
              <a16:creationId xmlns:a16="http://schemas.microsoft.com/office/drawing/2014/main" id="{BC42CC41-26F5-4C06-A60B-A709A23106F9}"/>
            </a:ext>
          </a:extLst>
        </xdr:cNvPr>
        <xdr:cNvCxnSpPr/>
      </xdr:nvCxnSpPr>
      <xdr:spPr>
        <a:xfrm flipV="1">
          <a:off x="8136460" y="4146347"/>
          <a:ext cx="1114422"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107963</xdr:colOff>
      <xdr:row>23</xdr:row>
      <xdr:rowOff>152197</xdr:rowOff>
    </xdr:from>
    <xdr:to>
      <xdr:col>17</xdr:col>
      <xdr:colOff>1866</xdr:colOff>
      <xdr:row>23</xdr:row>
      <xdr:rowOff>153354</xdr:rowOff>
    </xdr:to>
    <xdr:cxnSp macro="">
      <xdr:nvCxnSpPr>
        <xdr:cNvPr id="240" name="Straight Connector 239">
          <a:extLst>
            <a:ext uri="{FF2B5EF4-FFF2-40B4-BE49-F238E27FC236}">
              <a16:creationId xmlns:a16="http://schemas.microsoft.com/office/drawing/2014/main" id="{6677E1D0-E5F6-4C1B-9EEF-23068C73F570}"/>
            </a:ext>
          </a:extLst>
        </xdr:cNvPr>
        <xdr:cNvCxnSpPr/>
      </xdr:nvCxnSpPr>
      <xdr:spPr>
        <a:xfrm flipV="1">
          <a:off x="9366263" y="4146347"/>
          <a:ext cx="1113103"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96661</xdr:colOff>
      <xdr:row>23</xdr:row>
      <xdr:rowOff>152197</xdr:rowOff>
    </xdr:from>
    <xdr:to>
      <xdr:col>18</xdr:col>
      <xdr:colOff>600563</xdr:colOff>
      <xdr:row>23</xdr:row>
      <xdr:rowOff>153354</xdr:rowOff>
    </xdr:to>
    <xdr:cxnSp macro="">
      <xdr:nvCxnSpPr>
        <xdr:cNvPr id="241" name="Straight Connector 240">
          <a:extLst>
            <a:ext uri="{FF2B5EF4-FFF2-40B4-BE49-F238E27FC236}">
              <a16:creationId xmlns:a16="http://schemas.microsoft.com/office/drawing/2014/main" id="{A9E8FC5E-F300-46E0-8BCC-B4C4E4E4ED0A}"/>
            </a:ext>
          </a:extLst>
        </xdr:cNvPr>
        <xdr:cNvCxnSpPr/>
      </xdr:nvCxnSpPr>
      <xdr:spPr>
        <a:xfrm flipV="1">
          <a:off x="10574161" y="4146347"/>
          <a:ext cx="1113502"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81527</xdr:colOff>
      <xdr:row>23</xdr:row>
      <xdr:rowOff>152197</xdr:rowOff>
    </xdr:from>
    <xdr:to>
      <xdr:col>20</xdr:col>
      <xdr:colOff>585430</xdr:colOff>
      <xdr:row>23</xdr:row>
      <xdr:rowOff>153354</xdr:rowOff>
    </xdr:to>
    <xdr:cxnSp macro="">
      <xdr:nvCxnSpPr>
        <xdr:cNvPr id="242" name="Straight Connector 241">
          <a:extLst>
            <a:ext uri="{FF2B5EF4-FFF2-40B4-BE49-F238E27FC236}">
              <a16:creationId xmlns:a16="http://schemas.microsoft.com/office/drawing/2014/main" id="{C77412C5-52E2-42F6-A542-9F6B7FF421B6}"/>
            </a:ext>
          </a:extLst>
        </xdr:cNvPr>
        <xdr:cNvCxnSpPr/>
      </xdr:nvCxnSpPr>
      <xdr:spPr>
        <a:xfrm flipV="1">
          <a:off x="11778227" y="4146347"/>
          <a:ext cx="1113503"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81981</xdr:colOff>
      <xdr:row>24</xdr:row>
      <xdr:rowOff>191437</xdr:rowOff>
    </xdr:from>
    <xdr:to>
      <xdr:col>10</xdr:col>
      <xdr:colOff>585928</xdr:colOff>
      <xdr:row>24</xdr:row>
      <xdr:rowOff>192594</xdr:rowOff>
    </xdr:to>
    <xdr:cxnSp macro="">
      <xdr:nvCxnSpPr>
        <xdr:cNvPr id="243" name="Straight Connector 242">
          <a:extLst>
            <a:ext uri="{FF2B5EF4-FFF2-40B4-BE49-F238E27FC236}">
              <a16:creationId xmlns:a16="http://schemas.microsoft.com/office/drawing/2014/main" id="{91AD2FBB-A070-49A4-A893-58FADED3F47B}"/>
            </a:ext>
          </a:extLst>
        </xdr:cNvPr>
        <xdr:cNvCxnSpPr/>
      </xdr:nvCxnSpPr>
      <xdr:spPr>
        <a:xfrm flipV="1">
          <a:off x="5682681" y="436338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84473</xdr:colOff>
      <xdr:row>24</xdr:row>
      <xdr:rowOff>191437</xdr:rowOff>
    </xdr:from>
    <xdr:to>
      <xdr:col>12</xdr:col>
      <xdr:colOff>588420</xdr:colOff>
      <xdr:row>24</xdr:row>
      <xdr:rowOff>192594</xdr:rowOff>
    </xdr:to>
    <xdr:cxnSp macro="">
      <xdr:nvCxnSpPr>
        <xdr:cNvPr id="244" name="Straight Connector 243">
          <a:extLst>
            <a:ext uri="{FF2B5EF4-FFF2-40B4-BE49-F238E27FC236}">
              <a16:creationId xmlns:a16="http://schemas.microsoft.com/office/drawing/2014/main" id="{F9112B9E-B6B4-48F2-80E3-CBA081206017}"/>
            </a:ext>
          </a:extLst>
        </xdr:cNvPr>
        <xdr:cNvCxnSpPr/>
      </xdr:nvCxnSpPr>
      <xdr:spPr>
        <a:xfrm flipV="1">
          <a:off x="6904373" y="436338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82797</xdr:colOff>
      <xdr:row>24</xdr:row>
      <xdr:rowOff>191437</xdr:rowOff>
    </xdr:from>
    <xdr:to>
      <xdr:col>14</xdr:col>
      <xdr:colOff>586744</xdr:colOff>
      <xdr:row>24</xdr:row>
      <xdr:rowOff>192594</xdr:rowOff>
    </xdr:to>
    <xdr:cxnSp macro="">
      <xdr:nvCxnSpPr>
        <xdr:cNvPr id="245" name="Straight Connector 244">
          <a:extLst>
            <a:ext uri="{FF2B5EF4-FFF2-40B4-BE49-F238E27FC236}">
              <a16:creationId xmlns:a16="http://schemas.microsoft.com/office/drawing/2014/main" id="{6213AF35-2587-4E8C-AA6F-BF1EBD51B596}"/>
            </a:ext>
          </a:extLst>
        </xdr:cNvPr>
        <xdr:cNvCxnSpPr/>
      </xdr:nvCxnSpPr>
      <xdr:spPr>
        <a:xfrm flipV="1">
          <a:off x="8121897" y="436338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92941</xdr:colOff>
      <xdr:row>24</xdr:row>
      <xdr:rowOff>191437</xdr:rowOff>
    </xdr:from>
    <xdr:to>
      <xdr:col>16</xdr:col>
      <xdr:colOff>596889</xdr:colOff>
      <xdr:row>24</xdr:row>
      <xdr:rowOff>192594</xdr:rowOff>
    </xdr:to>
    <xdr:cxnSp macro="">
      <xdr:nvCxnSpPr>
        <xdr:cNvPr id="246" name="Straight Connector 245">
          <a:extLst>
            <a:ext uri="{FF2B5EF4-FFF2-40B4-BE49-F238E27FC236}">
              <a16:creationId xmlns:a16="http://schemas.microsoft.com/office/drawing/2014/main" id="{BBE20AE0-E9DC-41D7-B700-D12F9267089A}"/>
            </a:ext>
          </a:extLst>
        </xdr:cNvPr>
        <xdr:cNvCxnSpPr/>
      </xdr:nvCxnSpPr>
      <xdr:spPr>
        <a:xfrm flipV="1">
          <a:off x="9351241" y="4363387"/>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81638</xdr:colOff>
      <xdr:row>24</xdr:row>
      <xdr:rowOff>191437</xdr:rowOff>
    </xdr:from>
    <xdr:to>
      <xdr:col>18</xdr:col>
      <xdr:colOff>585586</xdr:colOff>
      <xdr:row>24</xdr:row>
      <xdr:rowOff>192594</xdr:rowOff>
    </xdr:to>
    <xdr:cxnSp macro="">
      <xdr:nvCxnSpPr>
        <xdr:cNvPr id="247" name="Straight Connector 246">
          <a:extLst>
            <a:ext uri="{FF2B5EF4-FFF2-40B4-BE49-F238E27FC236}">
              <a16:creationId xmlns:a16="http://schemas.microsoft.com/office/drawing/2014/main" id="{9B5895BE-EE67-4D20-B9EA-C8ED9FDC8B58}"/>
            </a:ext>
          </a:extLst>
        </xdr:cNvPr>
        <xdr:cNvCxnSpPr/>
      </xdr:nvCxnSpPr>
      <xdr:spPr>
        <a:xfrm flipV="1">
          <a:off x="10559138" y="4363387"/>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81505</xdr:colOff>
      <xdr:row>24</xdr:row>
      <xdr:rowOff>191437</xdr:rowOff>
    </xdr:from>
    <xdr:to>
      <xdr:col>20</xdr:col>
      <xdr:colOff>585453</xdr:colOff>
      <xdr:row>24</xdr:row>
      <xdr:rowOff>192594</xdr:rowOff>
    </xdr:to>
    <xdr:cxnSp macro="">
      <xdr:nvCxnSpPr>
        <xdr:cNvPr id="248" name="Straight Connector 247">
          <a:extLst>
            <a:ext uri="{FF2B5EF4-FFF2-40B4-BE49-F238E27FC236}">
              <a16:creationId xmlns:a16="http://schemas.microsoft.com/office/drawing/2014/main" id="{D2A8C5EC-18B6-415A-91EE-BC0B9F7CE68A}"/>
            </a:ext>
          </a:extLst>
        </xdr:cNvPr>
        <xdr:cNvCxnSpPr/>
      </xdr:nvCxnSpPr>
      <xdr:spPr>
        <a:xfrm flipV="1">
          <a:off x="11778205" y="4363387"/>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81981</xdr:colOff>
      <xdr:row>25</xdr:row>
      <xdr:rowOff>5545</xdr:rowOff>
    </xdr:from>
    <xdr:to>
      <xdr:col>10</xdr:col>
      <xdr:colOff>585928</xdr:colOff>
      <xdr:row>25</xdr:row>
      <xdr:rowOff>6702</xdr:rowOff>
    </xdr:to>
    <xdr:cxnSp macro="">
      <xdr:nvCxnSpPr>
        <xdr:cNvPr id="249" name="Straight Connector 248">
          <a:extLst>
            <a:ext uri="{FF2B5EF4-FFF2-40B4-BE49-F238E27FC236}">
              <a16:creationId xmlns:a16="http://schemas.microsoft.com/office/drawing/2014/main" id="{432540DB-465E-4FF5-8A3B-CC4DD01CC87F}"/>
            </a:ext>
          </a:extLst>
        </xdr:cNvPr>
        <xdr:cNvCxnSpPr/>
      </xdr:nvCxnSpPr>
      <xdr:spPr>
        <a:xfrm flipV="1">
          <a:off x="5682681" y="436799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84473</xdr:colOff>
      <xdr:row>25</xdr:row>
      <xdr:rowOff>5545</xdr:rowOff>
    </xdr:from>
    <xdr:to>
      <xdr:col>12</xdr:col>
      <xdr:colOff>588420</xdr:colOff>
      <xdr:row>25</xdr:row>
      <xdr:rowOff>6702</xdr:rowOff>
    </xdr:to>
    <xdr:cxnSp macro="">
      <xdr:nvCxnSpPr>
        <xdr:cNvPr id="250" name="Straight Connector 249">
          <a:extLst>
            <a:ext uri="{FF2B5EF4-FFF2-40B4-BE49-F238E27FC236}">
              <a16:creationId xmlns:a16="http://schemas.microsoft.com/office/drawing/2014/main" id="{EBF6FD76-6519-48FE-9B89-4E5719BB93D4}"/>
            </a:ext>
          </a:extLst>
        </xdr:cNvPr>
        <xdr:cNvCxnSpPr/>
      </xdr:nvCxnSpPr>
      <xdr:spPr>
        <a:xfrm flipV="1">
          <a:off x="6904373" y="436799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82797</xdr:colOff>
      <xdr:row>25</xdr:row>
      <xdr:rowOff>5545</xdr:rowOff>
    </xdr:from>
    <xdr:to>
      <xdr:col>14</xdr:col>
      <xdr:colOff>586744</xdr:colOff>
      <xdr:row>25</xdr:row>
      <xdr:rowOff>6702</xdr:rowOff>
    </xdr:to>
    <xdr:cxnSp macro="">
      <xdr:nvCxnSpPr>
        <xdr:cNvPr id="251" name="Straight Connector 250">
          <a:extLst>
            <a:ext uri="{FF2B5EF4-FFF2-40B4-BE49-F238E27FC236}">
              <a16:creationId xmlns:a16="http://schemas.microsoft.com/office/drawing/2014/main" id="{F36D69BB-65A0-4889-B24D-B8D05C8FA255}"/>
            </a:ext>
          </a:extLst>
        </xdr:cNvPr>
        <xdr:cNvCxnSpPr/>
      </xdr:nvCxnSpPr>
      <xdr:spPr>
        <a:xfrm flipV="1">
          <a:off x="8121897" y="436799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92941</xdr:colOff>
      <xdr:row>25</xdr:row>
      <xdr:rowOff>5545</xdr:rowOff>
    </xdr:from>
    <xdr:to>
      <xdr:col>16</xdr:col>
      <xdr:colOff>596889</xdr:colOff>
      <xdr:row>25</xdr:row>
      <xdr:rowOff>6702</xdr:rowOff>
    </xdr:to>
    <xdr:cxnSp macro="">
      <xdr:nvCxnSpPr>
        <xdr:cNvPr id="252" name="Straight Connector 251">
          <a:extLst>
            <a:ext uri="{FF2B5EF4-FFF2-40B4-BE49-F238E27FC236}">
              <a16:creationId xmlns:a16="http://schemas.microsoft.com/office/drawing/2014/main" id="{57B749C3-0E67-4BD5-9CF8-039635D916B4}"/>
            </a:ext>
          </a:extLst>
        </xdr:cNvPr>
        <xdr:cNvCxnSpPr/>
      </xdr:nvCxnSpPr>
      <xdr:spPr>
        <a:xfrm flipV="1">
          <a:off x="9351241" y="4367995"/>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81638</xdr:colOff>
      <xdr:row>25</xdr:row>
      <xdr:rowOff>5545</xdr:rowOff>
    </xdr:from>
    <xdr:to>
      <xdr:col>18</xdr:col>
      <xdr:colOff>585586</xdr:colOff>
      <xdr:row>25</xdr:row>
      <xdr:rowOff>6702</xdr:rowOff>
    </xdr:to>
    <xdr:cxnSp macro="">
      <xdr:nvCxnSpPr>
        <xdr:cNvPr id="253" name="Straight Connector 252">
          <a:extLst>
            <a:ext uri="{FF2B5EF4-FFF2-40B4-BE49-F238E27FC236}">
              <a16:creationId xmlns:a16="http://schemas.microsoft.com/office/drawing/2014/main" id="{3725A5D5-E6AC-40B4-AF67-0FFD7BD97FA1}"/>
            </a:ext>
          </a:extLst>
        </xdr:cNvPr>
        <xdr:cNvCxnSpPr/>
      </xdr:nvCxnSpPr>
      <xdr:spPr>
        <a:xfrm flipV="1">
          <a:off x="10559138" y="4367995"/>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81505</xdr:colOff>
      <xdr:row>25</xdr:row>
      <xdr:rowOff>5545</xdr:rowOff>
    </xdr:from>
    <xdr:to>
      <xdr:col>20</xdr:col>
      <xdr:colOff>585453</xdr:colOff>
      <xdr:row>25</xdr:row>
      <xdr:rowOff>6702</xdr:rowOff>
    </xdr:to>
    <xdr:cxnSp macro="">
      <xdr:nvCxnSpPr>
        <xdr:cNvPr id="254" name="Straight Connector 253">
          <a:extLst>
            <a:ext uri="{FF2B5EF4-FFF2-40B4-BE49-F238E27FC236}">
              <a16:creationId xmlns:a16="http://schemas.microsoft.com/office/drawing/2014/main" id="{F0C34C2B-2372-460D-BCE6-083340DBDE07}"/>
            </a:ext>
          </a:extLst>
        </xdr:cNvPr>
        <xdr:cNvCxnSpPr/>
      </xdr:nvCxnSpPr>
      <xdr:spPr>
        <a:xfrm flipV="1">
          <a:off x="11778205" y="4367995"/>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66609</xdr:colOff>
      <xdr:row>10</xdr:row>
      <xdr:rowOff>179312</xdr:rowOff>
    </xdr:from>
    <xdr:to>
      <xdr:col>14</xdr:col>
      <xdr:colOff>581713</xdr:colOff>
      <xdr:row>10</xdr:row>
      <xdr:rowOff>179312</xdr:rowOff>
    </xdr:to>
    <xdr:cxnSp macro="">
      <xdr:nvCxnSpPr>
        <xdr:cNvPr id="255" name="Straight Connector 254">
          <a:extLst>
            <a:ext uri="{FF2B5EF4-FFF2-40B4-BE49-F238E27FC236}">
              <a16:creationId xmlns:a16="http://schemas.microsoft.com/office/drawing/2014/main" id="{039A8DB1-3085-4F8A-89C7-BB248628EB4C}"/>
            </a:ext>
          </a:extLst>
        </xdr:cNvPr>
        <xdr:cNvCxnSpPr/>
      </xdr:nvCxnSpPr>
      <xdr:spPr>
        <a:xfrm>
          <a:off x="5667309" y="1906512"/>
          <a:ext cx="3563104"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9641</xdr:colOff>
      <xdr:row>31</xdr:row>
      <xdr:rowOff>163361</xdr:rowOff>
    </xdr:from>
    <xdr:to>
      <xdr:col>21</xdr:col>
      <xdr:colOff>41413</xdr:colOff>
      <xdr:row>31</xdr:row>
      <xdr:rowOff>163361</xdr:rowOff>
    </xdr:to>
    <xdr:cxnSp macro="">
      <xdr:nvCxnSpPr>
        <xdr:cNvPr id="256" name="Straight Connector 255">
          <a:extLst>
            <a:ext uri="{FF2B5EF4-FFF2-40B4-BE49-F238E27FC236}">
              <a16:creationId xmlns:a16="http://schemas.microsoft.com/office/drawing/2014/main" id="{5BA453BF-A571-4F87-86DB-F96A8AC01E9D}"/>
            </a:ext>
          </a:extLst>
        </xdr:cNvPr>
        <xdr:cNvCxnSpPr/>
      </xdr:nvCxnSpPr>
      <xdr:spPr>
        <a:xfrm>
          <a:off x="3781541" y="5637061"/>
          <a:ext cx="9175772" cy="0"/>
        </a:xfrm>
        <a:prstGeom prst="line">
          <a:avLst/>
        </a:prstGeom>
        <a:ln w="12700">
          <a:solidFill>
            <a:schemeClr val="bg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76881</xdr:colOff>
      <xdr:row>33</xdr:row>
      <xdr:rowOff>162327</xdr:rowOff>
    </xdr:from>
    <xdr:to>
      <xdr:col>10</xdr:col>
      <xdr:colOff>580828</xdr:colOff>
      <xdr:row>33</xdr:row>
      <xdr:rowOff>163484</xdr:rowOff>
    </xdr:to>
    <xdr:cxnSp macro="">
      <xdr:nvCxnSpPr>
        <xdr:cNvPr id="257" name="Straight Connector 256">
          <a:extLst>
            <a:ext uri="{FF2B5EF4-FFF2-40B4-BE49-F238E27FC236}">
              <a16:creationId xmlns:a16="http://schemas.microsoft.com/office/drawing/2014/main" id="{E66191FB-C622-44AA-A1F7-DA688C9A5324}"/>
            </a:ext>
          </a:extLst>
        </xdr:cNvPr>
        <xdr:cNvCxnSpPr/>
      </xdr:nvCxnSpPr>
      <xdr:spPr>
        <a:xfrm flipV="1">
          <a:off x="5677581" y="601067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78935</xdr:colOff>
      <xdr:row>33</xdr:row>
      <xdr:rowOff>162327</xdr:rowOff>
    </xdr:from>
    <xdr:to>
      <xdr:col>12</xdr:col>
      <xdr:colOff>583758</xdr:colOff>
      <xdr:row>33</xdr:row>
      <xdr:rowOff>163484</xdr:rowOff>
    </xdr:to>
    <xdr:cxnSp macro="">
      <xdr:nvCxnSpPr>
        <xdr:cNvPr id="258" name="Straight Connector 257">
          <a:extLst>
            <a:ext uri="{FF2B5EF4-FFF2-40B4-BE49-F238E27FC236}">
              <a16:creationId xmlns:a16="http://schemas.microsoft.com/office/drawing/2014/main" id="{C68E8342-06FA-42CD-9C1D-69E8AA9E7D3D}"/>
            </a:ext>
          </a:extLst>
        </xdr:cNvPr>
        <xdr:cNvCxnSpPr/>
      </xdr:nvCxnSpPr>
      <xdr:spPr>
        <a:xfrm flipV="1">
          <a:off x="6898835" y="6010677"/>
          <a:ext cx="1114423"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77260</xdr:colOff>
      <xdr:row>33</xdr:row>
      <xdr:rowOff>162327</xdr:rowOff>
    </xdr:from>
    <xdr:to>
      <xdr:col>14</xdr:col>
      <xdr:colOff>582082</xdr:colOff>
      <xdr:row>33</xdr:row>
      <xdr:rowOff>163484</xdr:rowOff>
    </xdr:to>
    <xdr:cxnSp macro="">
      <xdr:nvCxnSpPr>
        <xdr:cNvPr id="259" name="Straight Connector 258">
          <a:extLst>
            <a:ext uri="{FF2B5EF4-FFF2-40B4-BE49-F238E27FC236}">
              <a16:creationId xmlns:a16="http://schemas.microsoft.com/office/drawing/2014/main" id="{1847B468-9968-4F6B-B89A-FEA6E1345DFD}"/>
            </a:ext>
          </a:extLst>
        </xdr:cNvPr>
        <xdr:cNvCxnSpPr/>
      </xdr:nvCxnSpPr>
      <xdr:spPr>
        <a:xfrm flipV="1">
          <a:off x="8116360" y="6010677"/>
          <a:ext cx="1114422"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87863</xdr:colOff>
      <xdr:row>33</xdr:row>
      <xdr:rowOff>162327</xdr:rowOff>
    </xdr:from>
    <xdr:to>
      <xdr:col>16</xdr:col>
      <xdr:colOff>591766</xdr:colOff>
      <xdr:row>33</xdr:row>
      <xdr:rowOff>163484</xdr:rowOff>
    </xdr:to>
    <xdr:cxnSp macro="">
      <xdr:nvCxnSpPr>
        <xdr:cNvPr id="260" name="Straight Connector 259">
          <a:extLst>
            <a:ext uri="{FF2B5EF4-FFF2-40B4-BE49-F238E27FC236}">
              <a16:creationId xmlns:a16="http://schemas.microsoft.com/office/drawing/2014/main" id="{187AC858-3528-4E94-A2C5-E820A0A91D93}"/>
            </a:ext>
          </a:extLst>
        </xdr:cNvPr>
        <xdr:cNvCxnSpPr/>
      </xdr:nvCxnSpPr>
      <xdr:spPr>
        <a:xfrm flipV="1">
          <a:off x="9346163" y="6010677"/>
          <a:ext cx="1113503"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76561</xdr:colOff>
      <xdr:row>33</xdr:row>
      <xdr:rowOff>162327</xdr:rowOff>
    </xdr:from>
    <xdr:to>
      <xdr:col>18</xdr:col>
      <xdr:colOff>580463</xdr:colOff>
      <xdr:row>33</xdr:row>
      <xdr:rowOff>163484</xdr:rowOff>
    </xdr:to>
    <xdr:cxnSp macro="">
      <xdr:nvCxnSpPr>
        <xdr:cNvPr id="261" name="Straight Connector 260">
          <a:extLst>
            <a:ext uri="{FF2B5EF4-FFF2-40B4-BE49-F238E27FC236}">
              <a16:creationId xmlns:a16="http://schemas.microsoft.com/office/drawing/2014/main" id="{52E8AC05-1CAC-4545-985A-7EE5208028F5}"/>
            </a:ext>
          </a:extLst>
        </xdr:cNvPr>
        <xdr:cNvCxnSpPr/>
      </xdr:nvCxnSpPr>
      <xdr:spPr>
        <a:xfrm flipV="1">
          <a:off x="10554061" y="6010677"/>
          <a:ext cx="1113502"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61427</xdr:colOff>
      <xdr:row>33</xdr:row>
      <xdr:rowOff>162327</xdr:rowOff>
    </xdr:from>
    <xdr:to>
      <xdr:col>20</xdr:col>
      <xdr:colOff>565330</xdr:colOff>
      <xdr:row>33</xdr:row>
      <xdr:rowOff>163484</xdr:rowOff>
    </xdr:to>
    <xdr:cxnSp macro="">
      <xdr:nvCxnSpPr>
        <xdr:cNvPr id="262" name="Straight Connector 261">
          <a:extLst>
            <a:ext uri="{FF2B5EF4-FFF2-40B4-BE49-F238E27FC236}">
              <a16:creationId xmlns:a16="http://schemas.microsoft.com/office/drawing/2014/main" id="{15A3EDB1-8060-498A-BC36-E3853BE6589A}"/>
            </a:ext>
          </a:extLst>
        </xdr:cNvPr>
        <xdr:cNvCxnSpPr/>
      </xdr:nvCxnSpPr>
      <xdr:spPr>
        <a:xfrm flipV="1">
          <a:off x="11758127" y="6010677"/>
          <a:ext cx="1113503"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76881</xdr:colOff>
      <xdr:row>40</xdr:row>
      <xdr:rowOff>159727</xdr:rowOff>
    </xdr:from>
    <xdr:to>
      <xdr:col>10</xdr:col>
      <xdr:colOff>580828</xdr:colOff>
      <xdr:row>40</xdr:row>
      <xdr:rowOff>160884</xdr:rowOff>
    </xdr:to>
    <xdr:cxnSp macro="">
      <xdr:nvCxnSpPr>
        <xdr:cNvPr id="263" name="Straight Connector 262">
          <a:extLst>
            <a:ext uri="{FF2B5EF4-FFF2-40B4-BE49-F238E27FC236}">
              <a16:creationId xmlns:a16="http://schemas.microsoft.com/office/drawing/2014/main" id="{5976641F-4BF1-47FE-8E93-EE35EEB0FB15}"/>
            </a:ext>
          </a:extLst>
        </xdr:cNvPr>
        <xdr:cNvCxnSpPr/>
      </xdr:nvCxnSpPr>
      <xdr:spPr>
        <a:xfrm flipV="1">
          <a:off x="5677581" y="715742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78935</xdr:colOff>
      <xdr:row>40</xdr:row>
      <xdr:rowOff>159727</xdr:rowOff>
    </xdr:from>
    <xdr:to>
      <xdr:col>12</xdr:col>
      <xdr:colOff>583758</xdr:colOff>
      <xdr:row>40</xdr:row>
      <xdr:rowOff>160884</xdr:rowOff>
    </xdr:to>
    <xdr:cxnSp macro="">
      <xdr:nvCxnSpPr>
        <xdr:cNvPr id="264" name="Straight Connector 263">
          <a:extLst>
            <a:ext uri="{FF2B5EF4-FFF2-40B4-BE49-F238E27FC236}">
              <a16:creationId xmlns:a16="http://schemas.microsoft.com/office/drawing/2014/main" id="{E5080E39-E317-4E84-A128-4591D6782A0A}"/>
            </a:ext>
          </a:extLst>
        </xdr:cNvPr>
        <xdr:cNvCxnSpPr/>
      </xdr:nvCxnSpPr>
      <xdr:spPr>
        <a:xfrm flipV="1">
          <a:off x="6898835" y="7157427"/>
          <a:ext cx="1114423"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77260</xdr:colOff>
      <xdr:row>40</xdr:row>
      <xdr:rowOff>159727</xdr:rowOff>
    </xdr:from>
    <xdr:to>
      <xdr:col>14</xdr:col>
      <xdr:colOff>582082</xdr:colOff>
      <xdr:row>40</xdr:row>
      <xdr:rowOff>160884</xdr:rowOff>
    </xdr:to>
    <xdr:cxnSp macro="">
      <xdr:nvCxnSpPr>
        <xdr:cNvPr id="265" name="Straight Connector 264">
          <a:extLst>
            <a:ext uri="{FF2B5EF4-FFF2-40B4-BE49-F238E27FC236}">
              <a16:creationId xmlns:a16="http://schemas.microsoft.com/office/drawing/2014/main" id="{0768AD72-973D-4FB0-BAFD-F46F3768FA63}"/>
            </a:ext>
          </a:extLst>
        </xdr:cNvPr>
        <xdr:cNvCxnSpPr/>
      </xdr:nvCxnSpPr>
      <xdr:spPr>
        <a:xfrm flipV="1">
          <a:off x="8116360" y="7157427"/>
          <a:ext cx="1114422"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87863</xdr:colOff>
      <xdr:row>40</xdr:row>
      <xdr:rowOff>159727</xdr:rowOff>
    </xdr:from>
    <xdr:to>
      <xdr:col>16</xdr:col>
      <xdr:colOff>591766</xdr:colOff>
      <xdr:row>40</xdr:row>
      <xdr:rowOff>160884</xdr:rowOff>
    </xdr:to>
    <xdr:cxnSp macro="">
      <xdr:nvCxnSpPr>
        <xdr:cNvPr id="266" name="Straight Connector 265">
          <a:extLst>
            <a:ext uri="{FF2B5EF4-FFF2-40B4-BE49-F238E27FC236}">
              <a16:creationId xmlns:a16="http://schemas.microsoft.com/office/drawing/2014/main" id="{36B0B642-C5B6-44E5-8749-D4E02684EC8D}"/>
            </a:ext>
          </a:extLst>
        </xdr:cNvPr>
        <xdr:cNvCxnSpPr/>
      </xdr:nvCxnSpPr>
      <xdr:spPr>
        <a:xfrm flipV="1">
          <a:off x="9346163" y="7157427"/>
          <a:ext cx="1113503"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76561</xdr:colOff>
      <xdr:row>40</xdr:row>
      <xdr:rowOff>159727</xdr:rowOff>
    </xdr:from>
    <xdr:to>
      <xdr:col>18</xdr:col>
      <xdr:colOff>580463</xdr:colOff>
      <xdr:row>40</xdr:row>
      <xdr:rowOff>160884</xdr:rowOff>
    </xdr:to>
    <xdr:cxnSp macro="">
      <xdr:nvCxnSpPr>
        <xdr:cNvPr id="267" name="Straight Connector 266">
          <a:extLst>
            <a:ext uri="{FF2B5EF4-FFF2-40B4-BE49-F238E27FC236}">
              <a16:creationId xmlns:a16="http://schemas.microsoft.com/office/drawing/2014/main" id="{C49D60FE-5AB2-477B-A2E9-5586B386F2F1}"/>
            </a:ext>
          </a:extLst>
        </xdr:cNvPr>
        <xdr:cNvCxnSpPr/>
      </xdr:nvCxnSpPr>
      <xdr:spPr>
        <a:xfrm flipV="1">
          <a:off x="10554061" y="7157427"/>
          <a:ext cx="1113502"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61427</xdr:colOff>
      <xdr:row>40</xdr:row>
      <xdr:rowOff>159727</xdr:rowOff>
    </xdr:from>
    <xdr:to>
      <xdr:col>20</xdr:col>
      <xdr:colOff>565330</xdr:colOff>
      <xdr:row>40</xdr:row>
      <xdr:rowOff>160884</xdr:rowOff>
    </xdr:to>
    <xdr:cxnSp macro="">
      <xdr:nvCxnSpPr>
        <xdr:cNvPr id="268" name="Straight Connector 267">
          <a:extLst>
            <a:ext uri="{FF2B5EF4-FFF2-40B4-BE49-F238E27FC236}">
              <a16:creationId xmlns:a16="http://schemas.microsoft.com/office/drawing/2014/main" id="{48EDED21-6C5E-4955-9E50-B715C184050D}"/>
            </a:ext>
          </a:extLst>
        </xdr:cNvPr>
        <xdr:cNvCxnSpPr/>
      </xdr:nvCxnSpPr>
      <xdr:spPr>
        <a:xfrm flipV="1">
          <a:off x="11758127" y="7157427"/>
          <a:ext cx="1113503"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58081</xdr:colOff>
      <xdr:row>44</xdr:row>
      <xdr:rowOff>162046</xdr:rowOff>
    </xdr:from>
    <xdr:to>
      <xdr:col>10</xdr:col>
      <xdr:colOff>562028</xdr:colOff>
      <xdr:row>44</xdr:row>
      <xdr:rowOff>163364</xdr:rowOff>
    </xdr:to>
    <xdr:cxnSp macro="">
      <xdr:nvCxnSpPr>
        <xdr:cNvPr id="269" name="Straight Connector 268">
          <a:extLst>
            <a:ext uri="{FF2B5EF4-FFF2-40B4-BE49-F238E27FC236}">
              <a16:creationId xmlns:a16="http://schemas.microsoft.com/office/drawing/2014/main" id="{C884759C-AF74-48AB-A5FB-A0FD505A689C}"/>
            </a:ext>
          </a:extLst>
        </xdr:cNvPr>
        <xdr:cNvCxnSpPr/>
      </xdr:nvCxnSpPr>
      <xdr:spPr>
        <a:xfrm flipV="1">
          <a:off x="5658781" y="78963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60135</xdr:colOff>
      <xdr:row>44</xdr:row>
      <xdr:rowOff>162046</xdr:rowOff>
    </xdr:from>
    <xdr:to>
      <xdr:col>12</xdr:col>
      <xdr:colOff>564958</xdr:colOff>
      <xdr:row>44</xdr:row>
      <xdr:rowOff>163364</xdr:rowOff>
    </xdr:to>
    <xdr:cxnSp macro="">
      <xdr:nvCxnSpPr>
        <xdr:cNvPr id="270" name="Straight Connector 269">
          <a:extLst>
            <a:ext uri="{FF2B5EF4-FFF2-40B4-BE49-F238E27FC236}">
              <a16:creationId xmlns:a16="http://schemas.microsoft.com/office/drawing/2014/main" id="{0753B244-36ED-4144-9610-8901460DDF86}"/>
            </a:ext>
          </a:extLst>
        </xdr:cNvPr>
        <xdr:cNvCxnSpPr/>
      </xdr:nvCxnSpPr>
      <xdr:spPr>
        <a:xfrm flipV="1">
          <a:off x="6880035" y="7896346"/>
          <a:ext cx="1114423"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58460</xdr:colOff>
      <xdr:row>44</xdr:row>
      <xdr:rowOff>162046</xdr:rowOff>
    </xdr:from>
    <xdr:to>
      <xdr:col>14</xdr:col>
      <xdr:colOff>563282</xdr:colOff>
      <xdr:row>44</xdr:row>
      <xdr:rowOff>163364</xdr:rowOff>
    </xdr:to>
    <xdr:cxnSp macro="">
      <xdr:nvCxnSpPr>
        <xdr:cNvPr id="271" name="Straight Connector 270">
          <a:extLst>
            <a:ext uri="{FF2B5EF4-FFF2-40B4-BE49-F238E27FC236}">
              <a16:creationId xmlns:a16="http://schemas.microsoft.com/office/drawing/2014/main" id="{636CB55A-6FEF-48E4-9EF1-8E752919EFB3}"/>
            </a:ext>
          </a:extLst>
        </xdr:cNvPr>
        <xdr:cNvCxnSpPr/>
      </xdr:nvCxnSpPr>
      <xdr:spPr>
        <a:xfrm flipV="1">
          <a:off x="8097560" y="7896346"/>
          <a:ext cx="1114422"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69063</xdr:colOff>
      <xdr:row>44</xdr:row>
      <xdr:rowOff>162046</xdr:rowOff>
    </xdr:from>
    <xdr:to>
      <xdr:col>16</xdr:col>
      <xdr:colOff>572966</xdr:colOff>
      <xdr:row>44</xdr:row>
      <xdr:rowOff>163364</xdr:rowOff>
    </xdr:to>
    <xdr:cxnSp macro="">
      <xdr:nvCxnSpPr>
        <xdr:cNvPr id="272" name="Straight Connector 271">
          <a:extLst>
            <a:ext uri="{FF2B5EF4-FFF2-40B4-BE49-F238E27FC236}">
              <a16:creationId xmlns:a16="http://schemas.microsoft.com/office/drawing/2014/main" id="{62EF3991-15CC-4A71-A59C-A4B2D81C802A}"/>
            </a:ext>
          </a:extLst>
        </xdr:cNvPr>
        <xdr:cNvCxnSpPr/>
      </xdr:nvCxnSpPr>
      <xdr:spPr>
        <a:xfrm flipV="1">
          <a:off x="9327363" y="7896346"/>
          <a:ext cx="1113503"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57761</xdr:colOff>
      <xdr:row>44</xdr:row>
      <xdr:rowOff>162046</xdr:rowOff>
    </xdr:from>
    <xdr:to>
      <xdr:col>18</xdr:col>
      <xdr:colOff>561663</xdr:colOff>
      <xdr:row>44</xdr:row>
      <xdr:rowOff>163364</xdr:rowOff>
    </xdr:to>
    <xdr:cxnSp macro="">
      <xdr:nvCxnSpPr>
        <xdr:cNvPr id="273" name="Straight Connector 272">
          <a:extLst>
            <a:ext uri="{FF2B5EF4-FFF2-40B4-BE49-F238E27FC236}">
              <a16:creationId xmlns:a16="http://schemas.microsoft.com/office/drawing/2014/main" id="{C4202E93-9289-4426-AAA6-15D28E387F7B}"/>
            </a:ext>
          </a:extLst>
        </xdr:cNvPr>
        <xdr:cNvCxnSpPr/>
      </xdr:nvCxnSpPr>
      <xdr:spPr>
        <a:xfrm flipV="1">
          <a:off x="10535261" y="7896346"/>
          <a:ext cx="1113502"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42627</xdr:colOff>
      <xdr:row>44</xdr:row>
      <xdr:rowOff>162046</xdr:rowOff>
    </xdr:from>
    <xdr:to>
      <xdr:col>20</xdr:col>
      <xdr:colOff>546530</xdr:colOff>
      <xdr:row>44</xdr:row>
      <xdr:rowOff>163364</xdr:rowOff>
    </xdr:to>
    <xdr:cxnSp macro="">
      <xdr:nvCxnSpPr>
        <xdr:cNvPr id="274" name="Straight Connector 273">
          <a:extLst>
            <a:ext uri="{FF2B5EF4-FFF2-40B4-BE49-F238E27FC236}">
              <a16:creationId xmlns:a16="http://schemas.microsoft.com/office/drawing/2014/main" id="{A348139C-EC08-4C22-ABE3-656D88CEA111}"/>
            </a:ext>
          </a:extLst>
        </xdr:cNvPr>
        <xdr:cNvCxnSpPr/>
      </xdr:nvCxnSpPr>
      <xdr:spPr>
        <a:xfrm flipV="1">
          <a:off x="11739327" y="7896346"/>
          <a:ext cx="1113503"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58081</xdr:colOff>
      <xdr:row>53</xdr:row>
      <xdr:rowOff>159446</xdr:rowOff>
    </xdr:from>
    <xdr:to>
      <xdr:col>10</xdr:col>
      <xdr:colOff>562028</xdr:colOff>
      <xdr:row>53</xdr:row>
      <xdr:rowOff>160764</xdr:rowOff>
    </xdr:to>
    <xdr:cxnSp macro="">
      <xdr:nvCxnSpPr>
        <xdr:cNvPr id="275" name="Straight Connector 274">
          <a:extLst>
            <a:ext uri="{FF2B5EF4-FFF2-40B4-BE49-F238E27FC236}">
              <a16:creationId xmlns:a16="http://schemas.microsoft.com/office/drawing/2014/main" id="{DAB760BD-CFC0-4662-B34F-BA7BB6013718}"/>
            </a:ext>
          </a:extLst>
        </xdr:cNvPr>
        <xdr:cNvCxnSpPr/>
      </xdr:nvCxnSpPr>
      <xdr:spPr>
        <a:xfrm flipV="1">
          <a:off x="5658781" y="93986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60135</xdr:colOff>
      <xdr:row>53</xdr:row>
      <xdr:rowOff>159446</xdr:rowOff>
    </xdr:from>
    <xdr:to>
      <xdr:col>12</xdr:col>
      <xdr:colOff>564958</xdr:colOff>
      <xdr:row>53</xdr:row>
      <xdr:rowOff>160764</xdr:rowOff>
    </xdr:to>
    <xdr:cxnSp macro="">
      <xdr:nvCxnSpPr>
        <xdr:cNvPr id="276" name="Straight Connector 275">
          <a:extLst>
            <a:ext uri="{FF2B5EF4-FFF2-40B4-BE49-F238E27FC236}">
              <a16:creationId xmlns:a16="http://schemas.microsoft.com/office/drawing/2014/main" id="{58F93252-B09F-4C95-8A83-7B384DF1CD8E}"/>
            </a:ext>
          </a:extLst>
        </xdr:cNvPr>
        <xdr:cNvCxnSpPr/>
      </xdr:nvCxnSpPr>
      <xdr:spPr>
        <a:xfrm flipV="1">
          <a:off x="6880035" y="9398696"/>
          <a:ext cx="1114423"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58460</xdr:colOff>
      <xdr:row>53</xdr:row>
      <xdr:rowOff>159446</xdr:rowOff>
    </xdr:from>
    <xdr:to>
      <xdr:col>14</xdr:col>
      <xdr:colOff>563282</xdr:colOff>
      <xdr:row>53</xdr:row>
      <xdr:rowOff>160764</xdr:rowOff>
    </xdr:to>
    <xdr:cxnSp macro="">
      <xdr:nvCxnSpPr>
        <xdr:cNvPr id="277" name="Straight Connector 276">
          <a:extLst>
            <a:ext uri="{FF2B5EF4-FFF2-40B4-BE49-F238E27FC236}">
              <a16:creationId xmlns:a16="http://schemas.microsoft.com/office/drawing/2014/main" id="{12D37963-430B-4F74-9CC8-2E5EE12B8666}"/>
            </a:ext>
          </a:extLst>
        </xdr:cNvPr>
        <xdr:cNvCxnSpPr/>
      </xdr:nvCxnSpPr>
      <xdr:spPr>
        <a:xfrm flipV="1">
          <a:off x="8097560" y="9398696"/>
          <a:ext cx="1114422"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69063</xdr:colOff>
      <xdr:row>53</xdr:row>
      <xdr:rowOff>159446</xdr:rowOff>
    </xdr:from>
    <xdr:to>
      <xdr:col>16</xdr:col>
      <xdr:colOff>572966</xdr:colOff>
      <xdr:row>53</xdr:row>
      <xdr:rowOff>160764</xdr:rowOff>
    </xdr:to>
    <xdr:cxnSp macro="">
      <xdr:nvCxnSpPr>
        <xdr:cNvPr id="278" name="Straight Connector 277">
          <a:extLst>
            <a:ext uri="{FF2B5EF4-FFF2-40B4-BE49-F238E27FC236}">
              <a16:creationId xmlns:a16="http://schemas.microsoft.com/office/drawing/2014/main" id="{A30FF87F-D98F-4A80-8C46-FF68F667A702}"/>
            </a:ext>
          </a:extLst>
        </xdr:cNvPr>
        <xdr:cNvCxnSpPr/>
      </xdr:nvCxnSpPr>
      <xdr:spPr>
        <a:xfrm flipV="1">
          <a:off x="9327363" y="9398696"/>
          <a:ext cx="1113503"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57761</xdr:colOff>
      <xdr:row>53</xdr:row>
      <xdr:rowOff>159446</xdr:rowOff>
    </xdr:from>
    <xdr:to>
      <xdr:col>18</xdr:col>
      <xdr:colOff>561663</xdr:colOff>
      <xdr:row>53</xdr:row>
      <xdr:rowOff>160764</xdr:rowOff>
    </xdr:to>
    <xdr:cxnSp macro="">
      <xdr:nvCxnSpPr>
        <xdr:cNvPr id="279" name="Straight Connector 278">
          <a:extLst>
            <a:ext uri="{FF2B5EF4-FFF2-40B4-BE49-F238E27FC236}">
              <a16:creationId xmlns:a16="http://schemas.microsoft.com/office/drawing/2014/main" id="{9CA9457D-B9C9-4A72-BF21-08FF2D82FD06}"/>
            </a:ext>
          </a:extLst>
        </xdr:cNvPr>
        <xdr:cNvCxnSpPr/>
      </xdr:nvCxnSpPr>
      <xdr:spPr>
        <a:xfrm flipV="1">
          <a:off x="10535261" y="9398696"/>
          <a:ext cx="1113502"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42627</xdr:colOff>
      <xdr:row>53</xdr:row>
      <xdr:rowOff>159446</xdr:rowOff>
    </xdr:from>
    <xdr:to>
      <xdr:col>20</xdr:col>
      <xdr:colOff>546530</xdr:colOff>
      <xdr:row>53</xdr:row>
      <xdr:rowOff>160764</xdr:rowOff>
    </xdr:to>
    <xdr:cxnSp macro="">
      <xdr:nvCxnSpPr>
        <xdr:cNvPr id="280" name="Straight Connector 279">
          <a:extLst>
            <a:ext uri="{FF2B5EF4-FFF2-40B4-BE49-F238E27FC236}">
              <a16:creationId xmlns:a16="http://schemas.microsoft.com/office/drawing/2014/main" id="{64A2AD6C-47E4-407B-8A48-42B0200B7917}"/>
            </a:ext>
          </a:extLst>
        </xdr:cNvPr>
        <xdr:cNvCxnSpPr/>
      </xdr:nvCxnSpPr>
      <xdr:spPr>
        <a:xfrm flipV="1">
          <a:off x="11739327" y="9398696"/>
          <a:ext cx="1113503"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58081</xdr:colOff>
      <xdr:row>54</xdr:row>
      <xdr:rowOff>161846</xdr:rowOff>
    </xdr:from>
    <xdr:to>
      <xdr:col>10</xdr:col>
      <xdr:colOff>562028</xdr:colOff>
      <xdr:row>54</xdr:row>
      <xdr:rowOff>163164</xdr:rowOff>
    </xdr:to>
    <xdr:cxnSp macro="">
      <xdr:nvCxnSpPr>
        <xdr:cNvPr id="281" name="Straight Connector 280">
          <a:extLst>
            <a:ext uri="{FF2B5EF4-FFF2-40B4-BE49-F238E27FC236}">
              <a16:creationId xmlns:a16="http://schemas.microsoft.com/office/drawing/2014/main" id="{619FB789-2B54-4167-A29C-33DC7288C81F}"/>
            </a:ext>
          </a:extLst>
        </xdr:cNvPr>
        <xdr:cNvCxnSpPr/>
      </xdr:nvCxnSpPr>
      <xdr:spPr>
        <a:xfrm flipV="1">
          <a:off x="5658781" y="95852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60135</xdr:colOff>
      <xdr:row>54</xdr:row>
      <xdr:rowOff>161846</xdr:rowOff>
    </xdr:from>
    <xdr:to>
      <xdr:col>12</xdr:col>
      <xdr:colOff>564958</xdr:colOff>
      <xdr:row>54</xdr:row>
      <xdr:rowOff>163164</xdr:rowOff>
    </xdr:to>
    <xdr:cxnSp macro="">
      <xdr:nvCxnSpPr>
        <xdr:cNvPr id="282" name="Straight Connector 281">
          <a:extLst>
            <a:ext uri="{FF2B5EF4-FFF2-40B4-BE49-F238E27FC236}">
              <a16:creationId xmlns:a16="http://schemas.microsoft.com/office/drawing/2014/main" id="{8384A2D6-AECD-442E-90A7-9CFE7A89773E}"/>
            </a:ext>
          </a:extLst>
        </xdr:cNvPr>
        <xdr:cNvCxnSpPr/>
      </xdr:nvCxnSpPr>
      <xdr:spPr>
        <a:xfrm flipV="1">
          <a:off x="6880035" y="9585246"/>
          <a:ext cx="1114423"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58460</xdr:colOff>
      <xdr:row>54</xdr:row>
      <xdr:rowOff>161846</xdr:rowOff>
    </xdr:from>
    <xdr:to>
      <xdr:col>14</xdr:col>
      <xdr:colOff>563282</xdr:colOff>
      <xdr:row>54</xdr:row>
      <xdr:rowOff>163164</xdr:rowOff>
    </xdr:to>
    <xdr:cxnSp macro="">
      <xdr:nvCxnSpPr>
        <xdr:cNvPr id="283" name="Straight Connector 282">
          <a:extLst>
            <a:ext uri="{FF2B5EF4-FFF2-40B4-BE49-F238E27FC236}">
              <a16:creationId xmlns:a16="http://schemas.microsoft.com/office/drawing/2014/main" id="{CB041EE6-15E3-43B9-8E91-D3DD38EB9D3A}"/>
            </a:ext>
          </a:extLst>
        </xdr:cNvPr>
        <xdr:cNvCxnSpPr/>
      </xdr:nvCxnSpPr>
      <xdr:spPr>
        <a:xfrm flipV="1">
          <a:off x="8097560" y="9585246"/>
          <a:ext cx="1114422"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69063</xdr:colOff>
      <xdr:row>54</xdr:row>
      <xdr:rowOff>161846</xdr:rowOff>
    </xdr:from>
    <xdr:to>
      <xdr:col>16</xdr:col>
      <xdr:colOff>572966</xdr:colOff>
      <xdr:row>54</xdr:row>
      <xdr:rowOff>163164</xdr:rowOff>
    </xdr:to>
    <xdr:cxnSp macro="">
      <xdr:nvCxnSpPr>
        <xdr:cNvPr id="284" name="Straight Connector 283">
          <a:extLst>
            <a:ext uri="{FF2B5EF4-FFF2-40B4-BE49-F238E27FC236}">
              <a16:creationId xmlns:a16="http://schemas.microsoft.com/office/drawing/2014/main" id="{0522F89C-2A50-4298-8747-6237938184BA}"/>
            </a:ext>
          </a:extLst>
        </xdr:cNvPr>
        <xdr:cNvCxnSpPr/>
      </xdr:nvCxnSpPr>
      <xdr:spPr>
        <a:xfrm flipV="1">
          <a:off x="9327363" y="9585246"/>
          <a:ext cx="1113503"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57761</xdr:colOff>
      <xdr:row>54</xdr:row>
      <xdr:rowOff>161846</xdr:rowOff>
    </xdr:from>
    <xdr:to>
      <xdr:col>18</xdr:col>
      <xdr:colOff>561663</xdr:colOff>
      <xdr:row>54</xdr:row>
      <xdr:rowOff>163164</xdr:rowOff>
    </xdr:to>
    <xdr:cxnSp macro="">
      <xdr:nvCxnSpPr>
        <xdr:cNvPr id="285" name="Straight Connector 284">
          <a:extLst>
            <a:ext uri="{FF2B5EF4-FFF2-40B4-BE49-F238E27FC236}">
              <a16:creationId xmlns:a16="http://schemas.microsoft.com/office/drawing/2014/main" id="{683EC33E-98EF-4430-9BCC-A764453CE982}"/>
            </a:ext>
          </a:extLst>
        </xdr:cNvPr>
        <xdr:cNvCxnSpPr/>
      </xdr:nvCxnSpPr>
      <xdr:spPr>
        <a:xfrm flipV="1">
          <a:off x="10535261" y="9585246"/>
          <a:ext cx="1113502"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42627</xdr:colOff>
      <xdr:row>54</xdr:row>
      <xdr:rowOff>161846</xdr:rowOff>
    </xdr:from>
    <xdr:to>
      <xdr:col>20</xdr:col>
      <xdr:colOff>546530</xdr:colOff>
      <xdr:row>54</xdr:row>
      <xdr:rowOff>163164</xdr:rowOff>
    </xdr:to>
    <xdr:cxnSp macro="">
      <xdr:nvCxnSpPr>
        <xdr:cNvPr id="286" name="Straight Connector 285">
          <a:extLst>
            <a:ext uri="{FF2B5EF4-FFF2-40B4-BE49-F238E27FC236}">
              <a16:creationId xmlns:a16="http://schemas.microsoft.com/office/drawing/2014/main" id="{7B2DF497-9E89-4987-B6E2-F4DD6E071CA9}"/>
            </a:ext>
          </a:extLst>
        </xdr:cNvPr>
        <xdr:cNvCxnSpPr/>
      </xdr:nvCxnSpPr>
      <xdr:spPr>
        <a:xfrm flipV="1">
          <a:off x="11739327" y="9585246"/>
          <a:ext cx="1113503"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58081</xdr:colOff>
      <xdr:row>55</xdr:row>
      <xdr:rowOff>4246</xdr:rowOff>
    </xdr:from>
    <xdr:to>
      <xdr:col>10</xdr:col>
      <xdr:colOff>562028</xdr:colOff>
      <xdr:row>55</xdr:row>
      <xdr:rowOff>5564</xdr:rowOff>
    </xdr:to>
    <xdr:cxnSp macro="">
      <xdr:nvCxnSpPr>
        <xdr:cNvPr id="287" name="Straight Connector 286">
          <a:extLst>
            <a:ext uri="{FF2B5EF4-FFF2-40B4-BE49-F238E27FC236}">
              <a16:creationId xmlns:a16="http://schemas.microsoft.com/office/drawing/2014/main" id="{4E5B83DF-8D8B-4674-BDB2-DA7F34013A76}"/>
            </a:ext>
          </a:extLst>
        </xdr:cNvPr>
        <xdr:cNvCxnSpPr/>
      </xdr:nvCxnSpPr>
      <xdr:spPr>
        <a:xfrm flipV="1">
          <a:off x="5658781" y="96117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60135</xdr:colOff>
      <xdr:row>55</xdr:row>
      <xdr:rowOff>4246</xdr:rowOff>
    </xdr:from>
    <xdr:to>
      <xdr:col>12</xdr:col>
      <xdr:colOff>564958</xdr:colOff>
      <xdr:row>55</xdr:row>
      <xdr:rowOff>5564</xdr:rowOff>
    </xdr:to>
    <xdr:cxnSp macro="">
      <xdr:nvCxnSpPr>
        <xdr:cNvPr id="288" name="Straight Connector 287">
          <a:extLst>
            <a:ext uri="{FF2B5EF4-FFF2-40B4-BE49-F238E27FC236}">
              <a16:creationId xmlns:a16="http://schemas.microsoft.com/office/drawing/2014/main" id="{BA9B1D76-BDAF-4213-BA1C-10FFAD3E5E99}"/>
            </a:ext>
          </a:extLst>
        </xdr:cNvPr>
        <xdr:cNvCxnSpPr/>
      </xdr:nvCxnSpPr>
      <xdr:spPr>
        <a:xfrm flipV="1">
          <a:off x="6880035" y="9611796"/>
          <a:ext cx="1114423"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58460</xdr:colOff>
      <xdr:row>55</xdr:row>
      <xdr:rowOff>4246</xdr:rowOff>
    </xdr:from>
    <xdr:to>
      <xdr:col>14</xdr:col>
      <xdr:colOff>563282</xdr:colOff>
      <xdr:row>55</xdr:row>
      <xdr:rowOff>5564</xdr:rowOff>
    </xdr:to>
    <xdr:cxnSp macro="">
      <xdr:nvCxnSpPr>
        <xdr:cNvPr id="289" name="Straight Connector 288">
          <a:extLst>
            <a:ext uri="{FF2B5EF4-FFF2-40B4-BE49-F238E27FC236}">
              <a16:creationId xmlns:a16="http://schemas.microsoft.com/office/drawing/2014/main" id="{FDC1C021-6DBA-4936-826F-C89A8D9CF8F9}"/>
            </a:ext>
          </a:extLst>
        </xdr:cNvPr>
        <xdr:cNvCxnSpPr/>
      </xdr:nvCxnSpPr>
      <xdr:spPr>
        <a:xfrm flipV="1">
          <a:off x="8097560" y="9611796"/>
          <a:ext cx="1114422"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69063</xdr:colOff>
      <xdr:row>55</xdr:row>
      <xdr:rowOff>4246</xdr:rowOff>
    </xdr:from>
    <xdr:to>
      <xdr:col>16</xdr:col>
      <xdr:colOff>572966</xdr:colOff>
      <xdr:row>55</xdr:row>
      <xdr:rowOff>5564</xdr:rowOff>
    </xdr:to>
    <xdr:cxnSp macro="">
      <xdr:nvCxnSpPr>
        <xdr:cNvPr id="290" name="Straight Connector 289">
          <a:extLst>
            <a:ext uri="{FF2B5EF4-FFF2-40B4-BE49-F238E27FC236}">
              <a16:creationId xmlns:a16="http://schemas.microsoft.com/office/drawing/2014/main" id="{9F29C249-A929-4277-ACB0-BE22CE854AB9}"/>
            </a:ext>
          </a:extLst>
        </xdr:cNvPr>
        <xdr:cNvCxnSpPr/>
      </xdr:nvCxnSpPr>
      <xdr:spPr>
        <a:xfrm flipV="1">
          <a:off x="9327363" y="9611796"/>
          <a:ext cx="1113503"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57761</xdr:colOff>
      <xdr:row>55</xdr:row>
      <xdr:rowOff>4246</xdr:rowOff>
    </xdr:from>
    <xdr:to>
      <xdr:col>18</xdr:col>
      <xdr:colOff>561663</xdr:colOff>
      <xdr:row>55</xdr:row>
      <xdr:rowOff>5564</xdr:rowOff>
    </xdr:to>
    <xdr:cxnSp macro="">
      <xdr:nvCxnSpPr>
        <xdr:cNvPr id="291" name="Straight Connector 290">
          <a:extLst>
            <a:ext uri="{FF2B5EF4-FFF2-40B4-BE49-F238E27FC236}">
              <a16:creationId xmlns:a16="http://schemas.microsoft.com/office/drawing/2014/main" id="{C8E9A099-48F2-48C5-B754-E91F94A4080B}"/>
            </a:ext>
          </a:extLst>
        </xdr:cNvPr>
        <xdr:cNvCxnSpPr/>
      </xdr:nvCxnSpPr>
      <xdr:spPr>
        <a:xfrm flipV="1">
          <a:off x="10535261" y="9611796"/>
          <a:ext cx="1113502"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42627</xdr:colOff>
      <xdr:row>55</xdr:row>
      <xdr:rowOff>4246</xdr:rowOff>
    </xdr:from>
    <xdr:to>
      <xdr:col>20</xdr:col>
      <xdr:colOff>546530</xdr:colOff>
      <xdr:row>55</xdr:row>
      <xdr:rowOff>5564</xdr:rowOff>
    </xdr:to>
    <xdr:cxnSp macro="">
      <xdr:nvCxnSpPr>
        <xdr:cNvPr id="292" name="Straight Connector 291">
          <a:extLst>
            <a:ext uri="{FF2B5EF4-FFF2-40B4-BE49-F238E27FC236}">
              <a16:creationId xmlns:a16="http://schemas.microsoft.com/office/drawing/2014/main" id="{611445D1-E310-4E07-BE65-0B74967EA08A}"/>
            </a:ext>
          </a:extLst>
        </xdr:cNvPr>
        <xdr:cNvCxnSpPr/>
      </xdr:nvCxnSpPr>
      <xdr:spPr>
        <a:xfrm flipV="1">
          <a:off x="11739327" y="9611796"/>
          <a:ext cx="1113503"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9641</xdr:colOff>
      <xdr:row>61</xdr:row>
      <xdr:rowOff>152722</xdr:rowOff>
    </xdr:from>
    <xdr:to>
      <xdr:col>21</xdr:col>
      <xdr:colOff>41413</xdr:colOff>
      <xdr:row>61</xdr:row>
      <xdr:rowOff>152722</xdr:rowOff>
    </xdr:to>
    <xdr:cxnSp macro="">
      <xdr:nvCxnSpPr>
        <xdr:cNvPr id="293" name="Straight Connector 292">
          <a:extLst>
            <a:ext uri="{FF2B5EF4-FFF2-40B4-BE49-F238E27FC236}">
              <a16:creationId xmlns:a16="http://schemas.microsoft.com/office/drawing/2014/main" id="{81383275-B2C7-40AA-AEC4-F92570EB7168}"/>
            </a:ext>
          </a:extLst>
        </xdr:cNvPr>
        <xdr:cNvCxnSpPr/>
      </xdr:nvCxnSpPr>
      <xdr:spPr>
        <a:xfrm>
          <a:off x="3781541" y="10738172"/>
          <a:ext cx="9175772" cy="0"/>
        </a:xfrm>
        <a:prstGeom prst="line">
          <a:avLst/>
        </a:prstGeom>
        <a:ln w="12700">
          <a:solidFill>
            <a:schemeClr val="bg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0</xdr:colOff>
      <xdr:row>64</xdr:row>
      <xdr:rowOff>155963</xdr:rowOff>
    </xdr:from>
    <xdr:to>
      <xdr:col>5</xdr:col>
      <xdr:colOff>0</xdr:colOff>
      <xdr:row>64</xdr:row>
      <xdr:rowOff>163262</xdr:rowOff>
    </xdr:to>
    <xdr:cxnSp macro="">
      <xdr:nvCxnSpPr>
        <xdr:cNvPr id="294" name="Straight Connector 293">
          <a:extLst>
            <a:ext uri="{FF2B5EF4-FFF2-40B4-BE49-F238E27FC236}">
              <a16:creationId xmlns:a16="http://schemas.microsoft.com/office/drawing/2014/main" id="{0FFBEAA0-C1A7-4415-B412-EE0F5D8B239C}"/>
            </a:ext>
          </a:extLst>
        </xdr:cNvPr>
        <xdr:cNvCxnSpPr/>
      </xdr:nvCxnSpPr>
      <xdr:spPr>
        <a:xfrm>
          <a:off x="609600" y="11300213"/>
          <a:ext cx="2552700" cy="7299"/>
        </a:xfrm>
        <a:prstGeom prst="line">
          <a:avLst/>
        </a:prstGeom>
        <a:ln w="12700">
          <a:solidFill>
            <a:schemeClr val="bg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604796</xdr:colOff>
      <xdr:row>68</xdr:row>
      <xdr:rowOff>154145</xdr:rowOff>
    </xdr:from>
    <xdr:to>
      <xdr:col>27</xdr:col>
      <xdr:colOff>0</xdr:colOff>
      <xdr:row>68</xdr:row>
      <xdr:rowOff>157534</xdr:rowOff>
    </xdr:to>
    <xdr:cxnSp macro="">
      <xdr:nvCxnSpPr>
        <xdr:cNvPr id="295" name="Straight Connector 294">
          <a:extLst>
            <a:ext uri="{FF2B5EF4-FFF2-40B4-BE49-F238E27FC236}">
              <a16:creationId xmlns:a16="http://schemas.microsoft.com/office/drawing/2014/main" id="{34047313-AF78-4440-997B-CFE8E15F6341}"/>
            </a:ext>
          </a:extLst>
        </xdr:cNvPr>
        <xdr:cNvCxnSpPr/>
      </xdr:nvCxnSpPr>
      <xdr:spPr>
        <a:xfrm flipV="1">
          <a:off x="3767096" y="12041345"/>
          <a:ext cx="13454104" cy="3389"/>
        </a:xfrm>
        <a:prstGeom prst="line">
          <a:avLst/>
        </a:prstGeom>
        <a:ln w="12700">
          <a:solidFill>
            <a:schemeClr val="bg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0</xdr:colOff>
      <xdr:row>38</xdr:row>
      <xdr:rowOff>155032</xdr:rowOff>
    </xdr:from>
    <xdr:to>
      <xdr:col>27</xdr:col>
      <xdr:colOff>0</xdr:colOff>
      <xdr:row>38</xdr:row>
      <xdr:rowOff>155124</xdr:rowOff>
    </xdr:to>
    <xdr:cxnSp macro="">
      <xdr:nvCxnSpPr>
        <xdr:cNvPr id="296" name="Straight Connector 295">
          <a:extLst>
            <a:ext uri="{FF2B5EF4-FFF2-40B4-BE49-F238E27FC236}">
              <a16:creationId xmlns:a16="http://schemas.microsoft.com/office/drawing/2014/main" id="{7320C2BE-1B4A-4BF8-8AFD-849DAF31CB51}"/>
            </a:ext>
          </a:extLst>
        </xdr:cNvPr>
        <xdr:cNvCxnSpPr/>
      </xdr:nvCxnSpPr>
      <xdr:spPr>
        <a:xfrm flipV="1">
          <a:off x="13525500" y="6784432"/>
          <a:ext cx="3695700" cy="92"/>
        </a:xfrm>
        <a:prstGeom prst="line">
          <a:avLst/>
        </a:prstGeom>
        <a:ln w="12700">
          <a:solidFill>
            <a:schemeClr val="bg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62365</xdr:colOff>
      <xdr:row>9</xdr:row>
      <xdr:rowOff>159148</xdr:rowOff>
    </xdr:from>
    <xdr:to>
      <xdr:col>25</xdr:col>
      <xdr:colOff>702445</xdr:colOff>
      <xdr:row>9</xdr:row>
      <xdr:rowOff>159148</xdr:rowOff>
    </xdr:to>
    <xdr:cxnSp macro="">
      <xdr:nvCxnSpPr>
        <xdr:cNvPr id="297" name="Straight Connector 296">
          <a:extLst>
            <a:ext uri="{FF2B5EF4-FFF2-40B4-BE49-F238E27FC236}">
              <a16:creationId xmlns:a16="http://schemas.microsoft.com/office/drawing/2014/main" id="{F3AD9B88-17B9-4DC7-8F11-B44A0B6D2C89}"/>
            </a:ext>
          </a:extLst>
        </xdr:cNvPr>
        <xdr:cNvCxnSpPr/>
      </xdr:nvCxnSpPr>
      <xdr:spPr>
        <a:xfrm>
          <a:off x="15873865" y="1702198"/>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58251</xdr:colOff>
      <xdr:row>9</xdr:row>
      <xdr:rowOff>159148</xdr:rowOff>
    </xdr:from>
    <xdr:to>
      <xdr:col>26</xdr:col>
      <xdr:colOff>698331</xdr:colOff>
      <xdr:row>9</xdr:row>
      <xdr:rowOff>159148</xdr:rowOff>
    </xdr:to>
    <xdr:cxnSp macro="">
      <xdr:nvCxnSpPr>
        <xdr:cNvPr id="298" name="Straight Connector 297">
          <a:extLst>
            <a:ext uri="{FF2B5EF4-FFF2-40B4-BE49-F238E27FC236}">
              <a16:creationId xmlns:a16="http://schemas.microsoft.com/office/drawing/2014/main" id="{AA5872C6-AD6A-47FA-9D84-7D08E9682ED9}"/>
            </a:ext>
          </a:extLst>
        </xdr:cNvPr>
        <xdr:cNvCxnSpPr/>
      </xdr:nvCxnSpPr>
      <xdr:spPr>
        <a:xfrm>
          <a:off x="16631751" y="1702198"/>
          <a:ext cx="5892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67196</xdr:colOff>
      <xdr:row>13</xdr:row>
      <xdr:rowOff>159506</xdr:rowOff>
    </xdr:from>
    <xdr:to>
      <xdr:col>25</xdr:col>
      <xdr:colOff>707276</xdr:colOff>
      <xdr:row>13</xdr:row>
      <xdr:rowOff>159506</xdr:rowOff>
    </xdr:to>
    <xdr:cxnSp macro="">
      <xdr:nvCxnSpPr>
        <xdr:cNvPr id="299" name="Straight Connector 298">
          <a:extLst>
            <a:ext uri="{FF2B5EF4-FFF2-40B4-BE49-F238E27FC236}">
              <a16:creationId xmlns:a16="http://schemas.microsoft.com/office/drawing/2014/main" id="{F7C3917B-259A-4D1C-B225-E8B4805977FE}"/>
            </a:ext>
          </a:extLst>
        </xdr:cNvPr>
        <xdr:cNvCxnSpPr/>
      </xdr:nvCxnSpPr>
      <xdr:spPr>
        <a:xfrm>
          <a:off x="15878696" y="2445506"/>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63082</xdr:colOff>
      <xdr:row>13</xdr:row>
      <xdr:rowOff>159506</xdr:rowOff>
    </xdr:from>
    <xdr:to>
      <xdr:col>26</xdr:col>
      <xdr:colOff>703162</xdr:colOff>
      <xdr:row>13</xdr:row>
      <xdr:rowOff>159506</xdr:rowOff>
    </xdr:to>
    <xdr:cxnSp macro="">
      <xdr:nvCxnSpPr>
        <xdr:cNvPr id="300" name="Straight Connector 299">
          <a:extLst>
            <a:ext uri="{FF2B5EF4-FFF2-40B4-BE49-F238E27FC236}">
              <a16:creationId xmlns:a16="http://schemas.microsoft.com/office/drawing/2014/main" id="{0DBA4915-53EA-41D5-B08B-40996EB7AA3B}"/>
            </a:ext>
          </a:extLst>
        </xdr:cNvPr>
        <xdr:cNvCxnSpPr/>
      </xdr:nvCxnSpPr>
      <xdr:spPr>
        <a:xfrm>
          <a:off x="16636582" y="2445506"/>
          <a:ext cx="58293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68004</xdr:colOff>
      <xdr:row>18</xdr:row>
      <xdr:rowOff>171282</xdr:rowOff>
    </xdr:from>
    <xdr:to>
      <xdr:col>25</xdr:col>
      <xdr:colOff>708084</xdr:colOff>
      <xdr:row>18</xdr:row>
      <xdr:rowOff>171282</xdr:rowOff>
    </xdr:to>
    <xdr:cxnSp macro="">
      <xdr:nvCxnSpPr>
        <xdr:cNvPr id="301" name="Straight Connector 300">
          <a:extLst>
            <a:ext uri="{FF2B5EF4-FFF2-40B4-BE49-F238E27FC236}">
              <a16:creationId xmlns:a16="http://schemas.microsoft.com/office/drawing/2014/main" id="{A079DE64-174C-4447-90CB-2A82DBCFD108}"/>
            </a:ext>
          </a:extLst>
        </xdr:cNvPr>
        <xdr:cNvCxnSpPr/>
      </xdr:nvCxnSpPr>
      <xdr:spPr>
        <a:xfrm>
          <a:off x="15879504" y="3378032"/>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63890</xdr:colOff>
      <xdr:row>18</xdr:row>
      <xdr:rowOff>171282</xdr:rowOff>
    </xdr:from>
    <xdr:to>
      <xdr:col>26</xdr:col>
      <xdr:colOff>703970</xdr:colOff>
      <xdr:row>18</xdr:row>
      <xdr:rowOff>171282</xdr:rowOff>
    </xdr:to>
    <xdr:cxnSp macro="">
      <xdr:nvCxnSpPr>
        <xdr:cNvPr id="302" name="Straight Connector 301">
          <a:extLst>
            <a:ext uri="{FF2B5EF4-FFF2-40B4-BE49-F238E27FC236}">
              <a16:creationId xmlns:a16="http://schemas.microsoft.com/office/drawing/2014/main" id="{2869FDCC-4D9B-43B6-B829-910842340269}"/>
            </a:ext>
          </a:extLst>
        </xdr:cNvPr>
        <xdr:cNvCxnSpPr/>
      </xdr:nvCxnSpPr>
      <xdr:spPr>
        <a:xfrm>
          <a:off x="16637390" y="3378032"/>
          <a:ext cx="58293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69448</xdr:colOff>
      <xdr:row>20</xdr:row>
      <xdr:rowOff>166161</xdr:rowOff>
    </xdr:from>
    <xdr:to>
      <xdr:col>25</xdr:col>
      <xdr:colOff>709528</xdr:colOff>
      <xdr:row>20</xdr:row>
      <xdr:rowOff>166161</xdr:rowOff>
    </xdr:to>
    <xdr:cxnSp macro="">
      <xdr:nvCxnSpPr>
        <xdr:cNvPr id="303" name="Straight Connector 302">
          <a:extLst>
            <a:ext uri="{FF2B5EF4-FFF2-40B4-BE49-F238E27FC236}">
              <a16:creationId xmlns:a16="http://schemas.microsoft.com/office/drawing/2014/main" id="{9FF2742E-2D4E-41AE-BD14-C7F70B539FF3}"/>
            </a:ext>
          </a:extLst>
        </xdr:cNvPr>
        <xdr:cNvCxnSpPr/>
      </xdr:nvCxnSpPr>
      <xdr:spPr>
        <a:xfrm>
          <a:off x="15880948" y="3607861"/>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65334</xdr:colOff>
      <xdr:row>20</xdr:row>
      <xdr:rowOff>166161</xdr:rowOff>
    </xdr:from>
    <xdr:to>
      <xdr:col>26</xdr:col>
      <xdr:colOff>705414</xdr:colOff>
      <xdr:row>20</xdr:row>
      <xdr:rowOff>166161</xdr:rowOff>
    </xdr:to>
    <xdr:cxnSp macro="">
      <xdr:nvCxnSpPr>
        <xdr:cNvPr id="304" name="Straight Connector 303">
          <a:extLst>
            <a:ext uri="{FF2B5EF4-FFF2-40B4-BE49-F238E27FC236}">
              <a16:creationId xmlns:a16="http://schemas.microsoft.com/office/drawing/2014/main" id="{6FF6A7B3-F369-4FCA-A66D-9C83E3717E7C}"/>
            </a:ext>
          </a:extLst>
        </xdr:cNvPr>
        <xdr:cNvCxnSpPr/>
      </xdr:nvCxnSpPr>
      <xdr:spPr>
        <a:xfrm>
          <a:off x="16638834" y="3607861"/>
          <a:ext cx="58293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74167</xdr:colOff>
      <xdr:row>24</xdr:row>
      <xdr:rowOff>159033</xdr:rowOff>
    </xdr:from>
    <xdr:to>
      <xdr:col>25</xdr:col>
      <xdr:colOff>714247</xdr:colOff>
      <xdr:row>24</xdr:row>
      <xdr:rowOff>159033</xdr:rowOff>
    </xdr:to>
    <xdr:cxnSp macro="">
      <xdr:nvCxnSpPr>
        <xdr:cNvPr id="305" name="Straight Connector 304">
          <a:extLst>
            <a:ext uri="{FF2B5EF4-FFF2-40B4-BE49-F238E27FC236}">
              <a16:creationId xmlns:a16="http://schemas.microsoft.com/office/drawing/2014/main" id="{09FC6F6D-628D-44C4-AB22-319351EDB5D6}"/>
            </a:ext>
          </a:extLst>
        </xdr:cNvPr>
        <xdr:cNvCxnSpPr/>
      </xdr:nvCxnSpPr>
      <xdr:spPr>
        <a:xfrm>
          <a:off x="15885667" y="4337333"/>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70053</xdr:colOff>
      <xdr:row>24</xdr:row>
      <xdr:rowOff>159033</xdr:rowOff>
    </xdr:from>
    <xdr:to>
      <xdr:col>26</xdr:col>
      <xdr:colOff>710133</xdr:colOff>
      <xdr:row>24</xdr:row>
      <xdr:rowOff>159033</xdr:rowOff>
    </xdr:to>
    <xdr:cxnSp macro="">
      <xdr:nvCxnSpPr>
        <xdr:cNvPr id="306" name="Straight Connector 305">
          <a:extLst>
            <a:ext uri="{FF2B5EF4-FFF2-40B4-BE49-F238E27FC236}">
              <a16:creationId xmlns:a16="http://schemas.microsoft.com/office/drawing/2014/main" id="{73BEF1B4-8B33-49D9-9C77-040331C4427A}"/>
            </a:ext>
          </a:extLst>
        </xdr:cNvPr>
        <xdr:cNvCxnSpPr/>
      </xdr:nvCxnSpPr>
      <xdr:spPr>
        <a:xfrm>
          <a:off x="16643553" y="4337333"/>
          <a:ext cx="5765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74167</xdr:colOff>
      <xdr:row>28</xdr:row>
      <xdr:rowOff>166653</xdr:rowOff>
    </xdr:from>
    <xdr:to>
      <xdr:col>25</xdr:col>
      <xdr:colOff>714247</xdr:colOff>
      <xdr:row>28</xdr:row>
      <xdr:rowOff>166653</xdr:rowOff>
    </xdr:to>
    <xdr:cxnSp macro="">
      <xdr:nvCxnSpPr>
        <xdr:cNvPr id="307" name="Straight Connector 306">
          <a:extLst>
            <a:ext uri="{FF2B5EF4-FFF2-40B4-BE49-F238E27FC236}">
              <a16:creationId xmlns:a16="http://schemas.microsoft.com/office/drawing/2014/main" id="{4F6EFA28-5118-4AF7-89B6-BB7976DD4B6F}"/>
            </a:ext>
          </a:extLst>
        </xdr:cNvPr>
        <xdr:cNvCxnSpPr/>
      </xdr:nvCxnSpPr>
      <xdr:spPr>
        <a:xfrm>
          <a:off x="15885667" y="5081553"/>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70053</xdr:colOff>
      <xdr:row>28</xdr:row>
      <xdr:rowOff>166653</xdr:rowOff>
    </xdr:from>
    <xdr:to>
      <xdr:col>26</xdr:col>
      <xdr:colOff>710133</xdr:colOff>
      <xdr:row>28</xdr:row>
      <xdr:rowOff>166653</xdr:rowOff>
    </xdr:to>
    <xdr:cxnSp macro="">
      <xdr:nvCxnSpPr>
        <xdr:cNvPr id="308" name="Straight Connector 307">
          <a:extLst>
            <a:ext uri="{FF2B5EF4-FFF2-40B4-BE49-F238E27FC236}">
              <a16:creationId xmlns:a16="http://schemas.microsoft.com/office/drawing/2014/main" id="{361888BE-9F52-47D7-8292-C3A0DF5C8FB3}"/>
            </a:ext>
          </a:extLst>
        </xdr:cNvPr>
        <xdr:cNvCxnSpPr/>
      </xdr:nvCxnSpPr>
      <xdr:spPr>
        <a:xfrm>
          <a:off x="16643553" y="5081553"/>
          <a:ext cx="5765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74167</xdr:colOff>
      <xdr:row>33</xdr:row>
      <xdr:rowOff>161573</xdr:rowOff>
    </xdr:from>
    <xdr:to>
      <xdr:col>25</xdr:col>
      <xdr:colOff>714247</xdr:colOff>
      <xdr:row>33</xdr:row>
      <xdr:rowOff>161573</xdr:rowOff>
    </xdr:to>
    <xdr:cxnSp macro="">
      <xdr:nvCxnSpPr>
        <xdr:cNvPr id="309" name="Straight Connector 308">
          <a:extLst>
            <a:ext uri="{FF2B5EF4-FFF2-40B4-BE49-F238E27FC236}">
              <a16:creationId xmlns:a16="http://schemas.microsoft.com/office/drawing/2014/main" id="{D967E92F-9C8B-4E6D-A898-9227764446F4}"/>
            </a:ext>
          </a:extLst>
        </xdr:cNvPr>
        <xdr:cNvCxnSpPr/>
      </xdr:nvCxnSpPr>
      <xdr:spPr>
        <a:xfrm>
          <a:off x="15885667" y="6009923"/>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70053</xdr:colOff>
      <xdr:row>33</xdr:row>
      <xdr:rowOff>161573</xdr:rowOff>
    </xdr:from>
    <xdr:to>
      <xdr:col>26</xdr:col>
      <xdr:colOff>710133</xdr:colOff>
      <xdr:row>33</xdr:row>
      <xdr:rowOff>161573</xdr:rowOff>
    </xdr:to>
    <xdr:cxnSp macro="">
      <xdr:nvCxnSpPr>
        <xdr:cNvPr id="310" name="Straight Connector 309">
          <a:extLst>
            <a:ext uri="{FF2B5EF4-FFF2-40B4-BE49-F238E27FC236}">
              <a16:creationId xmlns:a16="http://schemas.microsoft.com/office/drawing/2014/main" id="{16C0F4B1-079A-4E1E-BC92-797032578CBA}"/>
            </a:ext>
          </a:extLst>
        </xdr:cNvPr>
        <xdr:cNvCxnSpPr/>
      </xdr:nvCxnSpPr>
      <xdr:spPr>
        <a:xfrm>
          <a:off x="16643553" y="6009923"/>
          <a:ext cx="5765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71627</xdr:colOff>
      <xdr:row>34</xdr:row>
      <xdr:rowOff>164113</xdr:rowOff>
    </xdr:from>
    <xdr:to>
      <xdr:col>25</xdr:col>
      <xdr:colOff>711707</xdr:colOff>
      <xdr:row>34</xdr:row>
      <xdr:rowOff>164113</xdr:rowOff>
    </xdr:to>
    <xdr:cxnSp macro="">
      <xdr:nvCxnSpPr>
        <xdr:cNvPr id="311" name="Straight Connector 310">
          <a:extLst>
            <a:ext uri="{FF2B5EF4-FFF2-40B4-BE49-F238E27FC236}">
              <a16:creationId xmlns:a16="http://schemas.microsoft.com/office/drawing/2014/main" id="{05381B7F-A03E-4807-8EBA-7453CA2F670D}"/>
            </a:ext>
          </a:extLst>
        </xdr:cNvPr>
        <xdr:cNvCxnSpPr/>
      </xdr:nvCxnSpPr>
      <xdr:spPr>
        <a:xfrm>
          <a:off x="15883127" y="6196613"/>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67513</xdr:colOff>
      <xdr:row>34</xdr:row>
      <xdr:rowOff>164113</xdr:rowOff>
    </xdr:from>
    <xdr:to>
      <xdr:col>26</xdr:col>
      <xdr:colOff>707593</xdr:colOff>
      <xdr:row>34</xdr:row>
      <xdr:rowOff>164113</xdr:rowOff>
    </xdr:to>
    <xdr:cxnSp macro="">
      <xdr:nvCxnSpPr>
        <xdr:cNvPr id="312" name="Straight Connector 311">
          <a:extLst>
            <a:ext uri="{FF2B5EF4-FFF2-40B4-BE49-F238E27FC236}">
              <a16:creationId xmlns:a16="http://schemas.microsoft.com/office/drawing/2014/main" id="{3783E502-A5FB-4FD0-9005-A4F8993DC70D}"/>
            </a:ext>
          </a:extLst>
        </xdr:cNvPr>
        <xdr:cNvCxnSpPr/>
      </xdr:nvCxnSpPr>
      <xdr:spPr>
        <a:xfrm>
          <a:off x="16641013" y="6196613"/>
          <a:ext cx="58293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67221</xdr:colOff>
      <xdr:row>41</xdr:row>
      <xdr:rowOff>164521</xdr:rowOff>
    </xdr:from>
    <xdr:to>
      <xdr:col>26</xdr:col>
      <xdr:colOff>707301</xdr:colOff>
      <xdr:row>41</xdr:row>
      <xdr:rowOff>164521</xdr:rowOff>
    </xdr:to>
    <xdr:cxnSp macro="">
      <xdr:nvCxnSpPr>
        <xdr:cNvPr id="313" name="Straight Connector 312">
          <a:extLst>
            <a:ext uri="{FF2B5EF4-FFF2-40B4-BE49-F238E27FC236}">
              <a16:creationId xmlns:a16="http://schemas.microsoft.com/office/drawing/2014/main" id="{294D8848-6EE8-4411-A22D-BAD03E910712}"/>
            </a:ext>
          </a:extLst>
        </xdr:cNvPr>
        <xdr:cNvCxnSpPr/>
      </xdr:nvCxnSpPr>
      <xdr:spPr>
        <a:xfrm>
          <a:off x="16640721" y="7346371"/>
          <a:ext cx="58293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67221</xdr:colOff>
      <xdr:row>43</xdr:row>
      <xdr:rowOff>165008</xdr:rowOff>
    </xdr:from>
    <xdr:to>
      <xdr:col>26</xdr:col>
      <xdr:colOff>707301</xdr:colOff>
      <xdr:row>43</xdr:row>
      <xdr:rowOff>165008</xdr:rowOff>
    </xdr:to>
    <xdr:cxnSp macro="">
      <xdr:nvCxnSpPr>
        <xdr:cNvPr id="314" name="Straight Connector 313">
          <a:extLst>
            <a:ext uri="{FF2B5EF4-FFF2-40B4-BE49-F238E27FC236}">
              <a16:creationId xmlns:a16="http://schemas.microsoft.com/office/drawing/2014/main" id="{0F59510F-4DBA-4499-AF90-21857CEEADA9}"/>
            </a:ext>
          </a:extLst>
        </xdr:cNvPr>
        <xdr:cNvCxnSpPr/>
      </xdr:nvCxnSpPr>
      <xdr:spPr>
        <a:xfrm>
          <a:off x="16640721" y="7715158"/>
          <a:ext cx="58293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64183</xdr:colOff>
      <xdr:row>48</xdr:row>
      <xdr:rowOff>167497</xdr:rowOff>
    </xdr:from>
    <xdr:to>
      <xdr:col>22</xdr:col>
      <xdr:colOff>704263</xdr:colOff>
      <xdr:row>48</xdr:row>
      <xdr:rowOff>167497</xdr:rowOff>
    </xdr:to>
    <xdr:cxnSp macro="">
      <xdr:nvCxnSpPr>
        <xdr:cNvPr id="315" name="Straight Connector 314">
          <a:extLst>
            <a:ext uri="{FF2B5EF4-FFF2-40B4-BE49-F238E27FC236}">
              <a16:creationId xmlns:a16="http://schemas.microsoft.com/office/drawing/2014/main" id="{AF5DC64A-300A-4F3B-B2CC-FA52A3D6ACA8}"/>
            </a:ext>
          </a:extLst>
        </xdr:cNvPr>
        <xdr:cNvCxnSpPr/>
      </xdr:nvCxnSpPr>
      <xdr:spPr>
        <a:xfrm>
          <a:off x="13589683" y="8638397"/>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606525</xdr:colOff>
      <xdr:row>46</xdr:row>
      <xdr:rowOff>139367</xdr:rowOff>
    </xdr:from>
    <xdr:to>
      <xdr:col>27</xdr:col>
      <xdr:colOff>0</xdr:colOff>
      <xdr:row>46</xdr:row>
      <xdr:rowOff>139367</xdr:rowOff>
    </xdr:to>
    <xdr:cxnSp macro="">
      <xdr:nvCxnSpPr>
        <xdr:cNvPr id="316" name="Straight Connector 315">
          <a:extLst>
            <a:ext uri="{FF2B5EF4-FFF2-40B4-BE49-F238E27FC236}">
              <a16:creationId xmlns:a16="http://schemas.microsoft.com/office/drawing/2014/main" id="{D67B7AB5-51D9-4F1C-A247-50A97AA47A7F}"/>
            </a:ext>
          </a:extLst>
        </xdr:cNvPr>
        <xdr:cNvCxnSpPr/>
      </xdr:nvCxnSpPr>
      <xdr:spPr>
        <a:xfrm>
          <a:off x="13522425" y="8241967"/>
          <a:ext cx="3698775"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61632</xdr:colOff>
      <xdr:row>48</xdr:row>
      <xdr:rowOff>167497</xdr:rowOff>
    </xdr:from>
    <xdr:to>
      <xdr:col>23</xdr:col>
      <xdr:colOff>701712</xdr:colOff>
      <xdr:row>48</xdr:row>
      <xdr:rowOff>167497</xdr:rowOff>
    </xdr:to>
    <xdr:cxnSp macro="">
      <xdr:nvCxnSpPr>
        <xdr:cNvPr id="317" name="Straight Connector 316">
          <a:extLst>
            <a:ext uri="{FF2B5EF4-FFF2-40B4-BE49-F238E27FC236}">
              <a16:creationId xmlns:a16="http://schemas.microsoft.com/office/drawing/2014/main" id="{5641E692-767D-4516-9877-BE9505D8A27A}"/>
            </a:ext>
          </a:extLst>
        </xdr:cNvPr>
        <xdr:cNvCxnSpPr/>
      </xdr:nvCxnSpPr>
      <xdr:spPr>
        <a:xfrm>
          <a:off x="14349132" y="8638397"/>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24</xdr:col>
      <xdr:colOff>59079</xdr:colOff>
      <xdr:row>48</xdr:row>
      <xdr:rowOff>167497</xdr:rowOff>
    </xdr:from>
    <xdr:to>
      <xdr:col>24</xdr:col>
      <xdr:colOff>699159</xdr:colOff>
      <xdr:row>48</xdr:row>
      <xdr:rowOff>167497</xdr:rowOff>
    </xdr:to>
    <xdr:cxnSp macro="">
      <xdr:nvCxnSpPr>
        <xdr:cNvPr id="318" name="Straight Connector 317">
          <a:extLst>
            <a:ext uri="{FF2B5EF4-FFF2-40B4-BE49-F238E27FC236}">
              <a16:creationId xmlns:a16="http://schemas.microsoft.com/office/drawing/2014/main" id="{854B9908-8BA8-4481-9319-13D0FC8B65BC}"/>
            </a:ext>
          </a:extLst>
        </xdr:cNvPr>
        <xdr:cNvCxnSpPr/>
      </xdr:nvCxnSpPr>
      <xdr:spPr>
        <a:xfrm>
          <a:off x="15108579" y="8638397"/>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68679</xdr:colOff>
      <xdr:row>48</xdr:row>
      <xdr:rowOff>167497</xdr:rowOff>
    </xdr:from>
    <xdr:to>
      <xdr:col>25</xdr:col>
      <xdr:colOff>708759</xdr:colOff>
      <xdr:row>48</xdr:row>
      <xdr:rowOff>167497</xdr:rowOff>
    </xdr:to>
    <xdr:cxnSp macro="">
      <xdr:nvCxnSpPr>
        <xdr:cNvPr id="319" name="Straight Connector 318">
          <a:extLst>
            <a:ext uri="{FF2B5EF4-FFF2-40B4-BE49-F238E27FC236}">
              <a16:creationId xmlns:a16="http://schemas.microsoft.com/office/drawing/2014/main" id="{476AFF5D-FFE3-4C48-BE23-6ADF8B17EAFF}"/>
            </a:ext>
          </a:extLst>
        </xdr:cNvPr>
        <xdr:cNvCxnSpPr/>
      </xdr:nvCxnSpPr>
      <xdr:spPr>
        <a:xfrm>
          <a:off x="15880179" y="8638397"/>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63090</xdr:colOff>
      <xdr:row>48</xdr:row>
      <xdr:rowOff>167497</xdr:rowOff>
    </xdr:from>
    <xdr:to>
      <xdr:col>26</xdr:col>
      <xdr:colOff>703170</xdr:colOff>
      <xdr:row>48</xdr:row>
      <xdr:rowOff>167497</xdr:rowOff>
    </xdr:to>
    <xdr:cxnSp macro="">
      <xdr:nvCxnSpPr>
        <xdr:cNvPr id="320" name="Straight Connector 319">
          <a:extLst>
            <a:ext uri="{FF2B5EF4-FFF2-40B4-BE49-F238E27FC236}">
              <a16:creationId xmlns:a16="http://schemas.microsoft.com/office/drawing/2014/main" id="{AD240253-9991-4B46-95F6-E0962AA309D4}"/>
            </a:ext>
          </a:extLst>
        </xdr:cNvPr>
        <xdr:cNvCxnSpPr/>
      </xdr:nvCxnSpPr>
      <xdr:spPr>
        <a:xfrm>
          <a:off x="16636590" y="8638397"/>
          <a:ext cx="58293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61274</xdr:colOff>
      <xdr:row>54</xdr:row>
      <xdr:rowOff>154333</xdr:rowOff>
    </xdr:from>
    <xdr:to>
      <xdr:col>23</xdr:col>
      <xdr:colOff>701354</xdr:colOff>
      <xdr:row>54</xdr:row>
      <xdr:rowOff>154333</xdr:rowOff>
    </xdr:to>
    <xdr:cxnSp macro="">
      <xdr:nvCxnSpPr>
        <xdr:cNvPr id="321" name="Straight Connector 320">
          <a:extLst>
            <a:ext uri="{FF2B5EF4-FFF2-40B4-BE49-F238E27FC236}">
              <a16:creationId xmlns:a16="http://schemas.microsoft.com/office/drawing/2014/main" id="{EF7FAAED-CE71-4CBA-8E14-DEB05DEC5773}"/>
            </a:ext>
          </a:extLst>
        </xdr:cNvPr>
        <xdr:cNvCxnSpPr/>
      </xdr:nvCxnSpPr>
      <xdr:spPr>
        <a:xfrm>
          <a:off x="14348774" y="9577733"/>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24</xdr:col>
      <xdr:colOff>58721</xdr:colOff>
      <xdr:row>54</xdr:row>
      <xdr:rowOff>154333</xdr:rowOff>
    </xdr:from>
    <xdr:to>
      <xdr:col>24</xdr:col>
      <xdr:colOff>698801</xdr:colOff>
      <xdr:row>54</xdr:row>
      <xdr:rowOff>154333</xdr:rowOff>
    </xdr:to>
    <xdr:cxnSp macro="">
      <xdr:nvCxnSpPr>
        <xdr:cNvPr id="322" name="Straight Connector 321">
          <a:extLst>
            <a:ext uri="{FF2B5EF4-FFF2-40B4-BE49-F238E27FC236}">
              <a16:creationId xmlns:a16="http://schemas.microsoft.com/office/drawing/2014/main" id="{97EF650C-B7E8-4FD9-8C1B-797C8B2CB92E}"/>
            </a:ext>
          </a:extLst>
        </xdr:cNvPr>
        <xdr:cNvCxnSpPr/>
      </xdr:nvCxnSpPr>
      <xdr:spPr>
        <a:xfrm>
          <a:off x="15108221" y="9577733"/>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14238</xdr:colOff>
      <xdr:row>57</xdr:row>
      <xdr:rowOff>155953</xdr:rowOff>
    </xdr:from>
    <xdr:to>
      <xdr:col>27</xdr:col>
      <xdr:colOff>0</xdr:colOff>
      <xdr:row>57</xdr:row>
      <xdr:rowOff>156614</xdr:rowOff>
    </xdr:to>
    <xdr:cxnSp macro="">
      <xdr:nvCxnSpPr>
        <xdr:cNvPr id="323" name="Straight Connector 322">
          <a:extLst>
            <a:ext uri="{FF2B5EF4-FFF2-40B4-BE49-F238E27FC236}">
              <a16:creationId xmlns:a16="http://schemas.microsoft.com/office/drawing/2014/main" id="{8BB5B87E-A0FE-4C24-9B80-25A3067F924C}"/>
            </a:ext>
          </a:extLst>
        </xdr:cNvPr>
        <xdr:cNvCxnSpPr/>
      </xdr:nvCxnSpPr>
      <xdr:spPr>
        <a:xfrm flipV="1">
          <a:off x="13539738" y="9998453"/>
          <a:ext cx="3681462" cy="661"/>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73838</xdr:colOff>
      <xdr:row>59</xdr:row>
      <xdr:rowOff>155229</xdr:rowOff>
    </xdr:from>
    <xdr:to>
      <xdr:col>23</xdr:col>
      <xdr:colOff>713918</xdr:colOff>
      <xdr:row>59</xdr:row>
      <xdr:rowOff>155229</xdr:rowOff>
    </xdr:to>
    <xdr:cxnSp macro="">
      <xdr:nvCxnSpPr>
        <xdr:cNvPr id="324" name="Straight Connector 323">
          <a:extLst>
            <a:ext uri="{FF2B5EF4-FFF2-40B4-BE49-F238E27FC236}">
              <a16:creationId xmlns:a16="http://schemas.microsoft.com/office/drawing/2014/main" id="{02645363-7088-4813-A8EB-EDB5915CBF34}"/>
            </a:ext>
          </a:extLst>
        </xdr:cNvPr>
        <xdr:cNvCxnSpPr/>
      </xdr:nvCxnSpPr>
      <xdr:spPr>
        <a:xfrm>
          <a:off x="14361338" y="10372379"/>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24</xdr:col>
      <xdr:colOff>71285</xdr:colOff>
      <xdr:row>59</xdr:row>
      <xdr:rowOff>155229</xdr:rowOff>
    </xdr:from>
    <xdr:to>
      <xdr:col>24</xdr:col>
      <xdr:colOff>711365</xdr:colOff>
      <xdr:row>59</xdr:row>
      <xdr:rowOff>155229</xdr:rowOff>
    </xdr:to>
    <xdr:cxnSp macro="">
      <xdr:nvCxnSpPr>
        <xdr:cNvPr id="325" name="Straight Connector 324">
          <a:extLst>
            <a:ext uri="{FF2B5EF4-FFF2-40B4-BE49-F238E27FC236}">
              <a16:creationId xmlns:a16="http://schemas.microsoft.com/office/drawing/2014/main" id="{AF210083-F828-4B2E-8FB8-4A9F843A820B}"/>
            </a:ext>
          </a:extLst>
        </xdr:cNvPr>
        <xdr:cNvCxnSpPr/>
      </xdr:nvCxnSpPr>
      <xdr:spPr>
        <a:xfrm>
          <a:off x="15120785" y="10372379"/>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80885</xdr:colOff>
      <xdr:row>59</xdr:row>
      <xdr:rowOff>155229</xdr:rowOff>
    </xdr:from>
    <xdr:to>
      <xdr:col>25</xdr:col>
      <xdr:colOff>720965</xdr:colOff>
      <xdr:row>59</xdr:row>
      <xdr:rowOff>155229</xdr:rowOff>
    </xdr:to>
    <xdr:cxnSp macro="">
      <xdr:nvCxnSpPr>
        <xdr:cNvPr id="326" name="Straight Connector 325">
          <a:extLst>
            <a:ext uri="{FF2B5EF4-FFF2-40B4-BE49-F238E27FC236}">
              <a16:creationId xmlns:a16="http://schemas.microsoft.com/office/drawing/2014/main" id="{877720C4-1C11-4977-AB01-4092CF879880}"/>
            </a:ext>
          </a:extLst>
        </xdr:cNvPr>
        <xdr:cNvCxnSpPr/>
      </xdr:nvCxnSpPr>
      <xdr:spPr>
        <a:xfrm>
          <a:off x="15892385" y="10372379"/>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75296</xdr:colOff>
      <xdr:row>59</xdr:row>
      <xdr:rowOff>155229</xdr:rowOff>
    </xdr:from>
    <xdr:to>
      <xdr:col>26</xdr:col>
      <xdr:colOff>715376</xdr:colOff>
      <xdr:row>59</xdr:row>
      <xdr:rowOff>155229</xdr:rowOff>
    </xdr:to>
    <xdr:cxnSp macro="">
      <xdr:nvCxnSpPr>
        <xdr:cNvPr id="327" name="Straight Connector 326">
          <a:extLst>
            <a:ext uri="{FF2B5EF4-FFF2-40B4-BE49-F238E27FC236}">
              <a16:creationId xmlns:a16="http://schemas.microsoft.com/office/drawing/2014/main" id="{AC19CC89-AB0F-47A5-A3A6-5C8D089490D4}"/>
            </a:ext>
          </a:extLst>
        </xdr:cNvPr>
        <xdr:cNvCxnSpPr/>
      </xdr:nvCxnSpPr>
      <xdr:spPr>
        <a:xfrm>
          <a:off x="16648796" y="10372379"/>
          <a:ext cx="57023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76885</xdr:colOff>
      <xdr:row>64</xdr:row>
      <xdr:rowOff>159393</xdr:rowOff>
    </xdr:from>
    <xdr:to>
      <xdr:col>23</xdr:col>
      <xdr:colOff>716965</xdr:colOff>
      <xdr:row>64</xdr:row>
      <xdr:rowOff>159393</xdr:rowOff>
    </xdr:to>
    <xdr:cxnSp macro="">
      <xdr:nvCxnSpPr>
        <xdr:cNvPr id="328" name="Straight Connector 327">
          <a:extLst>
            <a:ext uri="{FF2B5EF4-FFF2-40B4-BE49-F238E27FC236}">
              <a16:creationId xmlns:a16="http://schemas.microsoft.com/office/drawing/2014/main" id="{F3C415F2-503E-43DD-9685-32B8F04117D5}"/>
            </a:ext>
          </a:extLst>
        </xdr:cNvPr>
        <xdr:cNvCxnSpPr/>
      </xdr:nvCxnSpPr>
      <xdr:spPr>
        <a:xfrm>
          <a:off x="14364385" y="11303643"/>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24</xdr:col>
      <xdr:colOff>74332</xdr:colOff>
      <xdr:row>64</xdr:row>
      <xdr:rowOff>159393</xdr:rowOff>
    </xdr:from>
    <xdr:to>
      <xdr:col>24</xdr:col>
      <xdr:colOff>714412</xdr:colOff>
      <xdr:row>64</xdr:row>
      <xdr:rowOff>159393</xdr:rowOff>
    </xdr:to>
    <xdr:cxnSp macro="">
      <xdr:nvCxnSpPr>
        <xdr:cNvPr id="329" name="Straight Connector 328">
          <a:extLst>
            <a:ext uri="{FF2B5EF4-FFF2-40B4-BE49-F238E27FC236}">
              <a16:creationId xmlns:a16="http://schemas.microsoft.com/office/drawing/2014/main" id="{05BD106C-301F-4CFD-9806-597976EF0557}"/>
            </a:ext>
          </a:extLst>
        </xdr:cNvPr>
        <xdr:cNvCxnSpPr/>
      </xdr:nvCxnSpPr>
      <xdr:spPr>
        <a:xfrm>
          <a:off x="15123832" y="11303643"/>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83932</xdr:colOff>
      <xdr:row>64</xdr:row>
      <xdr:rowOff>159393</xdr:rowOff>
    </xdr:from>
    <xdr:to>
      <xdr:col>25</xdr:col>
      <xdr:colOff>724012</xdr:colOff>
      <xdr:row>64</xdr:row>
      <xdr:rowOff>159393</xdr:rowOff>
    </xdr:to>
    <xdr:cxnSp macro="">
      <xdr:nvCxnSpPr>
        <xdr:cNvPr id="330" name="Straight Connector 329">
          <a:extLst>
            <a:ext uri="{FF2B5EF4-FFF2-40B4-BE49-F238E27FC236}">
              <a16:creationId xmlns:a16="http://schemas.microsoft.com/office/drawing/2014/main" id="{C9D026DC-74A7-4109-A012-876C194FAD75}"/>
            </a:ext>
          </a:extLst>
        </xdr:cNvPr>
        <xdr:cNvCxnSpPr/>
      </xdr:nvCxnSpPr>
      <xdr:spPr>
        <a:xfrm>
          <a:off x="15895432" y="11303643"/>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78343</xdr:colOff>
      <xdr:row>64</xdr:row>
      <xdr:rowOff>159393</xdr:rowOff>
    </xdr:from>
    <xdr:to>
      <xdr:col>26</xdr:col>
      <xdr:colOff>718423</xdr:colOff>
      <xdr:row>64</xdr:row>
      <xdr:rowOff>159393</xdr:rowOff>
    </xdr:to>
    <xdr:cxnSp macro="">
      <xdr:nvCxnSpPr>
        <xdr:cNvPr id="331" name="Straight Connector 330">
          <a:extLst>
            <a:ext uri="{FF2B5EF4-FFF2-40B4-BE49-F238E27FC236}">
              <a16:creationId xmlns:a16="http://schemas.microsoft.com/office/drawing/2014/main" id="{97D5CB04-6A58-4C0A-91A5-A6DF4957F8C4}"/>
            </a:ext>
          </a:extLst>
        </xdr:cNvPr>
        <xdr:cNvCxnSpPr/>
      </xdr:nvCxnSpPr>
      <xdr:spPr>
        <a:xfrm>
          <a:off x="16651843" y="11303643"/>
          <a:ext cx="57023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81638</xdr:colOff>
      <xdr:row>11</xdr:row>
      <xdr:rowOff>169534</xdr:rowOff>
    </xdr:from>
    <xdr:to>
      <xdr:col>20</xdr:col>
      <xdr:colOff>585586</xdr:colOff>
      <xdr:row>11</xdr:row>
      <xdr:rowOff>170691</xdr:rowOff>
    </xdr:to>
    <xdr:cxnSp macro="">
      <xdr:nvCxnSpPr>
        <xdr:cNvPr id="332" name="Straight Connector 331">
          <a:extLst>
            <a:ext uri="{FF2B5EF4-FFF2-40B4-BE49-F238E27FC236}">
              <a16:creationId xmlns:a16="http://schemas.microsoft.com/office/drawing/2014/main" id="{4262A132-2B1D-4BD5-884A-826AC5308061}"/>
            </a:ext>
          </a:extLst>
        </xdr:cNvPr>
        <xdr:cNvCxnSpPr/>
      </xdr:nvCxnSpPr>
      <xdr:spPr>
        <a:xfrm flipV="1">
          <a:off x="11778338" y="208088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81981</xdr:colOff>
      <xdr:row>16</xdr:row>
      <xdr:rowOff>154837</xdr:rowOff>
    </xdr:from>
    <xdr:to>
      <xdr:col>10</xdr:col>
      <xdr:colOff>585928</xdr:colOff>
      <xdr:row>16</xdr:row>
      <xdr:rowOff>155994</xdr:rowOff>
    </xdr:to>
    <xdr:cxnSp macro="">
      <xdr:nvCxnSpPr>
        <xdr:cNvPr id="333" name="Straight Connector 332">
          <a:extLst>
            <a:ext uri="{FF2B5EF4-FFF2-40B4-BE49-F238E27FC236}">
              <a16:creationId xmlns:a16="http://schemas.microsoft.com/office/drawing/2014/main" id="{F869124A-41CB-46E0-9B6A-94A447DB6845}"/>
            </a:ext>
          </a:extLst>
        </xdr:cNvPr>
        <xdr:cNvCxnSpPr/>
      </xdr:nvCxnSpPr>
      <xdr:spPr>
        <a:xfrm flipV="1">
          <a:off x="5682681" y="299328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84473</xdr:colOff>
      <xdr:row>16</xdr:row>
      <xdr:rowOff>154837</xdr:rowOff>
    </xdr:from>
    <xdr:to>
      <xdr:col>12</xdr:col>
      <xdr:colOff>588420</xdr:colOff>
      <xdr:row>16</xdr:row>
      <xdr:rowOff>155994</xdr:rowOff>
    </xdr:to>
    <xdr:cxnSp macro="">
      <xdr:nvCxnSpPr>
        <xdr:cNvPr id="334" name="Straight Connector 333">
          <a:extLst>
            <a:ext uri="{FF2B5EF4-FFF2-40B4-BE49-F238E27FC236}">
              <a16:creationId xmlns:a16="http://schemas.microsoft.com/office/drawing/2014/main" id="{3745B5E0-0CCA-4E15-A5CE-40EF35BBFB9C}"/>
            </a:ext>
          </a:extLst>
        </xdr:cNvPr>
        <xdr:cNvCxnSpPr/>
      </xdr:nvCxnSpPr>
      <xdr:spPr>
        <a:xfrm flipV="1">
          <a:off x="6904373" y="299328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82797</xdr:colOff>
      <xdr:row>16</xdr:row>
      <xdr:rowOff>154837</xdr:rowOff>
    </xdr:from>
    <xdr:to>
      <xdr:col>14</xdr:col>
      <xdr:colOff>586744</xdr:colOff>
      <xdr:row>16</xdr:row>
      <xdr:rowOff>155994</xdr:rowOff>
    </xdr:to>
    <xdr:cxnSp macro="">
      <xdr:nvCxnSpPr>
        <xdr:cNvPr id="335" name="Straight Connector 334">
          <a:extLst>
            <a:ext uri="{FF2B5EF4-FFF2-40B4-BE49-F238E27FC236}">
              <a16:creationId xmlns:a16="http://schemas.microsoft.com/office/drawing/2014/main" id="{E84E0D15-CB05-426E-9B16-89E31EB10F8B}"/>
            </a:ext>
          </a:extLst>
        </xdr:cNvPr>
        <xdr:cNvCxnSpPr/>
      </xdr:nvCxnSpPr>
      <xdr:spPr>
        <a:xfrm flipV="1">
          <a:off x="8121897" y="299328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92541</xdr:colOff>
      <xdr:row>16</xdr:row>
      <xdr:rowOff>154837</xdr:rowOff>
    </xdr:from>
    <xdr:to>
      <xdr:col>16</xdr:col>
      <xdr:colOff>596489</xdr:colOff>
      <xdr:row>16</xdr:row>
      <xdr:rowOff>155994</xdr:rowOff>
    </xdr:to>
    <xdr:cxnSp macro="">
      <xdr:nvCxnSpPr>
        <xdr:cNvPr id="336" name="Straight Connector 335">
          <a:extLst>
            <a:ext uri="{FF2B5EF4-FFF2-40B4-BE49-F238E27FC236}">
              <a16:creationId xmlns:a16="http://schemas.microsoft.com/office/drawing/2014/main" id="{831EE670-CA7E-4336-AD65-C3AE7C4470EF}"/>
            </a:ext>
          </a:extLst>
        </xdr:cNvPr>
        <xdr:cNvCxnSpPr/>
      </xdr:nvCxnSpPr>
      <xdr:spPr>
        <a:xfrm flipV="1">
          <a:off x="9350841" y="2993287"/>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81638</xdr:colOff>
      <xdr:row>16</xdr:row>
      <xdr:rowOff>154837</xdr:rowOff>
    </xdr:from>
    <xdr:to>
      <xdr:col>18</xdr:col>
      <xdr:colOff>585586</xdr:colOff>
      <xdr:row>16</xdr:row>
      <xdr:rowOff>155994</xdr:rowOff>
    </xdr:to>
    <xdr:cxnSp macro="">
      <xdr:nvCxnSpPr>
        <xdr:cNvPr id="337" name="Straight Connector 336">
          <a:extLst>
            <a:ext uri="{FF2B5EF4-FFF2-40B4-BE49-F238E27FC236}">
              <a16:creationId xmlns:a16="http://schemas.microsoft.com/office/drawing/2014/main" id="{7676766B-6F44-4740-B43F-08A7897AFD81}"/>
            </a:ext>
          </a:extLst>
        </xdr:cNvPr>
        <xdr:cNvCxnSpPr/>
      </xdr:nvCxnSpPr>
      <xdr:spPr>
        <a:xfrm flipV="1">
          <a:off x="10559138" y="2993287"/>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81638</xdr:colOff>
      <xdr:row>11</xdr:row>
      <xdr:rowOff>169534</xdr:rowOff>
    </xdr:from>
    <xdr:to>
      <xdr:col>20</xdr:col>
      <xdr:colOff>585586</xdr:colOff>
      <xdr:row>11</xdr:row>
      <xdr:rowOff>170691</xdr:rowOff>
    </xdr:to>
    <xdr:cxnSp macro="">
      <xdr:nvCxnSpPr>
        <xdr:cNvPr id="338" name="Straight Connector 337">
          <a:extLst>
            <a:ext uri="{FF2B5EF4-FFF2-40B4-BE49-F238E27FC236}">
              <a16:creationId xmlns:a16="http://schemas.microsoft.com/office/drawing/2014/main" id="{52AEFA45-B69D-4B62-8DF7-63946EDF4D27}"/>
            </a:ext>
          </a:extLst>
        </xdr:cNvPr>
        <xdr:cNvCxnSpPr/>
      </xdr:nvCxnSpPr>
      <xdr:spPr>
        <a:xfrm flipV="1">
          <a:off x="11778338" y="208088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81638</xdr:colOff>
      <xdr:row>13</xdr:row>
      <xdr:rowOff>154837</xdr:rowOff>
    </xdr:from>
    <xdr:to>
      <xdr:col>20</xdr:col>
      <xdr:colOff>585586</xdr:colOff>
      <xdr:row>13</xdr:row>
      <xdr:rowOff>155994</xdr:rowOff>
    </xdr:to>
    <xdr:cxnSp macro="">
      <xdr:nvCxnSpPr>
        <xdr:cNvPr id="339" name="Straight Connector 338">
          <a:extLst>
            <a:ext uri="{FF2B5EF4-FFF2-40B4-BE49-F238E27FC236}">
              <a16:creationId xmlns:a16="http://schemas.microsoft.com/office/drawing/2014/main" id="{26A0C001-D3DA-434E-9EAF-7FD280F76471}"/>
            </a:ext>
          </a:extLst>
        </xdr:cNvPr>
        <xdr:cNvCxnSpPr/>
      </xdr:nvCxnSpPr>
      <xdr:spPr>
        <a:xfrm flipV="1">
          <a:off x="11778338" y="2440837"/>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81638</xdr:colOff>
      <xdr:row>16</xdr:row>
      <xdr:rowOff>158334</xdr:rowOff>
    </xdr:from>
    <xdr:to>
      <xdr:col>20</xdr:col>
      <xdr:colOff>585586</xdr:colOff>
      <xdr:row>16</xdr:row>
      <xdr:rowOff>159491</xdr:rowOff>
    </xdr:to>
    <xdr:cxnSp macro="">
      <xdr:nvCxnSpPr>
        <xdr:cNvPr id="340" name="Straight Connector 339">
          <a:extLst>
            <a:ext uri="{FF2B5EF4-FFF2-40B4-BE49-F238E27FC236}">
              <a16:creationId xmlns:a16="http://schemas.microsoft.com/office/drawing/2014/main" id="{40B645E8-274E-4F59-A03C-22422DDC2494}"/>
            </a:ext>
          </a:extLst>
        </xdr:cNvPr>
        <xdr:cNvCxnSpPr/>
      </xdr:nvCxnSpPr>
      <xdr:spPr>
        <a:xfrm flipV="1">
          <a:off x="11778338" y="299678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81638</xdr:colOff>
      <xdr:row>18</xdr:row>
      <xdr:rowOff>166215</xdr:rowOff>
    </xdr:from>
    <xdr:to>
      <xdr:col>20</xdr:col>
      <xdr:colOff>585586</xdr:colOff>
      <xdr:row>18</xdr:row>
      <xdr:rowOff>167372</xdr:rowOff>
    </xdr:to>
    <xdr:cxnSp macro="">
      <xdr:nvCxnSpPr>
        <xdr:cNvPr id="341" name="Straight Connector 340">
          <a:extLst>
            <a:ext uri="{FF2B5EF4-FFF2-40B4-BE49-F238E27FC236}">
              <a16:creationId xmlns:a16="http://schemas.microsoft.com/office/drawing/2014/main" id="{079D2E64-E096-49F5-8BEC-0B13BC21DEDD}"/>
            </a:ext>
          </a:extLst>
        </xdr:cNvPr>
        <xdr:cNvCxnSpPr/>
      </xdr:nvCxnSpPr>
      <xdr:spPr>
        <a:xfrm flipV="1">
          <a:off x="11778338" y="3372965"/>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96661</xdr:colOff>
      <xdr:row>23</xdr:row>
      <xdr:rowOff>152197</xdr:rowOff>
    </xdr:from>
    <xdr:to>
      <xdr:col>20</xdr:col>
      <xdr:colOff>600563</xdr:colOff>
      <xdr:row>23</xdr:row>
      <xdr:rowOff>153354</xdr:rowOff>
    </xdr:to>
    <xdr:cxnSp macro="">
      <xdr:nvCxnSpPr>
        <xdr:cNvPr id="342" name="Straight Connector 341">
          <a:extLst>
            <a:ext uri="{FF2B5EF4-FFF2-40B4-BE49-F238E27FC236}">
              <a16:creationId xmlns:a16="http://schemas.microsoft.com/office/drawing/2014/main" id="{EE836056-EEDB-4512-B9A3-45BFCE6B0DC1}"/>
            </a:ext>
          </a:extLst>
        </xdr:cNvPr>
        <xdr:cNvCxnSpPr/>
      </xdr:nvCxnSpPr>
      <xdr:spPr>
        <a:xfrm flipV="1">
          <a:off x="11793361" y="4146347"/>
          <a:ext cx="1113502"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81638</xdr:colOff>
      <xdr:row>24</xdr:row>
      <xdr:rowOff>191437</xdr:rowOff>
    </xdr:from>
    <xdr:to>
      <xdr:col>20</xdr:col>
      <xdr:colOff>585586</xdr:colOff>
      <xdr:row>24</xdr:row>
      <xdr:rowOff>192594</xdr:rowOff>
    </xdr:to>
    <xdr:cxnSp macro="">
      <xdr:nvCxnSpPr>
        <xdr:cNvPr id="343" name="Straight Connector 342">
          <a:extLst>
            <a:ext uri="{FF2B5EF4-FFF2-40B4-BE49-F238E27FC236}">
              <a16:creationId xmlns:a16="http://schemas.microsoft.com/office/drawing/2014/main" id="{3719A2F9-61B6-42F0-89A2-DA6A0D44C139}"/>
            </a:ext>
          </a:extLst>
        </xdr:cNvPr>
        <xdr:cNvCxnSpPr/>
      </xdr:nvCxnSpPr>
      <xdr:spPr>
        <a:xfrm flipV="1">
          <a:off x="11778338" y="4363387"/>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81638</xdr:colOff>
      <xdr:row>25</xdr:row>
      <xdr:rowOff>5545</xdr:rowOff>
    </xdr:from>
    <xdr:to>
      <xdr:col>20</xdr:col>
      <xdr:colOff>585586</xdr:colOff>
      <xdr:row>25</xdr:row>
      <xdr:rowOff>6702</xdr:rowOff>
    </xdr:to>
    <xdr:cxnSp macro="">
      <xdr:nvCxnSpPr>
        <xdr:cNvPr id="344" name="Straight Connector 343">
          <a:extLst>
            <a:ext uri="{FF2B5EF4-FFF2-40B4-BE49-F238E27FC236}">
              <a16:creationId xmlns:a16="http://schemas.microsoft.com/office/drawing/2014/main" id="{E023DF71-B23F-49BA-8F32-51B5C031103D}"/>
            </a:ext>
          </a:extLst>
        </xdr:cNvPr>
        <xdr:cNvCxnSpPr/>
      </xdr:nvCxnSpPr>
      <xdr:spPr>
        <a:xfrm flipV="1">
          <a:off x="11778338" y="4367995"/>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76561</xdr:colOff>
      <xdr:row>33</xdr:row>
      <xdr:rowOff>162327</xdr:rowOff>
    </xdr:from>
    <xdr:to>
      <xdr:col>20</xdr:col>
      <xdr:colOff>580463</xdr:colOff>
      <xdr:row>33</xdr:row>
      <xdr:rowOff>163484</xdr:rowOff>
    </xdr:to>
    <xdr:cxnSp macro="">
      <xdr:nvCxnSpPr>
        <xdr:cNvPr id="345" name="Straight Connector 344">
          <a:extLst>
            <a:ext uri="{FF2B5EF4-FFF2-40B4-BE49-F238E27FC236}">
              <a16:creationId xmlns:a16="http://schemas.microsoft.com/office/drawing/2014/main" id="{FB869980-AEF1-49F9-8D0D-DBF76FF087B2}"/>
            </a:ext>
          </a:extLst>
        </xdr:cNvPr>
        <xdr:cNvCxnSpPr/>
      </xdr:nvCxnSpPr>
      <xdr:spPr>
        <a:xfrm flipV="1">
          <a:off x="11773261" y="6010677"/>
          <a:ext cx="1113502"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76561</xdr:colOff>
      <xdr:row>40</xdr:row>
      <xdr:rowOff>159727</xdr:rowOff>
    </xdr:from>
    <xdr:to>
      <xdr:col>20</xdr:col>
      <xdr:colOff>580463</xdr:colOff>
      <xdr:row>40</xdr:row>
      <xdr:rowOff>160884</xdr:rowOff>
    </xdr:to>
    <xdr:cxnSp macro="">
      <xdr:nvCxnSpPr>
        <xdr:cNvPr id="346" name="Straight Connector 345">
          <a:extLst>
            <a:ext uri="{FF2B5EF4-FFF2-40B4-BE49-F238E27FC236}">
              <a16:creationId xmlns:a16="http://schemas.microsoft.com/office/drawing/2014/main" id="{5B43AAA4-753F-42CC-A01B-D836DB9D09F4}"/>
            </a:ext>
          </a:extLst>
        </xdr:cNvPr>
        <xdr:cNvCxnSpPr/>
      </xdr:nvCxnSpPr>
      <xdr:spPr>
        <a:xfrm flipV="1">
          <a:off x="11773261" y="7157427"/>
          <a:ext cx="1113502"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57761</xdr:colOff>
      <xdr:row>44</xdr:row>
      <xdr:rowOff>162046</xdr:rowOff>
    </xdr:from>
    <xdr:to>
      <xdr:col>20</xdr:col>
      <xdr:colOff>561663</xdr:colOff>
      <xdr:row>44</xdr:row>
      <xdr:rowOff>163364</xdr:rowOff>
    </xdr:to>
    <xdr:cxnSp macro="">
      <xdr:nvCxnSpPr>
        <xdr:cNvPr id="347" name="Straight Connector 346">
          <a:extLst>
            <a:ext uri="{FF2B5EF4-FFF2-40B4-BE49-F238E27FC236}">
              <a16:creationId xmlns:a16="http://schemas.microsoft.com/office/drawing/2014/main" id="{F35F4B17-58C5-4ED8-AB39-25258A3E7DF6}"/>
            </a:ext>
          </a:extLst>
        </xdr:cNvPr>
        <xdr:cNvCxnSpPr/>
      </xdr:nvCxnSpPr>
      <xdr:spPr>
        <a:xfrm flipV="1">
          <a:off x="11754461" y="7896346"/>
          <a:ext cx="1113502"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57761</xdr:colOff>
      <xdr:row>53</xdr:row>
      <xdr:rowOff>159446</xdr:rowOff>
    </xdr:from>
    <xdr:to>
      <xdr:col>20</xdr:col>
      <xdr:colOff>561663</xdr:colOff>
      <xdr:row>53</xdr:row>
      <xdr:rowOff>160764</xdr:rowOff>
    </xdr:to>
    <xdr:cxnSp macro="">
      <xdr:nvCxnSpPr>
        <xdr:cNvPr id="348" name="Straight Connector 347">
          <a:extLst>
            <a:ext uri="{FF2B5EF4-FFF2-40B4-BE49-F238E27FC236}">
              <a16:creationId xmlns:a16="http://schemas.microsoft.com/office/drawing/2014/main" id="{139A303D-3EB1-44DB-9DC2-1F0419C768E5}"/>
            </a:ext>
          </a:extLst>
        </xdr:cNvPr>
        <xdr:cNvCxnSpPr/>
      </xdr:nvCxnSpPr>
      <xdr:spPr>
        <a:xfrm flipV="1">
          <a:off x="11754461" y="9398696"/>
          <a:ext cx="1113502"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57761</xdr:colOff>
      <xdr:row>54</xdr:row>
      <xdr:rowOff>161846</xdr:rowOff>
    </xdr:from>
    <xdr:to>
      <xdr:col>20</xdr:col>
      <xdr:colOff>561663</xdr:colOff>
      <xdr:row>54</xdr:row>
      <xdr:rowOff>163164</xdr:rowOff>
    </xdr:to>
    <xdr:cxnSp macro="">
      <xdr:nvCxnSpPr>
        <xdr:cNvPr id="349" name="Straight Connector 348">
          <a:extLst>
            <a:ext uri="{FF2B5EF4-FFF2-40B4-BE49-F238E27FC236}">
              <a16:creationId xmlns:a16="http://schemas.microsoft.com/office/drawing/2014/main" id="{06149576-F841-4CB5-81F0-2906CE0595CF}"/>
            </a:ext>
          </a:extLst>
        </xdr:cNvPr>
        <xdr:cNvCxnSpPr/>
      </xdr:nvCxnSpPr>
      <xdr:spPr>
        <a:xfrm flipV="1">
          <a:off x="11754461" y="9585246"/>
          <a:ext cx="1113502"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57761</xdr:colOff>
      <xdr:row>55</xdr:row>
      <xdr:rowOff>4246</xdr:rowOff>
    </xdr:from>
    <xdr:to>
      <xdr:col>20</xdr:col>
      <xdr:colOff>561663</xdr:colOff>
      <xdr:row>55</xdr:row>
      <xdr:rowOff>5564</xdr:rowOff>
    </xdr:to>
    <xdr:cxnSp macro="">
      <xdr:nvCxnSpPr>
        <xdr:cNvPr id="350" name="Straight Connector 349">
          <a:extLst>
            <a:ext uri="{FF2B5EF4-FFF2-40B4-BE49-F238E27FC236}">
              <a16:creationId xmlns:a16="http://schemas.microsoft.com/office/drawing/2014/main" id="{D83D9E71-4411-4220-BCAA-4FF0C2B78030}"/>
            </a:ext>
          </a:extLst>
        </xdr:cNvPr>
        <xdr:cNvCxnSpPr/>
      </xdr:nvCxnSpPr>
      <xdr:spPr>
        <a:xfrm flipV="1">
          <a:off x="11754461" y="9611796"/>
          <a:ext cx="1113502"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81638</xdr:colOff>
      <xdr:row>16</xdr:row>
      <xdr:rowOff>154837</xdr:rowOff>
    </xdr:from>
    <xdr:to>
      <xdr:col>20</xdr:col>
      <xdr:colOff>585586</xdr:colOff>
      <xdr:row>16</xdr:row>
      <xdr:rowOff>155994</xdr:rowOff>
    </xdr:to>
    <xdr:cxnSp macro="">
      <xdr:nvCxnSpPr>
        <xdr:cNvPr id="351" name="Straight Connector 350">
          <a:extLst>
            <a:ext uri="{FF2B5EF4-FFF2-40B4-BE49-F238E27FC236}">
              <a16:creationId xmlns:a16="http://schemas.microsoft.com/office/drawing/2014/main" id="{5F801A35-F702-4598-963D-A85CD3C17740}"/>
            </a:ext>
          </a:extLst>
        </xdr:cNvPr>
        <xdr:cNvCxnSpPr/>
      </xdr:nvCxnSpPr>
      <xdr:spPr>
        <a:xfrm flipV="1">
          <a:off x="11778338" y="2993287"/>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81981</xdr:colOff>
      <xdr:row>24</xdr:row>
      <xdr:rowOff>191437</xdr:rowOff>
    </xdr:from>
    <xdr:to>
      <xdr:col>12</xdr:col>
      <xdr:colOff>585928</xdr:colOff>
      <xdr:row>24</xdr:row>
      <xdr:rowOff>192594</xdr:rowOff>
    </xdr:to>
    <xdr:cxnSp macro="">
      <xdr:nvCxnSpPr>
        <xdr:cNvPr id="352" name="Straight Connector 351">
          <a:extLst>
            <a:ext uri="{FF2B5EF4-FFF2-40B4-BE49-F238E27FC236}">
              <a16:creationId xmlns:a16="http://schemas.microsoft.com/office/drawing/2014/main" id="{AB1A214D-47FB-4ABA-92C1-C4DB59D0F24F}"/>
            </a:ext>
          </a:extLst>
        </xdr:cNvPr>
        <xdr:cNvCxnSpPr/>
      </xdr:nvCxnSpPr>
      <xdr:spPr>
        <a:xfrm flipV="1">
          <a:off x="6901881" y="436338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81981</xdr:colOff>
      <xdr:row>25</xdr:row>
      <xdr:rowOff>5545</xdr:rowOff>
    </xdr:from>
    <xdr:to>
      <xdr:col>12</xdr:col>
      <xdr:colOff>585928</xdr:colOff>
      <xdr:row>25</xdr:row>
      <xdr:rowOff>6702</xdr:rowOff>
    </xdr:to>
    <xdr:cxnSp macro="">
      <xdr:nvCxnSpPr>
        <xdr:cNvPr id="353" name="Straight Connector 352">
          <a:extLst>
            <a:ext uri="{FF2B5EF4-FFF2-40B4-BE49-F238E27FC236}">
              <a16:creationId xmlns:a16="http://schemas.microsoft.com/office/drawing/2014/main" id="{F87EC19D-3F1E-4FE7-BD2C-546E7D282C01}"/>
            </a:ext>
          </a:extLst>
        </xdr:cNvPr>
        <xdr:cNvCxnSpPr/>
      </xdr:nvCxnSpPr>
      <xdr:spPr>
        <a:xfrm flipV="1">
          <a:off x="6901881" y="436799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81981</xdr:colOff>
      <xdr:row>24</xdr:row>
      <xdr:rowOff>191437</xdr:rowOff>
    </xdr:from>
    <xdr:to>
      <xdr:col>14</xdr:col>
      <xdr:colOff>585928</xdr:colOff>
      <xdr:row>24</xdr:row>
      <xdr:rowOff>192594</xdr:rowOff>
    </xdr:to>
    <xdr:cxnSp macro="">
      <xdr:nvCxnSpPr>
        <xdr:cNvPr id="354" name="Straight Connector 353">
          <a:extLst>
            <a:ext uri="{FF2B5EF4-FFF2-40B4-BE49-F238E27FC236}">
              <a16:creationId xmlns:a16="http://schemas.microsoft.com/office/drawing/2014/main" id="{3960220F-8998-4AC8-AE66-EE6CF14B0D86}"/>
            </a:ext>
          </a:extLst>
        </xdr:cNvPr>
        <xdr:cNvCxnSpPr/>
      </xdr:nvCxnSpPr>
      <xdr:spPr>
        <a:xfrm flipV="1">
          <a:off x="8121081" y="436338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81981</xdr:colOff>
      <xdr:row>25</xdr:row>
      <xdr:rowOff>5545</xdr:rowOff>
    </xdr:from>
    <xdr:to>
      <xdr:col>14</xdr:col>
      <xdr:colOff>585928</xdr:colOff>
      <xdr:row>25</xdr:row>
      <xdr:rowOff>6702</xdr:rowOff>
    </xdr:to>
    <xdr:cxnSp macro="">
      <xdr:nvCxnSpPr>
        <xdr:cNvPr id="355" name="Straight Connector 354">
          <a:extLst>
            <a:ext uri="{FF2B5EF4-FFF2-40B4-BE49-F238E27FC236}">
              <a16:creationId xmlns:a16="http://schemas.microsoft.com/office/drawing/2014/main" id="{F08C4D8B-648B-4519-A490-88007C4F2251}"/>
            </a:ext>
          </a:extLst>
        </xdr:cNvPr>
        <xdr:cNvCxnSpPr/>
      </xdr:nvCxnSpPr>
      <xdr:spPr>
        <a:xfrm flipV="1">
          <a:off x="8121081" y="436799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81981</xdr:colOff>
      <xdr:row>24</xdr:row>
      <xdr:rowOff>191437</xdr:rowOff>
    </xdr:from>
    <xdr:to>
      <xdr:col>16</xdr:col>
      <xdr:colOff>585928</xdr:colOff>
      <xdr:row>24</xdr:row>
      <xdr:rowOff>192594</xdr:rowOff>
    </xdr:to>
    <xdr:cxnSp macro="">
      <xdr:nvCxnSpPr>
        <xdr:cNvPr id="356" name="Straight Connector 355">
          <a:extLst>
            <a:ext uri="{FF2B5EF4-FFF2-40B4-BE49-F238E27FC236}">
              <a16:creationId xmlns:a16="http://schemas.microsoft.com/office/drawing/2014/main" id="{A0ECF731-FAE1-4A0D-91C4-5C49350DACFA}"/>
            </a:ext>
          </a:extLst>
        </xdr:cNvPr>
        <xdr:cNvCxnSpPr/>
      </xdr:nvCxnSpPr>
      <xdr:spPr>
        <a:xfrm flipV="1">
          <a:off x="9340281" y="436338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81981</xdr:colOff>
      <xdr:row>25</xdr:row>
      <xdr:rowOff>5545</xdr:rowOff>
    </xdr:from>
    <xdr:to>
      <xdr:col>16</xdr:col>
      <xdr:colOff>585928</xdr:colOff>
      <xdr:row>25</xdr:row>
      <xdr:rowOff>6702</xdr:rowOff>
    </xdr:to>
    <xdr:cxnSp macro="">
      <xdr:nvCxnSpPr>
        <xdr:cNvPr id="357" name="Straight Connector 356">
          <a:extLst>
            <a:ext uri="{FF2B5EF4-FFF2-40B4-BE49-F238E27FC236}">
              <a16:creationId xmlns:a16="http://schemas.microsoft.com/office/drawing/2014/main" id="{D355AD43-076B-4F78-8667-6F3F62DCCC62}"/>
            </a:ext>
          </a:extLst>
        </xdr:cNvPr>
        <xdr:cNvCxnSpPr/>
      </xdr:nvCxnSpPr>
      <xdr:spPr>
        <a:xfrm flipV="1">
          <a:off x="9340281" y="436799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81981</xdr:colOff>
      <xdr:row>24</xdr:row>
      <xdr:rowOff>191437</xdr:rowOff>
    </xdr:from>
    <xdr:to>
      <xdr:col>18</xdr:col>
      <xdr:colOff>585928</xdr:colOff>
      <xdr:row>24</xdr:row>
      <xdr:rowOff>192594</xdr:rowOff>
    </xdr:to>
    <xdr:cxnSp macro="">
      <xdr:nvCxnSpPr>
        <xdr:cNvPr id="358" name="Straight Connector 357">
          <a:extLst>
            <a:ext uri="{FF2B5EF4-FFF2-40B4-BE49-F238E27FC236}">
              <a16:creationId xmlns:a16="http://schemas.microsoft.com/office/drawing/2014/main" id="{F9AC8179-332E-4146-8972-90F13A7ABF2F}"/>
            </a:ext>
          </a:extLst>
        </xdr:cNvPr>
        <xdr:cNvCxnSpPr/>
      </xdr:nvCxnSpPr>
      <xdr:spPr>
        <a:xfrm flipV="1">
          <a:off x="10559481" y="436338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81981</xdr:colOff>
      <xdr:row>25</xdr:row>
      <xdr:rowOff>5545</xdr:rowOff>
    </xdr:from>
    <xdr:to>
      <xdr:col>18</xdr:col>
      <xdr:colOff>585928</xdr:colOff>
      <xdr:row>25</xdr:row>
      <xdr:rowOff>6702</xdr:rowOff>
    </xdr:to>
    <xdr:cxnSp macro="">
      <xdr:nvCxnSpPr>
        <xdr:cNvPr id="359" name="Straight Connector 358">
          <a:extLst>
            <a:ext uri="{FF2B5EF4-FFF2-40B4-BE49-F238E27FC236}">
              <a16:creationId xmlns:a16="http://schemas.microsoft.com/office/drawing/2014/main" id="{2BAF720A-202E-4E34-827A-EEE4E24D5895}"/>
            </a:ext>
          </a:extLst>
        </xdr:cNvPr>
        <xdr:cNvCxnSpPr/>
      </xdr:nvCxnSpPr>
      <xdr:spPr>
        <a:xfrm flipV="1">
          <a:off x="10559481" y="436799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81981</xdr:colOff>
      <xdr:row>24</xdr:row>
      <xdr:rowOff>191437</xdr:rowOff>
    </xdr:from>
    <xdr:to>
      <xdr:col>20</xdr:col>
      <xdr:colOff>585928</xdr:colOff>
      <xdr:row>24</xdr:row>
      <xdr:rowOff>192594</xdr:rowOff>
    </xdr:to>
    <xdr:cxnSp macro="">
      <xdr:nvCxnSpPr>
        <xdr:cNvPr id="360" name="Straight Connector 359">
          <a:extLst>
            <a:ext uri="{FF2B5EF4-FFF2-40B4-BE49-F238E27FC236}">
              <a16:creationId xmlns:a16="http://schemas.microsoft.com/office/drawing/2014/main" id="{A9D32928-09B6-46B5-BA77-BE2C296A54D2}"/>
            </a:ext>
          </a:extLst>
        </xdr:cNvPr>
        <xdr:cNvCxnSpPr/>
      </xdr:nvCxnSpPr>
      <xdr:spPr>
        <a:xfrm flipV="1">
          <a:off x="11778681" y="436338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81981</xdr:colOff>
      <xdr:row>25</xdr:row>
      <xdr:rowOff>5545</xdr:rowOff>
    </xdr:from>
    <xdr:to>
      <xdr:col>20</xdr:col>
      <xdr:colOff>585928</xdr:colOff>
      <xdr:row>25</xdr:row>
      <xdr:rowOff>6702</xdr:rowOff>
    </xdr:to>
    <xdr:cxnSp macro="">
      <xdr:nvCxnSpPr>
        <xdr:cNvPr id="361" name="Straight Connector 360">
          <a:extLst>
            <a:ext uri="{FF2B5EF4-FFF2-40B4-BE49-F238E27FC236}">
              <a16:creationId xmlns:a16="http://schemas.microsoft.com/office/drawing/2014/main" id="{7795DDBF-AB8B-4BA6-B09B-DD3118C4B5A3}"/>
            </a:ext>
          </a:extLst>
        </xdr:cNvPr>
        <xdr:cNvCxnSpPr/>
      </xdr:nvCxnSpPr>
      <xdr:spPr>
        <a:xfrm flipV="1">
          <a:off x="11778681" y="436799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81981</xdr:colOff>
      <xdr:row>27</xdr:row>
      <xdr:rowOff>191437</xdr:rowOff>
    </xdr:from>
    <xdr:to>
      <xdr:col>10</xdr:col>
      <xdr:colOff>585928</xdr:colOff>
      <xdr:row>27</xdr:row>
      <xdr:rowOff>192594</xdr:rowOff>
    </xdr:to>
    <xdr:cxnSp macro="">
      <xdr:nvCxnSpPr>
        <xdr:cNvPr id="362" name="Straight Connector 361">
          <a:extLst>
            <a:ext uri="{FF2B5EF4-FFF2-40B4-BE49-F238E27FC236}">
              <a16:creationId xmlns:a16="http://schemas.microsoft.com/office/drawing/2014/main" id="{0462057E-55CA-4EF7-8D32-96EDD904AECE}"/>
            </a:ext>
          </a:extLst>
        </xdr:cNvPr>
        <xdr:cNvCxnSpPr/>
      </xdr:nvCxnSpPr>
      <xdr:spPr>
        <a:xfrm flipV="1">
          <a:off x="5682681" y="491583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81981</xdr:colOff>
      <xdr:row>28</xdr:row>
      <xdr:rowOff>5545</xdr:rowOff>
    </xdr:from>
    <xdr:to>
      <xdr:col>10</xdr:col>
      <xdr:colOff>585928</xdr:colOff>
      <xdr:row>28</xdr:row>
      <xdr:rowOff>6702</xdr:rowOff>
    </xdr:to>
    <xdr:cxnSp macro="">
      <xdr:nvCxnSpPr>
        <xdr:cNvPr id="363" name="Straight Connector 362">
          <a:extLst>
            <a:ext uri="{FF2B5EF4-FFF2-40B4-BE49-F238E27FC236}">
              <a16:creationId xmlns:a16="http://schemas.microsoft.com/office/drawing/2014/main" id="{412F0857-853C-4F9E-AFE9-CFD49670F7EA}"/>
            </a:ext>
          </a:extLst>
        </xdr:cNvPr>
        <xdr:cNvCxnSpPr/>
      </xdr:nvCxnSpPr>
      <xdr:spPr>
        <a:xfrm flipV="1">
          <a:off x="5682681" y="492044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81981</xdr:colOff>
      <xdr:row>27</xdr:row>
      <xdr:rowOff>191437</xdr:rowOff>
    </xdr:from>
    <xdr:to>
      <xdr:col>12</xdr:col>
      <xdr:colOff>585928</xdr:colOff>
      <xdr:row>27</xdr:row>
      <xdr:rowOff>192594</xdr:rowOff>
    </xdr:to>
    <xdr:cxnSp macro="">
      <xdr:nvCxnSpPr>
        <xdr:cNvPr id="364" name="Straight Connector 363">
          <a:extLst>
            <a:ext uri="{FF2B5EF4-FFF2-40B4-BE49-F238E27FC236}">
              <a16:creationId xmlns:a16="http://schemas.microsoft.com/office/drawing/2014/main" id="{779D7FE6-6FDA-4843-9812-CE8C785DD412}"/>
            </a:ext>
          </a:extLst>
        </xdr:cNvPr>
        <xdr:cNvCxnSpPr/>
      </xdr:nvCxnSpPr>
      <xdr:spPr>
        <a:xfrm flipV="1">
          <a:off x="6901881" y="491583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81981</xdr:colOff>
      <xdr:row>28</xdr:row>
      <xdr:rowOff>5545</xdr:rowOff>
    </xdr:from>
    <xdr:to>
      <xdr:col>12</xdr:col>
      <xdr:colOff>585928</xdr:colOff>
      <xdr:row>28</xdr:row>
      <xdr:rowOff>6702</xdr:rowOff>
    </xdr:to>
    <xdr:cxnSp macro="">
      <xdr:nvCxnSpPr>
        <xdr:cNvPr id="365" name="Straight Connector 364">
          <a:extLst>
            <a:ext uri="{FF2B5EF4-FFF2-40B4-BE49-F238E27FC236}">
              <a16:creationId xmlns:a16="http://schemas.microsoft.com/office/drawing/2014/main" id="{8E5062C5-26AC-4656-8B4A-2307A83DB9D1}"/>
            </a:ext>
          </a:extLst>
        </xdr:cNvPr>
        <xdr:cNvCxnSpPr/>
      </xdr:nvCxnSpPr>
      <xdr:spPr>
        <a:xfrm flipV="1">
          <a:off x="6901881" y="492044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81981</xdr:colOff>
      <xdr:row>27</xdr:row>
      <xdr:rowOff>191437</xdr:rowOff>
    </xdr:from>
    <xdr:to>
      <xdr:col>14</xdr:col>
      <xdr:colOff>585928</xdr:colOff>
      <xdr:row>27</xdr:row>
      <xdr:rowOff>192594</xdr:rowOff>
    </xdr:to>
    <xdr:cxnSp macro="">
      <xdr:nvCxnSpPr>
        <xdr:cNvPr id="366" name="Straight Connector 365">
          <a:extLst>
            <a:ext uri="{FF2B5EF4-FFF2-40B4-BE49-F238E27FC236}">
              <a16:creationId xmlns:a16="http://schemas.microsoft.com/office/drawing/2014/main" id="{9BE77DCB-CC5B-43A3-B202-EE0ACBFD6340}"/>
            </a:ext>
          </a:extLst>
        </xdr:cNvPr>
        <xdr:cNvCxnSpPr/>
      </xdr:nvCxnSpPr>
      <xdr:spPr>
        <a:xfrm flipV="1">
          <a:off x="8121081" y="491583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81981</xdr:colOff>
      <xdr:row>28</xdr:row>
      <xdr:rowOff>5545</xdr:rowOff>
    </xdr:from>
    <xdr:to>
      <xdr:col>14</xdr:col>
      <xdr:colOff>585928</xdr:colOff>
      <xdr:row>28</xdr:row>
      <xdr:rowOff>6702</xdr:rowOff>
    </xdr:to>
    <xdr:cxnSp macro="">
      <xdr:nvCxnSpPr>
        <xdr:cNvPr id="367" name="Straight Connector 366">
          <a:extLst>
            <a:ext uri="{FF2B5EF4-FFF2-40B4-BE49-F238E27FC236}">
              <a16:creationId xmlns:a16="http://schemas.microsoft.com/office/drawing/2014/main" id="{24161341-A0E2-4181-8A84-223A851D0077}"/>
            </a:ext>
          </a:extLst>
        </xdr:cNvPr>
        <xdr:cNvCxnSpPr/>
      </xdr:nvCxnSpPr>
      <xdr:spPr>
        <a:xfrm flipV="1">
          <a:off x="8121081" y="492044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81981</xdr:colOff>
      <xdr:row>27</xdr:row>
      <xdr:rowOff>191437</xdr:rowOff>
    </xdr:from>
    <xdr:to>
      <xdr:col>16</xdr:col>
      <xdr:colOff>585928</xdr:colOff>
      <xdr:row>27</xdr:row>
      <xdr:rowOff>192594</xdr:rowOff>
    </xdr:to>
    <xdr:cxnSp macro="">
      <xdr:nvCxnSpPr>
        <xdr:cNvPr id="368" name="Straight Connector 367">
          <a:extLst>
            <a:ext uri="{FF2B5EF4-FFF2-40B4-BE49-F238E27FC236}">
              <a16:creationId xmlns:a16="http://schemas.microsoft.com/office/drawing/2014/main" id="{613696D3-5589-418D-A0A5-527FE27E5B65}"/>
            </a:ext>
          </a:extLst>
        </xdr:cNvPr>
        <xdr:cNvCxnSpPr/>
      </xdr:nvCxnSpPr>
      <xdr:spPr>
        <a:xfrm flipV="1">
          <a:off x="9340281" y="491583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81981</xdr:colOff>
      <xdr:row>28</xdr:row>
      <xdr:rowOff>5545</xdr:rowOff>
    </xdr:from>
    <xdr:to>
      <xdr:col>16</xdr:col>
      <xdr:colOff>585928</xdr:colOff>
      <xdr:row>28</xdr:row>
      <xdr:rowOff>6702</xdr:rowOff>
    </xdr:to>
    <xdr:cxnSp macro="">
      <xdr:nvCxnSpPr>
        <xdr:cNvPr id="369" name="Straight Connector 368">
          <a:extLst>
            <a:ext uri="{FF2B5EF4-FFF2-40B4-BE49-F238E27FC236}">
              <a16:creationId xmlns:a16="http://schemas.microsoft.com/office/drawing/2014/main" id="{435A9B67-C63D-4035-81CF-2EF391C1D6CE}"/>
            </a:ext>
          </a:extLst>
        </xdr:cNvPr>
        <xdr:cNvCxnSpPr/>
      </xdr:nvCxnSpPr>
      <xdr:spPr>
        <a:xfrm flipV="1">
          <a:off x="9340281" y="492044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81981</xdr:colOff>
      <xdr:row>27</xdr:row>
      <xdr:rowOff>191437</xdr:rowOff>
    </xdr:from>
    <xdr:to>
      <xdr:col>18</xdr:col>
      <xdr:colOff>585928</xdr:colOff>
      <xdr:row>27</xdr:row>
      <xdr:rowOff>192594</xdr:rowOff>
    </xdr:to>
    <xdr:cxnSp macro="">
      <xdr:nvCxnSpPr>
        <xdr:cNvPr id="370" name="Straight Connector 369">
          <a:extLst>
            <a:ext uri="{FF2B5EF4-FFF2-40B4-BE49-F238E27FC236}">
              <a16:creationId xmlns:a16="http://schemas.microsoft.com/office/drawing/2014/main" id="{2B3AC6E7-ECF1-40B0-8D6A-9158F31E6789}"/>
            </a:ext>
          </a:extLst>
        </xdr:cNvPr>
        <xdr:cNvCxnSpPr/>
      </xdr:nvCxnSpPr>
      <xdr:spPr>
        <a:xfrm flipV="1">
          <a:off x="10559481" y="491583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81981</xdr:colOff>
      <xdr:row>28</xdr:row>
      <xdr:rowOff>5545</xdr:rowOff>
    </xdr:from>
    <xdr:to>
      <xdr:col>18</xdr:col>
      <xdr:colOff>585928</xdr:colOff>
      <xdr:row>28</xdr:row>
      <xdr:rowOff>6702</xdr:rowOff>
    </xdr:to>
    <xdr:cxnSp macro="">
      <xdr:nvCxnSpPr>
        <xdr:cNvPr id="371" name="Straight Connector 370">
          <a:extLst>
            <a:ext uri="{FF2B5EF4-FFF2-40B4-BE49-F238E27FC236}">
              <a16:creationId xmlns:a16="http://schemas.microsoft.com/office/drawing/2014/main" id="{A16A093D-A142-4850-B8A4-A6BB289B82B1}"/>
            </a:ext>
          </a:extLst>
        </xdr:cNvPr>
        <xdr:cNvCxnSpPr/>
      </xdr:nvCxnSpPr>
      <xdr:spPr>
        <a:xfrm flipV="1">
          <a:off x="10559481" y="492044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81981</xdr:colOff>
      <xdr:row>27</xdr:row>
      <xdr:rowOff>191437</xdr:rowOff>
    </xdr:from>
    <xdr:to>
      <xdr:col>20</xdr:col>
      <xdr:colOff>585928</xdr:colOff>
      <xdr:row>27</xdr:row>
      <xdr:rowOff>192594</xdr:rowOff>
    </xdr:to>
    <xdr:cxnSp macro="">
      <xdr:nvCxnSpPr>
        <xdr:cNvPr id="372" name="Straight Connector 371">
          <a:extLst>
            <a:ext uri="{FF2B5EF4-FFF2-40B4-BE49-F238E27FC236}">
              <a16:creationId xmlns:a16="http://schemas.microsoft.com/office/drawing/2014/main" id="{5651F4F9-022E-45D5-8ABA-34C67E89DA93}"/>
            </a:ext>
          </a:extLst>
        </xdr:cNvPr>
        <xdr:cNvCxnSpPr/>
      </xdr:nvCxnSpPr>
      <xdr:spPr>
        <a:xfrm flipV="1">
          <a:off x="11778681" y="491583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81981</xdr:colOff>
      <xdr:row>28</xdr:row>
      <xdr:rowOff>5545</xdr:rowOff>
    </xdr:from>
    <xdr:to>
      <xdr:col>20</xdr:col>
      <xdr:colOff>585928</xdr:colOff>
      <xdr:row>28</xdr:row>
      <xdr:rowOff>6702</xdr:rowOff>
    </xdr:to>
    <xdr:cxnSp macro="">
      <xdr:nvCxnSpPr>
        <xdr:cNvPr id="373" name="Straight Connector 372">
          <a:extLst>
            <a:ext uri="{FF2B5EF4-FFF2-40B4-BE49-F238E27FC236}">
              <a16:creationId xmlns:a16="http://schemas.microsoft.com/office/drawing/2014/main" id="{D265D513-FCDB-470B-979D-019F7E9E16BF}"/>
            </a:ext>
          </a:extLst>
        </xdr:cNvPr>
        <xdr:cNvCxnSpPr/>
      </xdr:nvCxnSpPr>
      <xdr:spPr>
        <a:xfrm flipV="1">
          <a:off x="11778681" y="492044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58081</xdr:colOff>
      <xdr:row>44</xdr:row>
      <xdr:rowOff>162046</xdr:rowOff>
    </xdr:from>
    <xdr:to>
      <xdr:col>12</xdr:col>
      <xdr:colOff>562028</xdr:colOff>
      <xdr:row>44</xdr:row>
      <xdr:rowOff>163364</xdr:rowOff>
    </xdr:to>
    <xdr:cxnSp macro="">
      <xdr:nvCxnSpPr>
        <xdr:cNvPr id="374" name="Straight Connector 373">
          <a:extLst>
            <a:ext uri="{FF2B5EF4-FFF2-40B4-BE49-F238E27FC236}">
              <a16:creationId xmlns:a16="http://schemas.microsoft.com/office/drawing/2014/main" id="{C2E7457B-F252-4A18-B899-6B4CD7007E34}"/>
            </a:ext>
          </a:extLst>
        </xdr:cNvPr>
        <xdr:cNvCxnSpPr/>
      </xdr:nvCxnSpPr>
      <xdr:spPr>
        <a:xfrm flipV="1">
          <a:off x="6877981" y="78963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58081</xdr:colOff>
      <xdr:row>44</xdr:row>
      <xdr:rowOff>162046</xdr:rowOff>
    </xdr:from>
    <xdr:to>
      <xdr:col>14</xdr:col>
      <xdr:colOff>562028</xdr:colOff>
      <xdr:row>44</xdr:row>
      <xdr:rowOff>163364</xdr:rowOff>
    </xdr:to>
    <xdr:cxnSp macro="">
      <xdr:nvCxnSpPr>
        <xdr:cNvPr id="375" name="Straight Connector 374">
          <a:extLst>
            <a:ext uri="{FF2B5EF4-FFF2-40B4-BE49-F238E27FC236}">
              <a16:creationId xmlns:a16="http://schemas.microsoft.com/office/drawing/2014/main" id="{2AC13208-8A03-4FAD-A7CB-2A7CD0753A45}"/>
            </a:ext>
          </a:extLst>
        </xdr:cNvPr>
        <xdr:cNvCxnSpPr/>
      </xdr:nvCxnSpPr>
      <xdr:spPr>
        <a:xfrm flipV="1">
          <a:off x="8097181" y="78963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58081</xdr:colOff>
      <xdr:row>44</xdr:row>
      <xdr:rowOff>162046</xdr:rowOff>
    </xdr:from>
    <xdr:to>
      <xdr:col>16</xdr:col>
      <xdr:colOff>562028</xdr:colOff>
      <xdr:row>44</xdr:row>
      <xdr:rowOff>163364</xdr:rowOff>
    </xdr:to>
    <xdr:cxnSp macro="">
      <xdr:nvCxnSpPr>
        <xdr:cNvPr id="376" name="Straight Connector 375">
          <a:extLst>
            <a:ext uri="{FF2B5EF4-FFF2-40B4-BE49-F238E27FC236}">
              <a16:creationId xmlns:a16="http://schemas.microsoft.com/office/drawing/2014/main" id="{3898058E-12CE-4082-AC9B-6C6BDF564CAF}"/>
            </a:ext>
          </a:extLst>
        </xdr:cNvPr>
        <xdr:cNvCxnSpPr/>
      </xdr:nvCxnSpPr>
      <xdr:spPr>
        <a:xfrm flipV="1">
          <a:off x="9316381" y="78963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58081</xdr:colOff>
      <xdr:row>44</xdr:row>
      <xdr:rowOff>162046</xdr:rowOff>
    </xdr:from>
    <xdr:to>
      <xdr:col>18</xdr:col>
      <xdr:colOff>562028</xdr:colOff>
      <xdr:row>44</xdr:row>
      <xdr:rowOff>163364</xdr:rowOff>
    </xdr:to>
    <xdr:cxnSp macro="">
      <xdr:nvCxnSpPr>
        <xdr:cNvPr id="377" name="Straight Connector 376">
          <a:extLst>
            <a:ext uri="{FF2B5EF4-FFF2-40B4-BE49-F238E27FC236}">
              <a16:creationId xmlns:a16="http://schemas.microsoft.com/office/drawing/2014/main" id="{1BD04C5B-1E73-4496-8244-B4557340C077}"/>
            </a:ext>
          </a:extLst>
        </xdr:cNvPr>
        <xdr:cNvCxnSpPr/>
      </xdr:nvCxnSpPr>
      <xdr:spPr>
        <a:xfrm flipV="1">
          <a:off x="10535581" y="78963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58081</xdr:colOff>
      <xdr:row>44</xdr:row>
      <xdr:rowOff>162046</xdr:rowOff>
    </xdr:from>
    <xdr:to>
      <xdr:col>20</xdr:col>
      <xdr:colOff>562028</xdr:colOff>
      <xdr:row>44</xdr:row>
      <xdr:rowOff>163364</xdr:rowOff>
    </xdr:to>
    <xdr:cxnSp macro="">
      <xdr:nvCxnSpPr>
        <xdr:cNvPr id="378" name="Straight Connector 377">
          <a:extLst>
            <a:ext uri="{FF2B5EF4-FFF2-40B4-BE49-F238E27FC236}">
              <a16:creationId xmlns:a16="http://schemas.microsoft.com/office/drawing/2014/main" id="{3D71EA0A-55AC-4EA6-A054-08B9167AF789}"/>
            </a:ext>
          </a:extLst>
        </xdr:cNvPr>
        <xdr:cNvCxnSpPr/>
      </xdr:nvCxnSpPr>
      <xdr:spPr>
        <a:xfrm flipV="1">
          <a:off x="11754781" y="78963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58081</xdr:colOff>
      <xdr:row>53</xdr:row>
      <xdr:rowOff>159446</xdr:rowOff>
    </xdr:from>
    <xdr:to>
      <xdr:col>12</xdr:col>
      <xdr:colOff>562028</xdr:colOff>
      <xdr:row>53</xdr:row>
      <xdr:rowOff>160764</xdr:rowOff>
    </xdr:to>
    <xdr:cxnSp macro="">
      <xdr:nvCxnSpPr>
        <xdr:cNvPr id="379" name="Straight Connector 378">
          <a:extLst>
            <a:ext uri="{FF2B5EF4-FFF2-40B4-BE49-F238E27FC236}">
              <a16:creationId xmlns:a16="http://schemas.microsoft.com/office/drawing/2014/main" id="{21B6A7A6-772A-4F03-84C1-748A3F54E008}"/>
            </a:ext>
          </a:extLst>
        </xdr:cNvPr>
        <xdr:cNvCxnSpPr/>
      </xdr:nvCxnSpPr>
      <xdr:spPr>
        <a:xfrm flipV="1">
          <a:off x="6877981" y="93986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58081</xdr:colOff>
      <xdr:row>53</xdr:row>
      <xdr:rowOff>159446</xdr:rowOff>
    </xdr:from>
    <xdr:to>
      <xdr:col>14</xdr:col>
      <xdr:colOff>562028</xdr:colOff>
      <xdr:row>53</xdr:row>
      <xdr:rowOff>160764</xdr:rowOff>
    </xdr:to>
    <xdr:cxnSp macro="">
      <xdr:nvCxnSpPr>
        <xdr:cNvPr id="380" name="Straight Connector 379">
          <a:extLst>
            <a:ext uri="{FF2B5EF4-FFF2-40B4-BE49-F238E27FC236}">
              <a16:creationId xmlns:a16="http://schemas.microsoft.com/office/drawing/2014/main" id="{51E6DC95-9A6E-4668-954D-938F3BF85ADD}"/>
            </a:ext>
          </a:extLst>
        </xdr:cNvPr>
        <xdr:cNvCxnSpPr/>
      </xdr:nvCxnSpPr>
      <xdr:spPr>
        <a:xfrm flipV="1">
          <a:off x="8097181" y="93986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58081</xdr:colOff>
      <xdr:row>53</xdr:row>
      <xdr:rowOff>159446</xdr:rowOff>
    </xdr:from>
    <xdr:to>
      <xdr:col>16</xdr:col>
      <xdr:colOff>562028</xdr:colOff>
      <xdr:row>53</xdr:row>
      <xdr:rowOff>160764</xdr:rowOff>
    </xdr:to>
    <xdr:cxnSp macro="">
      <xdr:nvCxnSpPr>
        <xdr:cNvPr id="381" name="Straight Connector 380">
          <a:extLst>
            <a:ext uri="{FF2B5EF4-FFF2-40B4-BE49-F238E27FC236}">
              <a16:creationId xmlns:a16="http://schemas.microsoft.com/office/drawing/2014/main" id="{AFBD4571-FCC0-4B92-88A5-1E6363A26FAB}"/>
            </a:ext>
          </a:extLst>
        </xdr:cNvPr>
        <xdr:cNvCxnSpPr/>
      </xdr:nvCxnSpPr>
      <xdr:spPr>
        <a:xfrm flipV="1">
          <a:off x="9316381" y="93986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58081</xdr:colOff>
      <xdr:row>53</xdr:row>
      <xdr:rowOff>159446</xdr:rowOff>
    </xdr:from>
    <xdr:to>
      <xdr:col>18</xdr:col>
      <xdr:colOff>562028</xdr:colOff>
      <xdr:row>53</xdr:row>
      <xdr:rowOff>160764</xdr:rowOff>
    </xdr:to>
    <xdr:cxnSp macro="">
      <xdr:nvCxnSpPr>
        <xdr:cNvPr id="382" name="Straight Connector 381">
          <a:extLst>
            <a:ext uri="{FF2B5EF4-FFF2-40B4-BE49-F238E27FC236}">
              <a16:creationId xmlns:a16="http://schemas.microsoft.com/office/drawing/2014/main" id="{7B35BBF7-C743-4A7B-9605-6D353A150D3C}"/>
            </a:ext>
          </a:extLst>
        </xdr:cNvPr>
        <xdr:cNvCxnSpPr/>
      </xdr:nvCxnSpPr>
      <xdr:spPr>
        <a:xfrm flipV="1">
          <a:off x="10535581" y="93986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58081</xdr:colOff>
      <xdr:row>53</xdr:row>
      <xdr:rowOff>159446</xdr:rowOff>
    </xdr:from>
    <xdr:to>
      <xdr:col>20</xdr:col>
      <xdr:colOff>562028</xdr:colOff>
      <xdr:row>53</xdr:row>
      <xdr:rowOff>160764</xdr:rowOff>
    </xdr:to>
    <xdr:cxnSp macro="">
      <xdr:nvCxnSpPr>
        <xdr:cNvPr id="383" name="Straight Connector 382">
          <a:extLst>
            <a:ext uri="{FF2B5EF4-FFF2-40B4-BE49-F238E27FC236}">
              <a16:creationId xmlns:a16="http://schemas.microsoft.com/office/drawing/2014/main" id="{12B7CA97-6D9C-4E55-96B3-DB0BC380B4B7}"/>
            </a:ext>
          </a:extLst>
        </xdr:cNvPr>
        <xdr:cNvCxnSpPr/>
      </xdr:nvCxnSpPr>
      <xdr:spPr>
        <a:xfrm flipV="1">
          <a:off x="11754781" y="93986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58081</xdr:colOff>
      <xdr:row>54</xdr:row>
      <xdr:rowOff>159446</xdr:rowOff>
    </xdr:from>
    <xdr:to>
      <xdr:col>10</xdr:col>
      <xdr:colOff>562028</xdr:colOff>
      <xdr:row>54</xdr:row>
      <xdr:rowOff>160764</xdr:rowOff>
    </xdr:to>
    <xdr:cxnSp macro="">
      <xdr:nvCxnSpPr>
        <xdr:cNvPr id="384" name="Straight Connector 383">
          <a:extLst>
            <a:ext uri="{FF2B5EF4-FFF2-40B4-BE49-F238E27FC236}">
              <a16:creationId xmlns:a16="http://schemas.microsoft.com/office/drawing/2014/main" id="{8D7495DA-796F-4248-8644-9418AC629B27}"/>
            </a:ext>
          </a:extLst>
        </xdr:cNvPr>
        <xdr:cNvCxnSpPr/>
      </xdr:nvCxnSpPr>
      <xdr:spPr>
        <a:xfrm flipV="1">
          <a:off x="5658781" y="95828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58081</xdr:colOff>
      <xdr:row>54</xdr:row>
      <xdr:rowOff>161846</xdr:rowOff>
    </xdr:from>
    <xdr:to>
      <xdr:col>12</xdr:col>
      <xdr:colOff>562028</xdr:colOff>
      <xdr:row>54</xdr:row>
      <xdr:rowOff>163164</xdr:rowOff>
    </xdr:to>
    <xdr:cxnSp macro="">
      <xdr:nvCxnSpPr>
        <xdr:cNvPr id="385" name="Straight Connector 384">
          <a:extLst>
            <a:ext uri="{FF2B5EF4-FFF2-40B4-BE49-F238E27FC236}">
              <a16:creationId xmlns:a16="http://schemas.microsoft.com/office/drawing/2014/main" id="{D62897F1-7D6A-4345-B271-B18584B2085A}"/>
            </a:ext>
          </a:extLst>
        </xdr:cNvPr>
        <xdr:cNvCxnSpPr/>
      </xdr:nvCxnSpPr>
      <xdr:spPr>
        <a:xfrm flipV="1">
          <a:off x="6877981" y="95852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58081</xdr:colOff>
      <xdr:row>54</xdr:row>
      <xdr:rowOff>159446</xdr:rowOff>
    </xdr:from>
    <xdr:to>
      <xdr:col>12</xdr:col>
      <xdr:colOff>562028</xdr:colOff>
      <xdr:row>54</xdr:row>
      <xdr:rowOff>160764</xdr:rowOff>
    </xdr:to>
    <xdr:cxnSp macro="">
      <xdr:nvCxnSpPr>
        <xdr:cNvPr id="386" name="Straight Connector 385">
          <a:extLst>
            <a:ext uri="{FF2B5EF4-FFF2-40B4-BE49-F238E27FC236}">
              <a16:creationId xmlns:a16="http://schemas.microsoft.com/office/drawing/2014/main" id="{DE3D8494-A8F0-4C27-B874-D02986E1BBA2}"/>
            </a:ext>
          </a:extLst>
        </xdr:cNvPr>
        <xdr:cNvCxnSpPr/>
      </xdr:nvCxnSpPr>
      <xdr:spPr>
        <a:xfrm flipV="1">
          <a:off x="6877981" y="95828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58081</xdr:colOff>
      <xdr:row>54</xdr:row>
      <xdr:rowOff>161846</xdr:rowOff>
    </xdr:from>
    <xdr:to>
      <xdr:col>14</xdr:col>
      <xdr:colOff>562028</xdr:colOff>
      <xdr:row>54</xdr:row>
      <xdr:rowOff>163164</xdr:rowOff>
    </xdr:to>
    <xdr:cxnSp macro="">
      <xdr:nvCxnSpPr>
        <xdr:cNvPr id="387" name="Straight Connector 386">
          <a:extLst>
            <a:ext uri="{FF2B5EF4-FFF2-40B4-BE49-F238E27FC236}">
              <a16:creationId xmlns:a16="http://schemas.microsoft.com/office/drawing/2014/main" id="{7DDF8B34-5ECC-4453-B278-54A57F0B2D71}"/>
            </a:ext>
          </a:extLst>
        </xdr:cNvPr>
        <xdr:cNvCxnSpPr/>
      </xdr:nvCxnSpPr>
      <xdr:spPr>
        <a:xfrm flipV="1">
          <a:off x="8097181" y="95852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58081</xdr:colOff>
      <xdr:row>54</xdr:row>
      <xdr:rowOff>159446</xdr:rowOff>
    </xdr:from>
    <xdr:to>
      <xdr:col>14</xdr:col>
      <xdr:colOff>562028</xdr:colOff>
      <xdr:row>54</xdr:row>
      <xdr:rowOff>160764</xdr:rowOff>
    </xdr:to>
    <xdr:cxnSp macro="">
      <xdr:nvCxnSpPr>
        <xdr:cNvPr id="388" name="Straight Connector 387">
          <a:extLst>
            <a:ext uri="{FF2B5EF4-FFF2-40B4-BE49-F238E27FC236}">
              <a16:creationId xmlns:a16="http://schemas.microsoft.com/office/drawing/2014/main" id="{8796C33C-DF24-41A6-88E9-F810286C378E}"/>
            </a:ext>
          </a:extLst>
        </xdr:cNvPr>
        <xdr:cNvCxnSpPr/>
      </xdr:nvCxnSpPr>
      <xdr:spPr>
        <a:xfrm flipV="1">
          <a:off x="8097181" y="95828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58081</xdr:colOff>
      <xdr:row>54</xdr:row>
      <xdr:rowOff>161846</xdr:rowOff>
    </xdr:from>
    <xdr:to>
      <xdr:col>16</xdr:col>
      <xdr:colOff>562028</xdr:colOff>
      <xdr:row>54</xdr:row>
      <xdr:rowOff>163164</xdr:rowOff>
    </xdr:to>
    <xdr:cxnSp macro="">
      <xdr:nvCxnSpPr>
        <xdr:cNvPr id="389" name="Straight Connector 388">
          <a:extLst>
            <a:ext uri="{FF2B5EF4-FFF2-40B4-BE49-F238E27FC236}">
              <a16:creationId xmlns:a16="http://schemas.microsoft.com/office/drawing/2014/main" id="{FAAE8A06-C4E5-4736-9068-D163C40D27E4}"/>
            </a:ext>
          </a:extLst>
        </xdr:cNvPr>
        <xdr:cNvCxnSpPr/>
      </xdr:nvCxnSpPr>
      <xdr:spPr>
        <a:xfrm flipV="1">
          <a:off x="9316381" y="95852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58081</xdr:colOff>
      <xdr:row>54</xdr:row>
      <xdr:rowOff>159446</xdr:rowOff>
    </xdr:from>
    <xdr:to>
      <xdr:col>16</xdr:col>
      <xdr:colOff>562028</xdr:colOff>
      <xdr:row>54</xdr:row>
      <xdr:rowOff>160764</xdr:rowOff>
    </xdr:to>
    <xdr:cxnSp macro="">
      <xdr:nvCxnSpPr>
        <xdr:cNvPr id="390" name="Straight Connector 389">
          <a:extLst>
            <a:ext uri="{FF2B5EF4-FFF2-40B4-BE49-F238E27FC236}">
              <a16:creationId xmlns:a16="http://schemas.microsoft.com/office/drawing/2014/main" id="{EC10E831-C1BA-438E-90E3-F5FA3A7DF1D2}"/>
            </a:ext>
          </a:extLst>
        </xdr:cNvPr>
        <xdr:cNvCxnSpPr/>
      </xdr:nvCxnSpPr>
      <xdr:spPr>
        <a:xfrm flipV="1">
          <a:off x="9316381" y="95828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58081</xdr:colOff>
      <xdr:row>54</xdr:row>
      <xdr:rowOff>161846</xdr:rowOff>
    </xdr:from>
    <xdr:to>
      <xdr:col>18</xdr:col>
      <xdr:colOff>562028</xdr:colOff>
      <xdr:row>54</xdr:row>
      <xdr:rowOff>163164</xdr:rowOff>
    </xdr:to>
    <xdr:cxnSp macro="">
      <xdr:nvCxnSpPr>
        <xdr:cNvPr id="391" name="Straight Connector 390">
          <a:extLst>
            <a:ext uri="{FF2B5EF4-FFF2-40B4-BE49-F238E27FC236}">
              <a16:creationId xmlns:a16="http://schemas.microsoft.com/office/drawing/2014/main" id="{740319CE-BCA3-4B33-B2C5-6784F15DE9E5}"/>
            </a:ext>
          </a:extLst>
        </xdr:cNvPr>
        <xdr:cNvCxnSpPr/>
      </xdr:nvCxnSpPr>
      <xdr:spPr>
        <a:xfrm flipV="1">
          <a:off x="10535581" y="95852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58081</xdr:colOff>
      <xdr:row>54</xdr:row>
      <xdr:rowOff>159446</xdr:rowOff>
    </xdr:from>
    <xdr:to>
      <xdr:col>18</xdr:col>
      <xdr:colOff>562028</xdr:colOff>
      <xdr:row>54</xdr:row>
      <xdr:rowOff>160764</xdr:rowOff>
    </xdr:to>
    <xdr:cxnSp macro="">
      <xdr:nvCxnSpPr>
        <xdr:cNvPr id="392" name="Straight Connector 391">
          <a:extLst>
            <a:ext uri="{FF2B5EF4-FFF2-40B4-BE49-F238E27FC236}">
              <a16:creationId xmlns:a16="http://schemas.microsoft.com/office/drawing/2014/main" id="{EB7D6482-EF72-4D41-957A-44312DB00E81}"/>
            </a:ext>
          </a:extLst>
        </xdr:cNvPr>
        <xdr:cNvCxnSpPr/>
      </xdr:nvCxnSpPr>
      <xdr:spPr>
        <a:xfrm flipV="1">
          <a:off x="10535581" y="95828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58081</xdr:colOff>
      <xdr:row>54</xdr:row>
      <xdr:rowOff>161846</xdr:rowOff>
    </xdr:from>
    <xdr:to>
      <xdr:col>20</xdr:col>
      <xdr:colOff>562028</xdr:colOff>
      <xdr:row>54</xdr:row>
      <xdr:rowOff>163164</xdr:rowOff>
    </xdr:to>
    <xdr:cxnSp macro="">
      <xdr:nvCxnSpPr>
        <xdr:cNvPr id="393" name="Straight Connector 392">
          <a:extLst>
            <a:ext uri="{FF2B5EF4-FFF2-40B4-BE49-F238E27FC236}">
              <a16:creationId xmlns:a16="http://schemas.microsoft.com/office/drawing/2014/main" id="{59E192BB-4F66-4282-BEDB-34B0EC01F0BF}"/>
            </a:ext>
          </a:extLst>
        </xdr:cNvPr>
        <xdr:cNvCxnSpPr/>
      </xdr:nvCxnSpPr>
      <xdr:spPr>
        <a:xfrm flipV="1">
          <a:off x="11754781" y="95852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58081</xdr:colOff>
      <xdr:row>54</xdr:row>
      <xdr:rowOff>159446</xdr:rowOff>
    </xdr:from>
    <xdr:to>
      <xdr:col>20</xdr:col>
      <xdr:colOff>562028</xdr:colOff>
      <xdr:row>54</xdr:row>
      <xdr:rowOff>160764</xdr:rowOff>
    </xdr:to>
    <xdr:cxnSp macro="">
      <xdr:nvCxnSpPr>
        <xdr:cNvPr id="394" name="Straight Connector 393">
          <a:extLst>
            <a:ext uri="{FF2B5EF4-FFF2-40B4-BE49-F238E27FC236}">
              <a16:creationId xmlns:a16="http://schemas.microsoft.com/office/drawing/2014/main" id="{7D5C078C-FB16-4BDD-A090-13B7A70C417E}"/>
            </a:ext>
          </a:extLst>
        </xdr:cNvPr>
        <xdr:cNvCxnSpPr/>
      </xdr:nvCxnSpPr>
      <xdr:spPr>
        <a:xfrm flipV="1">
          <a:off x="11754781" y="95828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58081</xdr:colOff>
      <xdr:row>55</xdr:row>
      <xdr:rowOff>4246</xdr:rowOff>
    </xdr:from>
    <xdr:to>
      <xdr:col>12</xdr:col>
      <xdr:colOff>562028</xdr:colOff>
      <xdr:row>55</xdr:row>
      <xdr:rowOff>5564</xdr:rowOff>
    </xdr:to>
    <xdr:cxnSp macro="">
      <xdr:nvCxnSpPr>
        <xdr:cNvPr id="395" name="Straight Connector 394">
          <a:extLst>
            <a:ext uri="{FF2B5EF4-FFF2-40B4-BE49-F238E27FC236}">
              <a16:creationId xmlns:a16="http://schemas.microsoft.com/office/drawing/2014/main" id="{74D7769A-71F5-4F85-A971-8B4A70A510DF}"/>
            </a:ext>
          </a:extLst>
        </xdr:cNvPr>
        <xdr:cNvCxnSpPr/>
      </xdr:nvCxnSpPr>
      <xdr:spPr>
        <a:xfrm flipV="1">
          <a:off x="6877981" y="96117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58081</xdr:colOff>
      <xdr:row>55</xdr:row>
      <xdr:rowOff>4246</xdr:rowOff>
    </xdr:from>
    <xdr:to>
      <xdr:col>14</xdr:col>
      <xdr:colOff>562028</xdr:colOff>
      <xdr:row>55</xdr:row>
      <xdr:rowOff>5564</xdr:rowOff>
    </xdr:to>
    <xdr:cxnSp macro="">
      <xdr:nvCxnSpPr>
        <xdr:cNvPr id="396" name="Straight Connector 395">
          <a:extLst>
            <a:ext uri="{FF2B5EF4-FFF2-40B4-BE49-F238E27FC236}">
              <a16:creationId xmlns:a16="http://schemas.microsoft.com/office/drawing/2014/main" id="{F9D1518F-ECCB-4ABC-85AC-ACC9D6962A07}"/>
            </a:ext>
          </a:extLst>
        </xdr:cNvPr>
        <xdr:cNvCxnSpPr/>
      </xdr:nvCxnSpPr>
      <xdr:spPr>
        <a:xfrm flipV="1">
          <a:off x="8097181" y="96117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58081</xdr:colOff>
      <xdr:row>55</xdr:row>
      <xdr:rowOff>4246</xdr:rowOff>
    </xdr:from>
    <xdr:to>
      <xdr:col>16</xdr:col>
      <xdr:colOff>562028</xdr:colOff>
      <xdr:row>55</xdr:row>
      <xdr:rowOff>5564</xdr:rowOff>
    </xdr:to>
    <xdr:cxnSp macro="">
      <xdr:nvCxnSpPr>
        <xdr:cNvPr id="397" name="Straight Connector 396">
          <a:extLst>
            <a:ext uri="{FF2B5EF4-FFF2-40B4-BE49-F238E27FC236}">
              <a16:creationId xmlns:a16="http://schemas.microsoft.com/office/drawing/2014/main" id="{01BA3520-E862-4473-A239-610562E5533D}"/>
            </a:ext>
          </a:extLst>
        </xdr:cNvPr>
        <xdr:cNvCxnSpPr/>
      </xdr:nvCxnSpPr>
      <xdr:spPr>
        <a:xfrm flipV="1">
          <a:off x="9316381" y="96117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58081</xdr:colOff>
      <xdr:row>55</xdr:row>
      <xdr:rowOff>4246</xdr:rowOff>
    </xdr:from>
    <xdr:to>
      <xdr:col>18</xdr:col>
      <xdr:colOff>562028</xdr:colOff>
      <xdr:row>55</xdr:row>
      <xdr:rowOff>5564</xdr:rowOff>
    </xdr:to>
    <xdr:cxnSp macro="">
      <xdr:nvCxnSpPr>
        <xdr:cNvPr id="398" name="Straight Connector 397">
          <a:extLst>
            <a:ext uri="{FF2B5EF4-FFF2-40B4-BE49-F238E27FC236}">
              <a16:creationId xmlns:a16="http://schemas.microsoft.com/office/drawing/2014/main" id="{89D031B9-5C95-4706-A120-B31B1636BCDE}"/>
            </a:ext>
          </a:extLst>
        </xdr:cNvPr>
        <xdr:cNvCxnSpPr/>
      </xdr:nvCxnSpPr>
      <xdr:spPr>
        <a:xfrm flipV="1">
          <a:off x="10535581" y="96117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58081</xdr:colOff>
      <xdr:row>55</xdr:row>
      <xdr:rowOff>4246</xdr:rowOff>
    </xdr:from>
    <xdr:to>
      <xdr:col>20</xdr:col>
      <xdr:colOff>562028</xdr:colOff>
      <xdr:row>55</xdr:row>
      <xdr:rowOff>5564</xdr:rowOff>
    </xdr:to>
    <xdr:cxnSp macro="">
      <xdr:nvCxnSpPr>
        <xdr:cNvPr id="399" name="Straight Connector 398">
          <a:extLst>
            <a:ext uri="{FF2B5EF4-FFF2-40B4-BE49-F238E27FC236}">
              <a16:creationId xmlns:a16="http://schemas.microsoft.com/office/drawing/2014/main" id="{EDE70536-7F8C-4D40-9A8E-87F4EB2B6712}"/>
            </a:ext>
          </a:extLst>
        </xdr:cNvPr>
        <xdr:cNvCxnSpPr/>
      </xdr:nvCxnSpPr>
      <xdr:spPr>
        <a:xfrm flipV="1">
          <a:off x="11754781" y="96117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69448</xdr:colOff>
      <xdr:row>20</xdr:row>
      <xdr:rowOff>166161</xdr:rowOff>
    </xdr:from>
    <xdr:to>
      <xdr:col>26</xdr:col>
      <xdr:colOff>709528</xdr:colOff>
      <xdr:row>20</xdr:row>
      <xdr:rowOff>166161</xdr:rowOff>
    </xdr:to>
    <xdr:cxnSp macro="">
      <xdr:nvCxnSpPr>
        <xdr:cNvPr id="400" name="Straight Connector 399">
          <a:extLst>
            <a:ext uri="{FF2B5EF4-FFF2-40B4-BE49-F238E27FC236}">
              <a16:creationId xmlns:a16="http://schemas.microsoft.com/office/drawing/2014/main" id="{7B9454FF-55A8-4D84-AC1A-8C5219FC7C67}"/>
            </a:ext>
          </a:extLst>
        </xdr:cNvPr>
        <xdr:cNvCxnSpPr/>
      </xdr:nvCxnSpPr>
      <xdr:spPr>
        <a:xfrm>
          <a:off x="16642948" y="3607861"/>
          <a:ext cx="5765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69448</xdr:colOff>
      <xdr:row>20</xdr:row>
      <xdr:rowOff>166161</xdr:rowOff>
    </xdr:from>
    <xdr:to>
      <xdr:col>26</xdr:col>
      <xdr:colOff>709528</xdr:colOff>
      <xdr:row>20</xdr:row>
      <xdr:rowOff>166161</xdr:rowOff>
    </xdr:to>
    <xdr:cxnSp macro="">
      <xdr:nvCxnSpPr>
        <xdr:cNvPr id="401" name="Straight Connector 400">
          <a:extLst>
            <a:ext uri="{FF2B5EF4-FFF2-40B4-BE49-F238E27FC236}">
              <a16:creationId xmlns:a16="http://schemas.microsoft.com/office/drawing/2014/main" id="{6027F6EF-8F21-4AA7-8228-F694F8FCC2D0}"/>
            </a:ext>
          </a:extLst>
        </xdr:cNvPr>
        <xdr:cNvCxnSpPr/>
      </xdr:nvCxnSpPr>
      <xdr:spPr>
        <a:xfrm>
          <a:off x="16642948" y="3607861"/>
          <a:ext cx="5765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71627</xdr:colOff>
      <xdr:row>34</xdr:row>
      <xdr:rowOff>164113</xdr:rowOff>
    </xdr:from>
    <xdr:to>
      <xdr:col>26</xdr:col>
      <xdr:colOff>711707</xdr:colOff>
      <xdr:row>34</xdr:row>
      <xdr:rowOff>164113</xdr:rowOff>
    </xdr:to>
    <xdr:cxnSp macro="">
      <xdr:nvCxnSpPr>
        <xdr:cNvPr id="402" name="Straight Connector 401">
          <a:extLst>
            <a:ext uri="{FF2B5EF4-FFF2-40B4-BE49-F238E27FC236}">
              <a16:creationId xmlns:a16="http://schemas.microsoft.com/office/drawing/2014/main" id="{DC36CA4E-1A2A-4161-997B-8DB02D3E1B3C}"/>
            </a:ext>
          </a:extLst>
        </xdr:cNvPr>
        <xdr:cNvCxnSpPr/>
      </xdr:nvCxnSpPr>
      <xdr:spPr>
        <a:xfrm>
          <a:off x="16645127" y="6196613"/>
          <a:ext cx="5765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81638</xdr:colOff>
      <xdr:row>11</xdr:row>
      <xdr:rowOff>169534</xdr:rowOff>
    </xdr:from>
    <xdr:to>
      <xdr:col>20</xdr:col>
      <xdr:colOff>585586</xdr:colOff>
      <xdr:row>11</xdr:row>
      <xdr:rowOff>170691</xdr:rowOff>
    </xdr:to>
    <xdr:cxnSp macro="">
      <xdr:nvCxnSpPr>
        <xdr:cNvPr id="403" name="Straight Connector 402">
          <a:extLst>
            <a:ext uri="{FF2B5EF4-FFF2-40B4-BE49-F238E27FC236}">
              <a16:creationId xmlns:a16="http://schemas.microsoft.com/office/drawing/2014/main" id="{DB4D0E82-3D01-4511-8AAF-89559FEA96C8}"/>
            </a:ext>
          </a:extLst>
        </xdr:cNvPr>
        <xdr:cNvCxnSpPr/>
      </xdr:nvCxnSpPr>
      <xdr:spPr>
        <a:xfrm flipV="1">
          <a:off x="11778338" y="208088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74332</xdr:colOff>
      <xdr:row>64</xdr:row>
      <xdr:rowOff>159393</xdr:rowOff>
    </xdr:from>
    <xdr:to>
      <xdr:col>25</xdr:col>
      <xdr:colOff>714412</xdr:colOff>
      <xdr:row>64</xdr:row>
      <xdr:rowOff>159393</xdr:rowOff>
    </xdr:to>
    <xdr:cxnSp macro="">
      <xdr:nvCxnSpPr>
        <xdr:cNvPr id="404" name="Straight Connector 403">
          <a:extLst>
            <a:ext uri="{FF2B5EF4-FFF2-40B4-BE49-F238E27FC236}">
              <a16:creationId xmlns:a16="http://schemas.microsoft.com/office/drawing/2014/main" id="{66CE1937-737C-499E-88F8-05A2618E3BFF}"/>
            </a:ext>
          </a:extLst>
        </xdr:cNvPr>
        <xdr:cNvCxnSpPr/>
      </xdr:nvCxnSpPr>
      <xdr:spPr>
        <a:xfrm>
          <a:off x="15885832" y="11303643"/>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55843</xdr:colOff>
      <xdr:row>26</xdr:row>
      <xdr:rowOff>139492</xdr:rowOff>
    </xdr:from>
    <xdr:to>
      <xdr:col>4</xdr:col>
      <xdr:colOff>541946</xdr:colOff>
      <xdr:row>26</xdr:row>
      <xdr:rowOff>139492</xdr:rowOff>
    </xdr:to>
    <xdr:cxnSp macro="">
      <xdr:nvCxnSpPr>
        <xdr:cNvPr id="405" name="Straight Connector 404">
          <a:extLst>
            <a:ext uri="{FF2B5EF4-FFF2-40B4-BE49-F238E27FC236}">
              <a16:creationId xmlns:a16="http://schemas.microsoft.com/office/drawing/2014/main" id="{693849BB-F347-4F27-925D-A14757605A49}"/>
            </a:ext>
          </a:extLst>
        </xdr:cNvPr>
        <xdr:cNvCxnSpPr/>
      </xdr:nvCxnSpPr>
      <xdr:spPr>
        <a:xfrm>
          <a:off x="2678393" y="4686092"/>
          <a:ext cx="486103"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55843</xdr:colOff>
      <xdr:row>32</xdr:row>
      <xdr:rowOff>169413</xdr:rowOff>
    </xdr:from>
    <xdr:to>
      <xdr:col>4</xdr:col>
      <xdr:colOff>541946</xdr:colOff>
      <xdr:row>32</xdr:row>
      <xdr:rowOff>169413</xdr:rowOff>
    </xdr:to>
    <xdr:cxnSp macro="">
      <xdr:nvCxnSpPr>
        <xdr:cNvPr id="406" name="Straight Connector 405">
          <a:extLst>
            <a:ext uri="{FF2B5EF4-FFF2-40B4-BE49-F238E27FC236}">
              <a16:creationId xmlns:a16="http://schemas.microsoft.com/office/drawing/2014/main" id="{47E508FE-CBFF-4640-9B10-3EEBA1A81B40}"/>
            </a:ext>
          </a:extLst>
        </xdr:cNvPr>
        <xdr:cNvCxnSpPr/>
      </xdr:nvCxnSpPr>
      <xdr:spPr>
        <a:xfrm>
          <a:off x="2678393" y="5833613"/>
          <a:ext cx="486103"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55843</xdr:colOff>
      <xdr:row>33</xdr:row>
      <xdr:rowOff>167269</xdr:rowOff>
    </xdr:from>
    <xdr:to>
      <xdr:col>4</xdr:col>
      <xdr:colOff>541946</xdr:colOff>
      <xdr:row>33</xdr:row>
      <xdr:rowOff>167269</xdr:rowOff>
    </xdr:to>
    <xdr:cxnSp macro="">
      <xdr:nvCxnSpPr>
        <xdr:cNvPr id="407" name="Straight Connector 406">
          <a:extLst>
            <a:ext uri="{FF2B5EF4-FFF2-40B4-BE49-F238E27FC236}">
              <a16:creationId xmlns:a16="http://schemas.microsoft.com/office/drawing/2014/main" id="{528BD5AE-7ED1-40C9-9159-84CE06E89093}"/>
            </a:ext>
          </a:extLst>
        </xdr:cNvPr>
        <xdr:cNvCxnSpPr/>
      </xdr:nvCxnSpPr>
      <xdr:spPr>
        <a:xfrm>
          <a:off x="2678393" y="6015619"/>
          <a:ext cx="486103"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55843</xdr:colOff>
      <xdr:row>26</xdr:row>
      <xdr:rowOff>139492</xdr:rowOff>
    </xdr:from>
    <xdr:to>
      <xdr:col>4</xdr:col>
      <xdr:colOff>541946</xdr:colOff>
      <xdr:row>26</xdr:row>
      <xdr:rowOff>139492</xdr:rowOff>
    </xdr:to>
    <xdr:cxnSp macro="">
      <xdr:nvCxnSpPr>
        <xdr:cNvPr id="408" name="Straight Connector 407">
          <a:extLst>
            <a:ext uri="{FF2B5EF4-FFF2-40B4-BE49-F238E27FC236}">
              <a16:creationId xmlns:a16="http://schemas.microsoft.com/office/drawing/2014/main" id="{E0275878-9477-495E-9C88-3774B11373CD}"/>
            </a:ext>
          </a:extLst>
        </xdr:cNvPr>
        <xdr:cNvCxnSpPr/>
      </xdr:nvCxnSpPr>
      <xdr:spPr>
        <a:xfrm>
          <a:off x="2678393" y="4686092"/>
          <a:ext cx="486103"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55843</xdr:colOff>
      <xdr:row>32</xdr:row>
      <xdr:rowOff>169413</xdr:rowOff>
    </xdr:from>
    <xdr:to>
      <xdr:col>4</xdr:col>
      <xdr:colOff>541946</xdr:colOff>
      <xdr:row>32</xdr:row>
      <xdr:rowOff>169413</xdr:rowOff>
    </xdr:to>
    <xdr:cxnSp macro="">
      <xdr:nvCxnSpPr>
        <xdr:cNvPr id="409" name="Straight Connector 408">
          <a:extLst>
            <a:ext uri="{FF2B5EF4-FFF2-40B4-BE49-F238E27FC236}">
              <a16:creationId xmlns:a16="http://schemas.microsoft.com/office/drawing/2014/main" id="{5F59A48F-F071-4C09-8844-68EBAB90CE32}"/>
            </a:ext>
          </a:extLst>
        </xdr:cNvPr>
        <xdr:cNvCxnSpPr/>
      </xdr:nvCxnSpPr>
      <xdr:spPr>
        <a:xfrm>
          <a:off x="2678393" y="5833613"/>
          <a:ext cx="486103"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55843</xdr:colOff>
      <xdr:row>33</xdr:row>
      <xdr:rowOff>167269</xdr:rowOff>
    </xdr:from>
    <xdr:to>
      <xdr:col>4</xdr:col>
      <xdr:colOff>541946</xdr:colOff>
      <xdr:row>33</xdr:row>
      <xdr:rowOff>167269</xdr:rowOff>
    </xdr:to>
    <xdr:cxnSp macro="">
      <xdr:nvCxnSpPr>
        <xdr:cNvPr id="410" name="Straight Connector 409">
          <a:extLst>
            <a:ext uri="{FF2B5EF4-FFF2-40B4-BE49-F238E27FC236}">
              <a16:creationId xmlns:a16="http://schemas.microsoft.com/office/drawing/2014/main" id="{BD4C633A-D5BA-4299-922D-D76071C7B51D}"/>
            </a:ext>
          </a:extLst>
        </xdr:cNvPr>
        <xdr:cNvCxnSpPr/>
      </xdr:nvCxnSpPr>
      <xdr:spPr>
        <a:xfrm>
          <a:off x="2678393" y="6015619"/>
          <a:ext cx="486103"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55843</xdr:colOff>
      <xdr:row>26</xdr:row>
      <xdr:rowOff>139492</xdr:rowOff>
    </xdr:from>
    <xdr:to>
      <xdr:col>4</xdr:col>
      <xdr:colOff>541946</xdr:colOff>
      <xdr:row>26</xdr:row>
      <xdr:rowOff>139492</xdr:rowOff>
    </xdr:to>
    <xdr:cxnSp macro="">
      <xdr:nvCxnSpPr>
        <xdr:cNvPr id="411" name="Straight Connector 410">
          <a:extLst>
            <a:ext uri="{FF2B5EF4-FFF2-40B4-BE49-F238E27FC236}">
              <a16:creationId xmlns:a16="http://schemas.microsoft.com/office/drawing/2014/main" id="{D3CFB68E-A89A-4FC9-A8D9-4A8C2F82B54A}"/>
            </a:ext>
          </a:extLst>
        </xdr:cNvPr>
        <xdr:cNvCxnSpPr/>
      </xdr:nvCxnSpPr>
      <xdr:spPr>
        <a:xfrm>
          <a:off x="2678393" y="4686092"/>
          <a:ext cx="486103"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55843</xdr:colOff>
      <xdr:row>32</xdr:row>
      <xdr:rowOff>169413</xdr:rowOff>
    </xdr:from>
    <xdr:to>
      <xdr:col>4</xdr:col>
      <xdr:colOff>541946</xdr:colOff>
      <xdr:row>32</xdr:row>
      <xdr:rowOff>169413</xdr:rowOff>
    </xdr:to>
    <xdr:cxnSp macro="">
      <xdr:nvCxnSpPr>
        <xdr:cNvPr id="412" name="Straight Connector 411">
          <a:extLst>
            <a:ext uri="{FF2B5EF4-FFF2-40B4-BE49-F238E27FC236}">
              <a16:creationId xmlns:a16="http://schemas.microsoft.com/office/drawing/2014/main" id="{1D4D9D5A-6BC0-4D6C-936D-0CD0363C6DFC}"/>
            </a:ext>
          </a:extLst>
        </xdr:cNvPr>
        <xdr:cNvCxnSpPr/>
      </xdr:nvCxnSpPr>
      <xdr:spPr>
        <a:xfrm>
          <a:off x="2678393" y="5833613"/>
          <a:ext cx="486103"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55843</xdr:colOff>
      <xdr:row>33</xdr:row>
      <xdr:rowOff>167269</xdr:rowOff>
    </xdr:from>
    <xdr:to>
      <xdr:col>4</xdr:col>
      <xdr:colOff>541946</xdr:colOff>
      <xdr:row>33</xdr:row>
      <xdr:rowOff>167269</xdr:rowOff>
    </xdr:to>
    <xdr:cxnSp macro="">
      <xdr:nvCxnSpPr>
        <xdr:cNvPr id="413" name="Straight Connector 412">
          <a:extLst>
            <a:ext uri="{FF2B5EF4-FFF2-40B4-BE49-F238E27FC236}">
              <a16:creationId xmlns:a16="http://schemas.microsoft.com/office/drawing/2014/main" id="{7854284B-5E11-4C13-B127-7C7B6B3AFC46}"/>
            </a:ext>
          </a:extLst>
        </xdr:cNvPr>
        <xdr:cNvCxnSpPr/>
      </xdr:nvCxnSpPr>
      <xdr:spPr>
        <a:xfrm>
          <a:off x="2678393" y="6015619"/>
          <a:ext cx="486103"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55843</xdr:colOff>
      <xdr:row>26</xdr:row>
      <xdr:rowOff>139492</xdr:rowOff>
    </xdr:from>
    <xdr:to>
      <xdr:col>4</xdr:col>
      <xdr:colOff>541946</xdr:colOff>
      <xdr:row>26</xdr:row>
      <xdr:rowOff>139492</xdr:rowOff>
    </xdr:to>
    <xdr:cxnSp macro="">
      <xdr:nvCxnSpPr>
        <xdr:cNvPr id="414" name="Straight Connector 413">
          <a:extLst>
            <a:ext uri="{FF2B5EF4-FFF2-40B4-BE49-F238E27FC236}">
              <a16:creationId xmlns:a16="http://schemas.microsoft.com/office/drawing/2014/main" id="{FDF2945F-F7AA-49F5-B361-4A58A751145F}"/>
            </a:ext>
          </a:extLst>
        </xdr:cNvPr>
        <xdr:cNvCxnSpPr/>
      </xdr:nvCxnSpPr>
      <xdr:spPr>
        <a:xfrm>
          <a:off x="2678393" y="4686092"/>
          <a:ext cx="486103"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55843</xdr:colOff>
      <xdr:row>32</xdr:row>
      <xdr:rowOff>169413</xdr:rowOff>
    </xdr:from>
    <xdr:to>
      <xdr:col>4</xdr:col>
      <xdr:colOff>541946</xdr:colOff>
      <xdr:row>32</xdr:row>
      <xdr:rowOff>169413</xdr:rowOff>
    </xdr:to>
    <xdr:cxnSp macro="">
      <xdr:nvCxnSpPr>
        <xdr:cNvPr id="415" name="Straight Connector 414">
          <a:extLst>
            <a:ext uri="{FF2B5EF4-FFF2-40B4-BE49-F238E27FC236}">
              <a16:creationId xmlns:a16="http://schemas.microsoft.com/office/drawing/2014/main" id="{8F52FC5C-4065-43FA-8B2C-24AE86D91CF7}"/>
            </a:ext>
          </a:extLst>
        </xdr:cNvPr>
        <xdr:cNvCxnSpPr/>
      </xdr:nvCxnSpPr>
      <xdr:spPr>
        <a:xfrm>
          <a:off x="2678393" y="5833613"/>
          <a:ext cx="486103"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55843</xdr:colOff>
      <xdr:row>33</xdr:row>
      <xdr:rowOff>167269</xdr:rowOff>
    </xdr:from>
    <xdr:to>
      <xdr:col>4</xdr:col>
      <xdr:colOff>541946</xdr:colOff>
      <xdr:row>33</xdr:row>
      <xdr:rowOff>167269</xdr:rowOff>
    </xdr:to>
    <xdr:cxnSp macro="">
      <xdr:nvCxnSpPr>
        <xdr:cNvPr id="416" name="Straight Connector 415">
          <a:extLst>
            <a:ext uri="{FF2B5EF4-FFF2-40B4-BE49-F238E27FC236}">
              <a16:creationId xmlns:a16="http://schemas.microsoft.com/office/drawing/2014/main" id="{FB92B466-B820-4125-B457-E61F92685928}"/>
            </a:ext>
          </a:extLst>
        </xdr:cNvPr>
        <xdr:cNvCxnSpPr/>
      </xdr:nvCxnSpPr>
      <xdr:spPr>
        <a:xfrm>
          <a:off x="2678393" y="6015619"/>
          <a:ext cx="486103"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55843</xdr:colOff>
      <xdr:row>26</xdr:row>
      <xdr:rowOff>139492</xdr:rowOff>
    </xdr:from>
    <xdr:to>
      <xdr:col>4</xdr:col>
      <xdr:colOff>541946</xdr:colOff>
      <xdr:row>26</xdr:row>
      <xdr:rowOff>139492</xdr:rowOff>
    </xdr:to>
    <xdr:cxnSp macro="">
      <xdr:nvCxnSpPr>
        <xdr:cNvPr id="417" name="Straight Connector 416">
          <a:extLst>
            <a:ext uri="{FF2B5EF4-FFF2-40B4-BE49-F238E27FC236}">
              <a16:creationId xmlns:a16="http://schemas.microsoft.com/office/drawing/2014/main" id="{8A0CA683-E4A5-4E63-9B53-993A976F855D}"/>
            </a:ext>
          </a:extLst>
        </xdr:cNvPr>
        <xdr:cNvCxnSpPr/>
      </xdr:nvCxnSpPr>
      <xdr:spPr>
        <a:xfrm>
          <a:off x="2678393" y="4686092"/>
          <a:ext cx="486103"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55843</xdr:colOff>
      <xdr:row>32</xdr:row>
      <xdr:rowOff>169413</xdr:rowOff>
    </xdr:from>
    <xdr:to>
      <xdr:col>4</xdr:col>
      <xdr:colOff>541946</xdr:colOff>
      <xdr:row>32</xdr:row>
      <xdr:rowOff>169413</xdr:rowOff>
    </xdr:to>
    <xdr:cxnSp macro="">
      <xdr:nvCxnSpPr>
        <xdr:cNvPr id="418" name="Straight Connector 417">
          <a:extLst>
            <a:ext uri="{FF2B5EF4-FFF2-40B4-BE49-F238E27FC236}">
              <a16:creationId xmlns:a16="http://schemas.microsoft.com/office/drawing/2014/main" id="{94958EC7-7522-4DA2-8474-897BD52398DB}"/>
            </a:ext>
          </a:extLst>
        </xdr:cNvPr>
        <xdr:cNvCxnSpPr/>
      </xdr:nvCxnSpPr>
      <xdr:spPr>
        <a:xfrm>
          <a:off x="2678393" y="5833613"/>
          <a:ext cx="486103"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55843</xdr:colOff>
      <xdr:row>33</xdr:row>
      <xdr:rowOff>167269</xdr:rowOff>
    </xdr:from>
    <xdr:to>
      <xdr:col>4</xdr:col>
      <xdr:colOff>541946</xdr:colOff>
      <xdr:row>33</xdr:row>
      <xdr:rowOff>167269</xdr:rowOff>
    </xdr:to>
    <xdr:cxnSp macro="">
      <xdr:nvCxnSpPr>
        <xdr:cNvPr id="419" name="Straight Connector 418">
          <a:extLst>
            <a:ext uri="{FF2B5EF4-FFF2-40B4-BE49-F238E27FC236}">
              <a16:creationId xmlns:a16="http://schemas.microsoft.com/office/drawing/2014/main" id="{A752DEDC-F535-411F-ACFE-A4CE1BFA7687}"/>
            </a:ext>
          </a:extLst>
        </xdr:cNvPr>
        <xdr:cNvCxnSpPr/>
      </xdr:nvCxnSpPr>
      <xdr:spPr>
        <a:xfrm>
          <a:off x="2678393" y="6015619"/>
          <a:ext cx="486103"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55843</xdr:colOff>
      <xdr:row>26</xdr:row>
      <xdr:rowOff>139492</xdr:rowOff>
    </xdr:from>
    <xdr:to>
      <xdr:col>4</xdr:col>
      <xdr:colOff>541946</xdr:colOff>
      <xdr:row>26</xdr:row>
      <xdr:rowOff>139492</xdr:rowOff>
    </xdr:to>
    <xdr:cxnSp macro="">
      <xdr:nvCxnSpPr>
        <xdr:cNvPr id="420" name="Straight Connector 419">
          <a:extLst>
            <a:ext uri="{FF2B5EF4-FFF2-40B4-BE49-F238E27FC236}">
              <a16:creationId xmlns:a16="http://schemas.microsoft.com/office/drawing/2014/main" id="{2E5FA0AB-7E8F-4F54-8B2C-82E74D759FCD}"/>
            </a:ext>
          </a:extLst>
        </xdr:cNvPr>
        <xdr:cNvCxnSpPr/>
      </xdr:nvCxnSpPr>
      <xdr:spPr>
        <a:xfrm>
          <a:off x="2678393" y="4686092"/>
          <a:ext cx="486103"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55843</xdr:colOff>
      <xdr:row>32</xdr:row>
      <xdr:rowOff>169413</xdr:rowOff>
    </xdr:from>
    <xdr:to>
      <xdr:col>4</xdr:col>
      <xdr:colOff>541946</xdr:colOff>
      <xdr:row>32</xdr:row>
      <xdr:rowOff>169413</xdr:rowOff>
    </xdr:to>
    <xdr:cxnSp macro="">
      <xdr:nvCxnSpPr>
        <xdr:cNvPr id="421" name="Straight Connector 420">
          <a:extLst>
            <a:ext uri="{FF2B5EF4-FFF2-40B4-BE49-F238E27FC236}">
              <a16:creationId xmlns:a16="http://schemas.microsoft.com/office/drawing/2014/main" id="{D42AE7DE-CD2C-4354-9729-BF79868C4D22}"/>
            </a:ext>
          </a:extLst>
        </xdr:cNvPr>
        <xdr:cNvCxnSpPr/>
      </xdr:nvCxnSpPr>
      <xdr:spPr>
        <a:xfrm>
          <a:off x="2678393" y="5833613"/>
          <a:ext cx="486103"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55843</xdr:colOff>
      <xdr:row>33</xdr:row>
      <xdr:rowOff>167269</xdr:rowOff>
    </xdr:from>
    <xdr:to>
      <xdr:col>4</xdr:col>
      <xdr:colOff>541946</xdr:colOff>
      <xdr:row>33</xdr:row>
      <xdr:rowOff>167269</xdr:rowOff>
    </xdr:to>
    <xdr:cxnSp macro="">
      <xdr:nvCxnSpPr>
        <xdr:cNvPr id="422" name="Straight Connector 421">
          <a:extLst>
            <a:ext uri="{FF2B5EF4-FFF2-40B4-BE49-F238E27FC236}">
              <a16:creationId xmlns:a16="http://schemas.microsoft.com/office/drawing/2014/main" id="{05C6192D-80A3-48BB-B244-9BF7311D73D3}"/>
            </a:ext>
          </a:extLst>
        </xdr:cNvPr>
        <xdr:cNvCxnSpPr/>
      </xdr:nvCxnSpPr>
      <xdr:spPr>
        <a:xfrm>
          <a:off x="2678393" y="6015619"/>
          <a:ext cx="486103"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55843</xdr:colOff>
      <xdr:row>26</xdr:row>
      <xdr:rowOff>139492</xdr:rowOff>
    </xdr:from>
    <xdr:to>
      <xdr:col>4</xdr:col>
      <xdr:colOff>541946</xdr:colOff>
      <xdr:row>26</xdr:row>
      <xdr:rowOff>139492</xdr:rowOff>
    </xdr:to>
    <xdr:cxnSp macro="">
      <xdr:nvCxnSpPr>
        <xdr:cNvPr id="423" name="Straight Connector 422">
          <a:extLst>
            <a:ext uri="{FF2B5EF4-FFF2-40B4-BE49-F238E27FC236}">
              <a16:creationId xmlns:a16="http://schemas.microsoft.com/office/drawing/2014/main" id="{A22B136A-568F-45E1-9936-64A0A2870468}"/>
            </a:ext>
          </a:extLst>
        </xdr:cNvPr>
        <xdr:cNvCxnSpPr/>
      </xdr:nvCxnSpPr>
      <xdr:spPr>
        <a:xfrm>
          <a:off x="2678393" y="4686092"/>
          <a:ext cx="486103"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55843</xdr:colOff>
      <xdr:row>32</xdr:row>
      <xdr:rowOff>169413</xdr:rowOff>
    </xdr:from>
    <xdr:to>
      <xdr:col>4</xdr:col>
      <xdr:colOff>541946</xdr:colOff>
      <xdr:row>32</xdr:row>
      <xdr:rowOff>169413</xdr:rowOff>
    </xdr:to>
    <xdr:cxnSp macro="">
      <xdr:nvCxnSpPr>
        <xdr:cNvPr id="424" name="Straight Connector 423">
          <a:extLst>
            <a:ext uri="{FF2B5EF4-FFF2-40B4-BE49-F238E27FC236}">
              <a16:creationId xmlns:a16="http://schemas.microsoft.com/office/drawing/2014/main" id="{EBDBF5CC-522C-4B3C-A81A-15829269CEB2}"/>
            </a:ext>
          </a:extLst>
        </xdr:cNvPr>
        <xdr:cNvCxnSpPr/>
      </xdr:nvCxnSpPr>
      <xdr:spPr>
        <a:xfrm>
          <a:off x="2678393" y="5833613"/>
          <a:ext cx="486103"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55843</xdr:colOff>
      <xdr:row>33</xdr:row>
      <xdr:rowOff>167269</xdr:rowOff>
    </xdr:from>
    <xdr:to>
      <xdr:col>4</xdr:col>
      <xdr:colOff>541946</xdr:colOff>
      <xdr:row>33</xdr:row>
      <xdr:rowOff>167269</xdr:rowOff>
    </xdr:to>
    <xdr:cxnSp macro="">
      <xdr:nvCxnSpPr>
        <xdr:cNvPr id="425" name="Straight Connector 424">
          <a:extLst>
            <a:ext uri="{FF2B5EF4-FFF2-40B4-BE49-F238E27FC236}">
              <a16:creationId xmlns:a16="http://schemas.microsoft.com/office/drawing/2014/main" id="{26F05791-018B-467D-9D3B-C61D58CFF4D1}"/>
            </a:ext>
          </a:extLst>
        </xdr:cNvPr>
        <xdr:cNvCxnSpPr/>
      </xdr:nvCxnSpPr>
      <xdr:spPr>
        <a:xfrm>
          <a:off x="2678393" y="6015619"/>
          <a:ext cx="486103"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55843</xdr:colOff>
      <xdr:row>26</xdr:row>
      <xdr:rowOff>139492</xdr:rowOff>
    </xdr:from>
    <xdr:to>
      <xdr:col>4</xdr:col>
      <xdr:colOff>541946</xdr:colOff>
      <xdr:row>26</xdr:row>
      <xdr:rowOff>139492</xdr:rowOff>
    </xdr:to>
    <xdr:cxnSp macro="">
      <xdr:nvCxnSpPr>
        <xdr:cNvPr id="426" name="Straight Connector 425">
          <a:extLst>
            <a:ext uri="{FF2B5EF4-FFF2-40B4-BE49-F238E27FC236}">
              <a16:creationId xmlns:a16="http://schemas.microsoft.com/office/drawing/2014/main" id="{E2E699BA-F7F1-4EFB-A82F-9571205D4463}"/>
            </a:ext>
          </a:extLst>
        </xdr:cNvPr>
        <xdr:cNvCxnSpPr/>
      </xdr:nvCxnSpPr>
      <xdr:spPr>
        <a:xfrm>
          <a:off x="2678393" y="4686092"/>
          <a:ext cx="486103"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55843</xdr:colOff>
      <xdr:row>32</xdr:row>
      <xdr:rowOff>169413</xdr:rowOff>
    </xdr:from>
    <xdr:to>
      <xdr:col>4</xdr:col>
      <xdr:colOff>541946</xdr:colOff>
      <xdr:row>32</xdr:row>
      <xdr:rowOff>169413</xdr:rowOff>
    </xdr:to>
    <xdr:cxnSp macro="">
      <xdr:nvCxnSpPr>
        <xdr:cNvPr id="427" name="Straight Connector 426">
          <a:extLst>
            <a:ext uri="{FF2B5EF4-FFF2-40B4-BE49-F238E27FC236}">
              <a16:creationId xmlns:a16="http://schemas.microsoft.com/office/drawing/2014/main" id="{07924402-2DCE-4B5E-928B-AB091EFBD1F9}"/>
            </a:ext>
          </a:extLst>
        </xdr:cNvPr>
        <xdr:cNvCxnSpPr/>
      </xdr:nvCxnSpPr>
      <xdr:spPr>
        <a:xfrm>
          <a:off x="2678393" y="5833613"/>
          <a:ext cx="486103"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55843</xdr:colOff>
      <xdr:row>33</xdr:row>
      <xdr:rowOff>167269</xdr:rowOff>
    </xdr:from>
    <xdr:to>
      <xdr:col>4</xdr:col>
      <xdr:colOff>541946</xdr:colOff>
      <xdr:row>33</xdr:row>
      <xdr:rowOff>167269</xdr:rowOff>
    </xdr:to>
    <xdr:cxnSp macro="">
      <xdr:nvCxnSpPr>
        <xdr:cNvPr id="428" name="Straight Connector 427">
          <a:extLst>
            <a:ext uri="{FF2B5EF4-FFF2-40B4-BE49-F238E27FC236}">
              <a16:creationId xmlns:a16="http://schemas.microsoft.com/office/drawing/2014/main" id="{1BCEA9B0-94C5-49D8-B3B2-C6F34D747C0E}"/>
            </a:ext>
          </a:extLst>
        </xdr:cNvPr>
        <xdr:cNvCxnSpPr/>
      </xdr:nvCxnSpPr>
      <xdr:spPr>
        <a:xfrm>
          <a:off x="2678393" y="6015619"/>
          <a:ext cx="486103"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25099</xdr:colOff>
      <xdr:row>38</xdr:row>
      <xdr:rowOff>175830</xdr:rowOff>
    </xdr:from>
    <xdr:to>
      <xdr:col>2</xdr:col>
      <xdr:colOff>665179</xdr:colOff>
      <xdr:row>38</xdr:row>
      <xdr:rowOff>175830</xdr:rowOff>
    </xdr:to>
    <xdr:cxnSp macro="">
      <xdr:nvCxnSpPr>
        <xdr:cNvPr id="429" name="Straight Connector 428">
          <a:extLst>
            <a:ext uri="{FF2B5EF4-FFF2-40B4-BE49-F238E27FC236}">
              <a16:creationId xmlns:a16="http://schemas.microsoft.com/office/drawing/2014/main" id="{9853C677-6215-4CD3-A435-1ABEF8A6F792}"/>
            </a:ext>
          </a:extLst>
        </xdr:cNvPr>
        <xdr:cNvCxnSpPr/>
      </xdr:nvCxnSpPr>
      <xdr:spPr>
        <a:xfrm>
          <a:off x="1244299" y="6805230"/>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26112</xdr:colOff>
      <xdr:row>38</xdr:row>
      <xdr:rowOff>170983</xdr:rowOff>
    </xdr:from>
    <xdr:to>
      <xdr:col>3</xdr:col>
      <xdr:colOff>593040</xdr:colOff>
      <xdr:row>38</xdr:row>
      <xdr:rowOff>170983</xdr:rowOff>
    </xdr:to>
    <xdr:cxnSp macro="">
      <xdr:nvCxnSpPr>
        <xdr:cNvPr id="430" name="Straight Connector 429">
          <a:extLst>
            <a:ext uri="{FF2B5EF4-FFF2-40B4-BE49-F238E27FC236}">
              <a16:creationId xmlns:a16="http://schemas.microsoft.com/office/drawing/2014/main" id="{B5459886-0117-4B0A-93D3-F582B450A3C9}"/>
            </a:ext>
          </a:extLst>
        </xdr:cNvPr>
        <xdr:cNvCxnSpPr/>
      </xdr:nvCxnSpPr>
      <xdr:spPr>
        <a:xfrm>
          <a:off x="1975562" y="6800383"/>
          <a:ext cx="566928"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22202</xdr:colOff>
      <xdr:row>38</xdr:row>
      <xdr:rowOff>170983</xdr:rowOff>
    </xdr:from>
    <xdr:to>
      <xdr:col>4</xdr:col>
      <xdr:colOff>589130</xdr:colOff>
      <xdr:row>38</xdr:row>
      <xdr:rowOff>170983</xdr:rowOff>
    </xdr:to>
    <xdr:cxnSp macro="">
      <xdr:nvCxnSpPr>
        <xdr:cNvPr id="431" name="Straight Connector 430">
          <a:extLst>
            <a:ext uri="{FF2B5EF4-FFF2-40B4-BE49-F238E27FC236}">
              <a16:creationId xmlns:a16="http://schemas.microsoft.com/office/drawing/2014/main" id="{A63F2E59-01F8-4C1B-8809-FB322BC171FB}"/>
            </a:ext>
          </a:extLst>
        </xdr:cNvPr>
        <xdr:cNvCxnSpPr/>
      </xdr:nvCxnSpPr>
      <xdr:spPr>
        <a:xfrm>
          <a:off x="2644752" y="6800383"/>
          <a:ext cx="516128"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25099</xdr:colOff>
      <xdr:row>38</xdr:row>
      <xdr:rowOff>175830</xdr:rowOff>
    </xdr:from>
    <xdr:to>
      <xdr:col>2</xdr:col>
      <xdr:colOff>665179</xdr:colOff>
      <xdr:row>38</xdr:row>
      <xdr:rowOff>175830</xdr:rowOff>
    </xdr:to>
    <xdr:cxnSp macro="">
      <xdr:nvCxnSpPr>
        <xdr:cNvPr id="432" name="Straight Connector 431">
          <a:extLst>
            <a:ext uri="{FF2B5EF4-FFF2-40B4-BE49-F238E27FC236}">
              <a16:creationId xmlns:a16="http://schemas.microsoft.com/office/drawing/2014/main" id="{D75D8F56-EFA1-4E31-9B4F-8275352B8325}"/>
            </a:ext>
          </a:extLst>
        </xdr:cNvPr>
        <xdr:cNvCxnSpPr/>
      </xdr:nvCxnSpPr>
      <xdr:spPr>
        <a:xfrm>
          <a:off x="1244299" y="6805230"/>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26112</xdr:colOff>
      <xdr:row>38</xdr:row>
      <xdr:rowOff>170983</xdr:rowOff>
    </xdr:from>
    <xdr:to>
      <xdr:col>3</xdr:col>
      <xdr:colOff>848540</xdr:colOff>
      <xdr:row>38</xdr:row>
      <xdr:rowOff>170983</xdr:rowOff>
    </xdr:to>
    <xdr:cxnSp macro="">
      <xdr:nvCxnSpPr>
        <xdr:cNvPr id="433" name="Straight Connector 432">
          <a:extLst>
            <a:ext uri="{FF2B5EF4-FFF2-40B4-BE49-F238E27FC236}">
              <a16:creationId xmlns:a16="http://schemas.microsoft.com/office/drawing/2014/main" id="{3FC0E89C-3D8E-4227-B8A4-E930487F851D}"/>
            </a:ext>
          </a:extLst>
        </xdr:cNvPr>
        <xdr:cNvCxnSpPr/>
      </xdr:nvCxnSpPr>
      <xdr:spPr>
        <a:xfrm>
          <a:off x="1975562" y="6800383"/>
          <a:ext cx="644628"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22202</xdr:colOff>
      <xdr:row>38</xdr:row>
      <xdr:rowOff>170983</xdr:rowOff>
    </xdr:from>
    <xdr:to>
      <xdr:col>4</xdr:col>
      <xdr:colOff>589130</xdr:colOff>
      <xdr:row>38</xdr:row>
      <xdr:rowOff>170983</xdr:rowOff>
    </xdr:to>
    <xdr:cxnSp macro="">
      <xdr:nvCxnSpPr>
        <xdr:cNvPr id="434" name="Straight Connector 433">
          <a:extLst>
            <a:ext uri="{FF2B5EF4-FFF2-40B4-BE49-F238E27FC236}">
              <a16:creationId xmlns:a16="http://schemas.microsoft.com/office/drawing/2014/main" id="{E34F51BF-5A92-48C1-8B1B-B10F7F9A28BF}"/>
            </a:ext>
          </a:extLst>
        </xdr:cNvPr>
        <xdr:cNvCxnSpPr/>
      </xdr:nvCxnSpPr>
      <xdr:spPr>
        <a:xfrm>
          <a:off x="2644752" y="6800383"/>
          <a:ext cx="516128"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81981</xdr:colOff>
      <xdr:row>11</xdr:row>
      <xdr:rowOff>169534</xdr:rowOff>
    </xdr:from>
    <xdr:to>
      <xdr:col>10</xdr:col>
      <xdr:colOff>585928</xdr:colOff>
      <xdr:row>11</xdr:row>
      <xdr:rowOff>170691</xdr:rowOff>
    </xdr:to>
    <xdr:cxnSp macro="">
      <xdr:nvCxnSpPr>
        <xdr:cNvPr id="435" name="Straight Connector 434">
          <a:extLst>
            <a:ext uri="{FF2B5EF4-FFF2-40B4-BE49-F238E27FC236}">
              <a16:creationId xmlns:a16="http://schemas.microsoft.com/office/drawing/2014/main" id="{0B54D4EA-779F-4C02-8B41-56734FA3065F}"/>
            </a:ext>
          </a:extLst>
        </xdr:cNvPr>
        <xdr:cNvCxnSpPr/>
      </xdr:nvCxnSpPr>
      <xdr:spPr>
        <a:xfrm flipV="1">
          <a:off x="5682681" y="2080884"/>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84473</xdr:colOff>
      <xdr:row>11</xdr:row>
      <xdr:rowOff>169534</xdr:rowOff>
    </xdr:from>
    <xdr:to>
      <xdr:col>12</xdr:col>
      <xdr:colOff>588420</xdr:colOff>
      <xdr:row>11</xdr:row>
      <xdr:rowOff>170691</xdr:rowOff>
    </xdr:to>
    <xdr:cxnSp macro="">
      <xdr:nvCxnSpPr>
        <xdr:cNvPr id="436" name="Straight Connector 435">
          <a:extLst>
            <a:ext uri="{FF2B5EF4-FFF2-40B4-BE49-F238E27FC236}">
              <a16:creationId xmlns:a16="http://schemas.microsoft.com/office/drawing/2014/main" id="{680F8D90-CEE3-4692-8F06-4C1A92AF8A4D}"/>
            </a:ext>
          </a:extLst>
        </xdr:cNvPr>
        <xdr:cNvCxnSpPr/>
      </xdr:nvCxnSpPr>
      <xdr:spPr>
        <a:xfrm flipV="1">
          <a:off x="6904373" y="2080884"/>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82797</xdr:colOff>
      <xdr:row>11</xdr:row>
      <xdr:rowOff>169534</xdr:rowOff>
    </xdr:from>
    <xdr:to>
      <xdr:col>14</xdr:col>
      <xdr:colOff>586744</xdr:colOff>
      <xdr:row>11</xdr:row>
      <xdr:rowOff>170691</xdr:rowOff>
    </xdr:to>
    <xdr:cxnSp macro="">
      <xdr:nvCxnSpPr>
        <xdr:cNvPr id="437" name="Straight Connector 436">
          <a:extLst>
            <a:ext uri="{FF2B5EF4-FFF2-40B4-BE49-F238E27FC236}">
              <a16:creationId xmlns:a16="http://schemas.microsoft.com/office/drawing/2014/main" id="{C752092C-1CDA-49D5-B072-F381723175AF}"/>
            </a:ext>
          </a:extLst>
        </xdr:cNvPr>
        <xdr:cNvCxnSpPr/>
      </xdr:nvCxnSpPr>
      <xdr:spPr>
        <a:xfrm flipV="1">
          <a:off x="8121897" y="2080884"/>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77421</xdr:colOff>
      <xdr:row>11</xdr:row>
      <xdr:rowOff>169534</xdr:rowOff>
    </xdr:from>
    <xdr:to>
      <xdr:col>16</xdr:col>
      <xdr:colOff>581369</xdr:colOff>
      <xdr:row>11</xdr:row>
      <xdr:rowOff>170691</xdr:rowOff>
    </xdr:to>
    <xdr:cxnSp macro="">
      <xdr:nvCxnSpPr>
        <xdr:cNvPr id="438" name="Straight Connector 437">
          <a:extLst>
            <a:ext uri="{FF2B5EF4-FFF2-40B4-BE49-F238E27FC236}">
              <a16:creationId xmlns:a16="http://schemas.microsoft.com/office/drawing/2014/main" id="{27A0F44A-A1E0-49B2-A677-2B615D863ACB}"/>
            </a:ext>
          </a:extLst>
        </xdr:cNvPr>
        <xdr:cNvCxnSpPr/>
      </xdr:nvCxnSpPr>
      <xdr:spPr>
        <a:xfrm flipV="1">
          <a:off x="9335721" y="208088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81638</xdr:colOff>
      <xdr:row>11</xdr:row>
      <xdr:rowOff>169534</xdr:rowOff>
    </xdr:from>
    <xdr:to>
      <xdr:col>18</xdr:col>
      <xdr:colOff>585586</xdr:colOff>
      <xdr:row>11</xdr:row>
      <xdr:rowOff>170691</xdr:rowOff>
    </xdr:to>
    <xdr:cxnSp macro="">
      <xdr:nvCxnSpPr>
        <xdr:cNvPr id="439" name="Straight Connector 438">
          <a:extLst>
            <a:ext uri="{FF2B5EF4-FFF2-40B4-BE49-F238E27FC236}">
              <a16:creationId xmlns:a16="http://schemas.microsoft.com/office/drawing/2014/main" id="{BB47E78D-2679-42B3-9162-E35DE3ABF3B9}"/>
            </a:ext>
          </a:extLst>
        </xdr:cNvPr>
        <xdr:cNvCxnSpPr/>
      </xdr:nvCxnSpPr>
      <xdr:spPr>
        <a:xfrm flipV="1">
          <a:off x="10559138" y="208088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81505</xdr:colOff>
      <xdr:row>11</xdr:row>
      <xdr:rowOff>169534</xdr:rowOff>
    </xdr:from>
    <xdr:to>
      <xdr:col>20</xdr:col>
      <xdr:colOff>585453</xdr:colOff>
      <xdr:row>11</xdr:row>
      <xdr:rowOff>170691</xdr:rowOff>
    </xdr:to>
    <xdr:cxnSp macro="">
      <xdr:nvCxnSpPr>
        <xdr:cNvPr id="440" name="Straight Connector 439">
          <a:extLst>
            <a:ext uri="{FF2B5EF4-FFF2-40B4-BE49-F238E27FC236}">
              <a16:creationId xmlns:a16="http://schemas.microsoft.com/office/drawing/2014/main" id="{079C042A-A488-4718-A5D6-39E7F01C380C}"/>
            </a:ext>
          </a:extLst>
        </xdr:cNvPr>
        <xdr:cNvCxnSpPr/>
      </xdr:nvCxnSpPr>
      <xdr:spPr>
        <a:xfrm flipV="1">
          <a:off x="11778205" y="208088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81981</xdr:colOff>
      <xdr:row>13</xdr:row>
      <xdr:rowOff>154837</xdr:rowOff>
    </xdr:from>
    <xdr:to>
      <xdr:col>10</xdr:col>
      <xdr:colOff>585928</xdr:colOff>
      <xdr:row>13</xdr:row>
      <xdr:rowOff>155994</xdr:rowOff>
    </xdr:to>
    <xdr:cxnSp macro="">
      <xdr:nvCxnSpPr>
        <xdr:cNvPr id="441" name="Straight Connector 440">
          <a:extLst>
            <a:ext uri="{FF2B5EF4-FFF2-40B4-BE49-F238E27FC236}">
              <a16:creationId xmlns:a16="http://schemas.microsoft.com/office/drawing/2014/main" id="{7482741D-88EA-4A4C-9822-9D8386DBA176}"/>
            </a:ext>
          </a:extLst>
        </xdr:cNvPr>
        <xdr:cNvCxnSpPr/>
      </xdr:nvCxnSpPr>
      <xdr:spPr>
        <a:xfrm flipV="1">
          <a:off x="5682681" y="244083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84473</xdr:colOff>
      <xdr:row>13</xdr:row>
      <xdr:rowOff>154837</xdr:rowOff>
    </xdr:from>
    <xdr:to>
      <xdr:col>12</xdr:col>
      <xdr:colOff>588420</xdr:colOff>
      <xdr:row>13</xdr:row>
      <xdr:rowOff>155994</xdr:rowOff>
    </xdr:to>
    <xdr:cxnSp macro="">
      <xdr:nvCxnSpPr>
        <xdr:cNvPr id="442" name="Straight Connector 441">
          <a:extLst>
            <a:ext uri="{FF2B5EF4-FFF2-40B4-BE49-F238E27FC236}">
              <a16:creationId xmlns:a16="http://schemas.microsoft.com/office/drawing/2014/main" id="{259FBF58-169E-4265-8E02-4F9FB20594CA}"/>
            </a:ext>
          </a:extLst>
        </xdr:cNvPr>
        <xdr:cNvCxnSpPr/>
      </xdr:nvCxnSpPr>
      <xdr:spPr>
        <a:xfrm flipV="1">
          <a:off x="6904373" y="244083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82797</xdr:colOff>
      <xdr:row>13</xdr:row>
      <xdr:rowOff>154837</xdr:rowOff>
    </xdr:from>
    <xdr:to>
      <xdr:col>14</xdr:col>
      <xdr:colOff>586744</xdr:colOff>
      <xdr:row>13</xdr:row>
      <xdr:rowOff>155994</xdr:rowOff>
    </xdr:to>
    <xdr:cxnSp macro="">
      <xdr:nvCxnSpPr>
        <xdr:cNvPr id="443" name="Straight Connector 442">
          <a:extLst>
            <a:ext uri="{FF2B5EF4-FFF2-40B4-BE49-F238E27FC236}">
              <a16:creationId xmlns:a16="http://schemas.microsoft.com/office/drawing/2014/main" id="{703147A5-B3D2-4CBC-90C9-49367FE0744A}"/>
            </a:ext>
          </a:extLst>
        </xdr:cNvPr>
        <xdr:cNvCxnSpPr/>
      </xdr:nvCxnSpPr>
      <xdr:spPr>
        <a:xfrm flipV="1">
          <a:off x="8121897" y="244083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92541</xdr:colOff>
      <xdr:row>13</xdr:row>
      <xdr:rowOff>154837</xdr:rowOff>
    </xdr:from>
    <xdr:to>
      <xdr:col>16</xdr:col>
      <xdr:colOff>596489</xdr:colOff>
      <xdr:row>13</xdr:row>
      <xdr:rowOff>155994</xdr:rowOff>
    </xdr:to>
    <xdr:cxnSp macro="">
      <xdr:nvCxnSpPr>
        <xdr:cNvPr id="444" name="Straight Connector 443">
          <a:extLst>
            <a:ext uri="{FF2B5EF4-FFF2-40B4-BE49-F238E27FC236}">
              <a16:creationId xmlns:a16="http://schemas.microsoft.com/office/drawing/2014/main" id="{746FDF0D-0382-4D1E-807E-53CEF635FAA8}"/>
            </a:ext>
          </a:extLst>
        </xdr:cNvPr>
        <xdr:cNvCxnSpPr/>
      </xdr:nvCxnSpPr>
      <xdr:spPr>
        <a:xfrm flipV="1">
          <a:off x="9350841" y="2440837"/>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81638</xdr:colOff>
      <xdr:row>13</xdr:row>
      <xdr:rowOff>154837</xdr:rowOff>
    </xdr:from>
    <xdr:to>
      <xdr:col>18</xdr:col>
      <xdr:colOff>585586</xdr:colOff>
      <xdr:row>13</xdr:row>
      <xdr:rowOff>155994</xdr:rowOff>
    </xdr:to>
    <xdr:cxnSp macro="">
      <xdr:nvCxnSpPr>
        <xdr:cNvPr id="445" name="Straight Connector 444">
          <a:extLst>
            <a:ext uri="{FF2B5EF4-FFF2-40B4-BE49-F238E27FC236}">
              <a16:creationId xmlns:a16="http://schemas.microsoft.com/office/drawing/2014/main" id="{DAFAD358-4DA9-494D-9AD5-4C25844C27E9}"/>
            </a:ext>
          </a:extLst>
        </xdr:cNvPr>
        <xdr:cNvCxnSpPr/>
      </xdr:nvCxnSpPr>
      <xdr:spPr>
        <a:xfrm flipV="1">
          <a:off x="10559138" y="2440837"/>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81505</xdr:colOff>
      <xdr:row>13</xdr:row>
      <xdr:rowOff>154837</xdr:rowOff>
    </xdr:from>
    <xdr:to>
      <xdr:col>20</xdr:col>
      <xdr:colOff>585453</xdr:colOff>
      <xdr:row>13</xdr:row>
      <xdr:rowOff>155994</xdr:rowOff>
    </xdr:to>
    <xdr:cxnSp macro="">
      <xdr:nvCxnSpPr>
        <xdr:cNvPr id="446" name="Straight Connector 445">
          <a:extLst>
            <a:ext uri="{FF2B5EF4-FFF2-40B4-BE49-F238E27FC236}">
              <a16:creationId xmlns:a16="http://schemas.microsoft.com/office/drawing/2014/main" id="{C4118AFD-5A2E-4322-973D-265157683443}"/>
            </a:ext>
          </a:extLst>
        </xdr:cNvPr>
        <xdr:cNvCxnSpPr/>
      </xdr:nvCxnSpPr>
      <xdr:spPr>
        <a:xfrm flipV="1">
          <a:off x="11778205" y="2440837"/>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81981</xdr:colOff>
      <xdr:row>16</xdr:row>
      <xdr:rowOff>158334</xdr:rowOff>
    </xdr:from>
    <xdr:to>
      <xdr:col>10</xdr:col>
      <xdr:colOff>585928</xdr:colOff>
      <xdr:row>16</xdr:row>
      <xdr:rowOff>159491</xdr:rowOff>
    </xdr:to>
    <xdr:cxnSp macro="">
      <xdr:nvCxnSpPr>
        <xdr:cNvPr id="447" name="Straight Connector 446">
          <a:extLst>
            <a:ext uri="{FF2B5EF4-FFF2-40B4-BE49-F238E27FC236}">
              <a16:creationId xmlns:a16="http://schemas.microsoft.com/office/drawing/2014/main" id="{E55B76B2-C2D7-42C7-B080-3CA585DFA65B}"/>
            </a:ext>
          </a:extLst>
        </xdr:cNvPr>
        <xdr:cNvCxnSpPr/>
      </xdr:nvCxnSpPr>
      <xdr:spPr>
        <a:xfrm flipV="1">
          <a:off x="5682681" y="2996784"/>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84473</xdr:colOff>
      <xdr:row>16</xdr:row>
      <xdr:rowOff>158334</xdr:rowOff>
    </xdr:from>
    <xdr:to>
      <xdr:col>12</xdr:col>
      <xdr:colOff>588420</xdr:colOff>
      <xdr:row>16</xdr:row>
      <xdr:rowOff>159491</xdr:rowOff>
    </xdr:to>
    <xdr:cxnSp macro="">
      <xdr:nvCxnSpPr>
        <xdr:cNvPr id="448" name="Straight Connector 447">
          <a:extLst>
            <a:ext uri="{FF2B5EF4-FFF2-40B4-BE49-F238E27FC236}">
              <a16:creationId xmlns:a16="http://schemas.microsoft.com/office/drawing/2014/main" id="{54530CE4-9EA3-45F8-A36A-FDD80F33F9F5}"/>
            </a:ext>
          </a:extLst>
        </xdr:cNvPr>
        <xdr:cNvCxnSpPr/>
      </xdr:nvCxnSpPr>
      <xdr:spPr>
        <a:xfrm flipV="1">
          <a:off x="6904373" y="2996784"/>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82797</xdr:colOff>
      <xdr:row>16</xdr:row>
      <xdr:rowOff>158334</xdr:rowOff>
    </xdr:from>
    <xdr:to>
      <xdr:col>14</xdr:col>
      <xdr:colOff>586744</xdr:colOff>
      <xdr:row>16</xdr:row>
      <xdr:rowOff>159491</xdr:rowOff>
    </xdr:to>
    <xdr:cxnSp macro="">
      <xdr:nvCxnSpPr>
        <xdr:cNvPr id="449" name="Straight Connector 448">
          <a:extLst>
            <a:ext uri="{FF2B5EF4-FFF2-40B4-BE49-F238E27FC236}">
              <a16:creationId xmlns:a16="http://schemas.microsoft.com/office/drawing/2014/main" id="{7AD4FB6C-CCCB-4292-B98E-13D058791F6D}"/>
            </a:ext>
          </a:extLst>
        </xdr:cNvPr>
        <xdr:cNvCxnSpPr/>
      </xdr:nvCxnSpPr>
      <xdr:spPr>
        <a:xfrm flipV="1">
          <a:off x="8121897" y="2996784"/>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75886</xdr:colOff>
      <xdr:row>16</xdr:row>
      <xdr:rowOff>158334</xdr:rowOff>
    </xdr:from>
    <xdr:to>
      <xdr:col>16</xdr:col>
      <xdr:colOff>579834</xdr:colOff>
      <xdr:row>16</xdr:row>
      <xdr:rowOff>159491</xdr:rowOff>
    </xdr:to>
    <xdr:cxnSp macro="">
      <xdr:nvCxnSpPr>
        <xdr:cNvPr id="450" name="Straight Connector 449">
          <a:extLst>
            <a:ext uri="{FF2B5EF4-FFF2-40B4-BE49-F238E27FC236}">
              <a16:creationId xmlns:a16="http://schemas.microsoft.com/office/drawing/2014/main" id="{3E342F5B-C9A2-48F1-8815-57F1005F2B29}"/>
            </a:ext>
          </a:extLst>
        </xdr:cNvPr>
        <xdr:cNvCxnSpPr/>
      </xdr:nvCxnSpPr>
      <xdr:spPr>
        <a:xfrm flipV="1">
          <a:off x="9334186" y="299678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81638</xdr:colOff>
      <xdr:row>16</xdr:row>
      <xdr:rowOff>158334</xdr:rowOff>
    </xdr:from>
    <xdr:to>
      <xdr:col>18</xdr:col>
      <xdr:colOff>585586</xdr:colOff>
      <xdr:row>16</xdr:row>
      <xdr:rowOff>159491</xdr:rowOff>
    </xdr:to>
    <xdr:cxnSp macro="">
      <xdr:nvCxnSpPr>
        <xdr:cNvPr id="451" name="Straight Connector 450">
          <a:extLst>
            <a:ext uri="{FF2B5EF4-FFF2-40B4-BE49-F238E27FC236}">
              <a16:creationId xmlns:a16="http://schemas.microsoft.com/office/drawing/2014/main" id="{04D86B3A-CB01-4A73-876E-816243C8C6C5}"/>
            </a:ext>
          </a:extLst>
        </xdr:cNvPr>
        <xdr:cNvCxnSpPr/>
      </xdr:nvCxnSpPr>
      <xdr:spPr>
        <a:xfrm flipV="1">
          <a:off x="10559138" y="299678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81505</xdr:colOff>
      <xdr:row>16</xdr:row>
      <xdr:rowOff>158334</xdr:rowOff>
    </xdr:from>
    <xdr:to>
      <xdr:col>20</xdr:col>
      <xdr:colOff>585453</xdr:colOff>
      <xdr:row>16</xdr:row>
      <xdr:rowOff>159491</xdr:rowOff>
    </xdr:to>
    <xdr:cxnSp macro="">
      <xdr:nvCxnSpPr>
        <xdr:cNvPr id="452" name="Straight Connector 451">
          <a:extLst>
            <a:ext uri="{FF2B5EF4-FFF2-40B4-BE49-F238E27FC236}">
              <a16:creationId xmlns:a16="http://schemas.microsoft.com/office/drawing/2014/main" id="{4ACCD1C0-E63E-4ACE-A4DF-81ADF01246EA}"/>
            </a:ext>
          </a:extLst>
        </xdr:cNvPr>
        <xdr:cNvCxnSpPr/>
      </xdr:nvCxnSpPr>
      <xdr:spPr>
        <a:xfrm flipV="1">
          <a:off x="11778205" y="299678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81981</xdr:colOff>
      <xdr:row>18</xdr:row>
      <xdr:rowOff>166215</xdr:rowOff>
    </xdr:from>
    <xdr:to>
      <xdr:col>10</xdr:col>
      <xdr:colOff>585928</xdr:colOff>
      <xdr:row>18</xdr:row>
      <xdr:rowOff>167372</xdr:rowOff>
    </xdr:to>
    <xdr:cxnSp macro="">
      <xdr:nvCxnSpPr>
        <xdr:cNvPr id="453" name="Straight Connector 452">
          <a:extLst>
            <a:ext uri="{FF2B5EF4-FFF2-40B4-BE49-F238E27FC236}">
              <a16:creationId xmlns:a16="http://schemas.microsoft.com/office/drawing/2014/main" id="{FE9934D8-9644-4097-BEC9-B8502743E1A1}"/>
            </a:ext>
          </a:extLst>
        </xdr:cNvPr>
        <xdr:cNvCxnSpPr/>
      </xdr:nvCxnSpPr>
      <xdr:spPr>
        <a:xfrm flipV="1">
          <a:off x="5682681" y="337296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84473</xdr:colOff>
      <xdr:row>18</xdr:row>
      <xdr:rowOff>166215</xdr:rowOff>
    </xdr:from>
    <xdr:to>
      <xdr:col>12</xdr:col>
      <xdr:colOff>588420</xdr:colOff>
      <xdr:row>18</xdr:row>
      <xdr:rowOff>167372</xdr:rowOff>
    </xdr:to>
    <xdr:cxnSp macro="">
      <xdr:nvCxnSpPr>
        <xdr:cNvPr id="454" name="Straight Connector 453">
          <a:extLst>
            <a:ext uri="{FF2B5EF4-FFF2-40B4-BE49-F238E27FC236}">
              <a16:creationId xmlns:a16="http://schemas.microsoft.com/office/drawing/2014/main" id="{F20AD03A-A6DF-4560-8364-F45258514B73}"/>
            </a:ext>
          </a:extLst>
        </xdr:cNvPr>
        <xdr:cNvCxnSpPr/>
      </xdr:nvCxnSpPr>
      <xdr:spPr>
        <a:xfrm flipV="1">
          <a:off x="6904373" y="337296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82797</xdr:colOff>
      <xdr:row>18</xdr:row>
      <xdr:rowOff>166215</xdr:rowOff>
    </xdr:from>
    <xdr:to>
      <xdr:col>14</xdr:col>
      <xdr:colOff>586744</xdr:colOff>
      <xdr:row>18</xdr:row>
      <xdr:rowOff>167372</xdr:rowOff>
    </xdr:to>
    <xdr:cxnSp macro="">
      <xdr:nvCxnSpPr>
        <xdr:cNvPr id="455" name="Straight Connector 454">
          <a:extLst>
            <a:ext uri="{FF2B5EF4-FFF2-40B4-BE49-F238E27FC236}">
              <a16:creationId xmlns:a16="http://schemas.microsoft.com/office/drawing/2014/main" id="{479DEB9A-144F-451B-A8A1-48C54A321775}"/>
            </a:ext>
          </a:extLst>
        </xdr:cNvPr>
        <xdr:cNvCxnSpPr/>
      </xdr:nvCxnSpPr>
      <xdr:spPr>
        <a:xfrm flipV="1">
          <a:off x="8121897" y="337296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92941</xdr:colOff>
      <xdr:row>18</xdr:row>
      <xdr:rowOff>166215</xdr:rowOff>
    </xdr:from>
    <xdr:to>
      <xdr:col>16</xdr:col>
      <xdr:colOff>596889</xdr:colOff>
      <xdr:row>18</xdr:row>
      <xdr:rowOff>167372</xdr:rowOff>
    </xdr:to>
    <xdr:cxnSp macro="">
      <xdr:nvCxnSpPr>
        <xdr:cNvPr id="456" name="Straight Connector 455">
          <a:extLst>
            <a:ext uri="{FF2B5EF4-FFF2-40B4-BE49-F238E27FC236}">
              <a16:creationId xmlns:a16="http://schemas.microsoft.com/office/drawing/2014/main" id="{438855F7-722C-4C36-9A9B-5D28A23B9497}"/>
            </a:ext>
          </a:extLst>
        </xdr:cNvPr>
        <xdr:cNvCxnSpPr/>
      </xdr:nvCxnSpPr>
      <xdr:spPr>
        <a:xfrm flipV="1">
          <a:off x="9351241" y="3372965"/>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81638</xdr:colOff>
      <xdr:row>18</xdr:row>
      <xdr:rowOff>166215</xdr:rowOff>
    </xdr:from>
    <xdr:to>
      <xdr:col>18</xdr:col>
      <xdr:colOff>585586</xdr:colOff>
      <xdr:row>18</xdr:row>
      <xdr:rowOff>167372</xdr:rowOff>
    </xdr:to>
    <xdr:cxnSp macro="">
      <xdr:nvCxnSpPr>
        <xdr:cNvPr id="457" name="Straight Connector 456">
          <a:extLst>
            <a:ext uri="{FF2B5EF4-FFF2-40B4-BE49-F238E27FC236}">
              <a16:creationId xmlns:a16="http://schemas.microsoft.com/office/drawing/2014/main" id="{D21D3C5D-42A6-4E13-BF7F-2D539E00FC82}"/>
            </a:ext>
          </a:extLst>
        </xdr:cNvPr>
        <xdr:cNvCxnSpPr/>
      </xdr:nvCxnSpPr>
      <xdr:spPr>
        <a:xfrm flipV="1">
          <a:off x="10559138" y="3372965"/>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81505</xdr:colOff>
      <xdr:row>18</xdr:row>
      <xdr:rowOff>166215</xdr:rowOff>
    </xdr:from>
    <xdr:to>
      <xdr:col>20</xdr:col>
      <xdr:colOff>585453</xdr:colOff>
      <xdr:row>18</xdr:row>
      <xdr:rowOff>167372</xdr:rowOff>
    </xdr:to>
    <xdr:cxnSp macro="">
      <xdr:nvCxnSpPr>
        <xdr:cNvPr id="458" name="Straight Connector 457">
          <a:extLst>
            <a:ext uri="{FF2B5EF4-FFF2-40B4-BE49-F238E27FC236}">
              <a16:creationId xmlns:a16="http://schemas.microsoft.com/office/drawing/2014/main" id="{252388DE-0D32-4C0D-AF01-EEDB763C8128}"/>
            </a:ext>
          </a:extLst>
        </xdr:cNvPr>
        <xdr:cNvCxnSpPr/>
      </xdr:nvCxnSpPr>
      <xdr:spPr>
        <a:xfrm flipV="1">
          <a:off x="11778205" y="3372965"/>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96981</xdr:colOff>
      <xdr:row>23</xdr:row>
      <xdr:rowOff>152197</xdr:rowOff>
    </xdr:from>
    <xdr:to>
      <xdr:col>10</xdr:col>
      <xdr:colOff>600928</xdr:colOff>
      <xdr:row>23</xdr:row>
      <xdr:rowOff>153354</xdr:rowOff>
    </xdr:to>
    <xdr:cxnSp macro="">
      <xdr:nvCxnSpPr>
        <xdr:cNvPr id="459" name="Straight Connector 458">
          <a:extLst>
            <a:ext uri="{FF2B5EF4-FFF2-40B4-BE49-F238E27FC236}">
              <a16:creationId xmlns:a16="http://schemas.microsoft.com/office/drawing/2014/main" id="{3F90FC42-994F-490A-BB63-4018604A3D3F}"/>
            </a:ext>
          </a:extLst>
        </xdr:cNvPr>
        <xdr:cNvCxnSpPr/>
      </xdr:nvCxnSpPr>
      <xdr:spPr>
        <a:xfrm flipV="1">
          <a:off x="5697681" y="414634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99035</xdr:colOff>
      <xdr:row>23</xdr:row>
      <xdr:rowOff>152197</xdr:rowOff>
    </xdr:from>
    <xdr:to>
      <xdr:col>12</xdr:col>
      <xdr:colOff>603858</xdr:colOff>
      <xdr:row>23</xdr:row>
      <xdr:rowOff>153354</xdr:rowOff>
    </xdr:to>
    <xdr:cxnSp macro="">
      <xdr:nvCxnSpPr>
        <xdr:cNvPr id="460" name="Straight Connector 459">
          <a:extLst>
            <a:ext uri="{FF2B5EF4-FFF2-40B4-BE49-F238E27FC236}">
              <a16:creationId xmlns:a16="http://schemas.microsoft.com/office/drawing/2014/main" id="{55A38EEB-E230-432C-9110-7497456A26AB}"/>
            </a:ext>
          </a:extLst>
        </xdr:cNvPr>
        <xdr:cNvCxnSpPr/>
      </xdr:nvCxnSpPr>
      <xdr:spPr>
        <a:xfrm flipV="1">
          <a:off x="6918935" y="4146347"/>
          <a:ext cx="1114423"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97360</xdr:colOff>
      <xdr:row>23</xdr:row>
      <xdr:rowOff>152197</xdr:rowOff>
    </xdr:from>
    <xdr:to>
      <xdr:col>14</xdr:col>
      <xdr:colOff>602182</xdr:colOff>
      <xdr:row>23</xdr:row>
      <xdr:rowOff>153354</xdr:rowOff>
    </xdr:to>
    <xdr:cxnSp macro="">
      <xdr:nvCxnSpPr>
        <xdr:cNvPr id="461" name="Straight Connector 460">
          <a:extLst>
            <a:ext uri="{FF2B5EF4-FFF2-40B4-BE49-F238E27FC236}">
              <a16:creationId xmlns:a16="http://schemas.microsoft.com/office/drawing/2014/main" id="{674EBFEC-4B09-45BE-90E6-C40A20C40309}"/>
            </a:ext>
          </a:extLst>
        </xdr:cNvPr>
        <xdr:cNvCxnSpPr/>
      </xdr:nvCxnSpPr>
      <xdr:spPr>
        <a:xfrm flipV="1">
          <a:off x="8136460" y="4146347"/>
          <a:ext cx="1114422"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107963</xdr:colOff>
      <xdr:row>23</xdr:row>
      <xdr:rowOff>152197</xdr:rowOff>
    </xdr:from>
    <xdr:to>
      <xdr:col>17</xdr:col>
      <xdr:colOff>1866</xdr:colOff>
      <xdr:row>23</xdr:row>
      <xdr:rowOff>153354</xdr:rowOff>
    </xdr:to>
    <xdr:cxnSp macro="">
      <xdr:nvCxnSpPr>
        <xdr:cNvPr id="462" name="Straight Connector 461">
          <a:extLst>
            <a:ext uri="{FF2B5EF4-FFF2-40B4-BE49-F238E27FC236}">
              <a16:creationId xmlns:a16="http://schemas.microsoft.com/office/drawing/2014/main" id="{F809B3D5-6EBF-4826-BDF8-E3BDF5F43E61}"/>
            </a:ext>
          </a:extLst>
        </xdr:cNvPr>
        <xdr:cNvCxnSpPr/>
      </xdr:nvCxnSpPr>
      <xdr:spPr>
        <a:xfrm flipV="1">
          <a:off x="9366263" y="4146347"/>
          <a:ext cx="1113103"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96661</xdr:colOff>
      <xdr:row>23</xdr:row>
      <xdr:rowOff>152197</xdr:rowOff>
    </xdr:from>
    <xdr:to>
      <xdr:col>18</xdr:col>
      <xdr:colOff>600563</xdr:colOff>
      <xdr:row>23</xdr:row>
      <xdr:rowOff>153354</xdr:rowOff>
    </xdr:to>
    <xdr:cxnSp macro="">
      <xdr:nvCxnSpPr>
        <xdr:cNvPr id="463" name="Straight Connector 462">
          <a:extLst>
            <a:ext uri="{FF2B5EF4-FFF2-40B4-BE49-F238E27FC236}">
              <a16:creationId xmlns:a16="http://schemas.microsoft.com/office/drawing/2014/main" id="{9FB04955-5E83-4D2D-9C52-D7A3FA15A04C}"/>
            </a:ext>
          </a:extLst>
        </xdr:cNvPr>
        <xdr:cNvCxnSpPr/>
      </xdr:nvCxnSpPr>
      <xdr:spPr>
        <a:xfrm flipV="1">
          <a:off x="10574161" y="4146347"/>
          <a:ext cx="1113502"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81527</xdr:colOff>
      <xdr:row>23</xdr:row>
      <xdr:rowOff>152197</xdr:rowOff>
    </xdr:from>
    <xdr:to>
      <xdr:col>20</xdr:col>
      <xdr:colOff>585430</xdr:colOff>
      <xdr:row>23</xdr:row>
      <xdr:rowOff>153354</xdr:rowOff>
    </xdr:to>
    <xdr:cxnSp macro="">
      <xdr:nvCxnSpPr>
        <xdr:cNvPr id="464" name="Straight Connector 463">
          <a:extLst>
            <a:ext uri="{FF2B5EF4-FFF2-40B4-BE49-F238E27FC236}">
              <a16:creationId xmlns:a16="http://schemas.microsoft.com/office/drawing/2014/main" id="{74E493AA-8080-4FD6-B5E3-73FF1EE4A990}"/>
            </a:ext>
          </a:extLst>
        </xdr:cNvPr>
        <xdr:cNvCxnSpPr/>
      </xdr:nvCxnSpPr>
      <xdr:spPr>
        <a:xfrm flipV="1">
          <a:off x="11778227" y="4146347"/>
          <a:ext cx="1113503"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81981</xdr:colOff>
      <xdr:row>24</xdr:row>
      <xdr:rowOff>191437</xdr:rowOff>
    </xdr:from>
    <xdr:to>
      <xdr:col>10</xdr:col>
      <xdr:colOff>585928</xdr:colOff>
      <xdr:row>24</xdr:row>
      <xdr:rowOff>192594</xdr:rowOff>
    </xdr:to>
    <xdr:cxnSp macro="">
      <xdr:nvCxnSpPr>
        <xdr:cNvPr id="465" name="Straight Connector 464">
          <a:extLst>
            <a:ext uri="{FF2B5EF4-FFF2-40B4-BE49-F238E27FC236}">
              <a16:creationId xmlns:a16="http://schemas.microsoft.com/office/drawing/2014/main" id="{57FC4D61-F0DA-49B0-9D7A-6E85825E1E32}"/>
            </a:ext>
          </a:extLst>
        </xdr:cNvPr>
        <xdr:cNvCxnSpPr/>
      </xdr:nvCxnSpPr>
      <xdr:spPr>
        <a:xfrm flipV="1">
          <a:off x="5682681" y="436338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84473</xdr:colOff>
      <xdr:row>24</xdr:row>
      <xdr:rowOff>191437</xdr:rowOff>
    </xdr:from>
    <xdr:to>
      <xdr:col>12</xdr:col>
      <xdr:colOff>588420</xdr:colOff>
      <xdr:row>24</xdr:row>
      <xdr:rowOff>192594</xdr:rowOff>
    </xdr:to>
    <xdr:cxnSp macro="">
      <xdr:nvCxnSpPr>
        <xdr:cNvPr id="466" name="Straight Connector 465">
          <a:extLst>
            <a:ext uri="{FF2B5EF4-FFF2-40B4-BE49-F238E27FC236}">
              <a16:creationId xmlns:a16="http://schemas.microsoft.com/office/drawing/2014/main" id="{6572668B-F3BC-4EBD-BA57-6C02F30E73EB}"/>
            </a:ext>
          </a:extLst>
        </xdr:cNvPr>
        <xdr:cNvCxnSpPr/>
      </xdr:nvCxnSpPr>
      <xdr:spPr>
        <a:xfrm flipV="1">
          <a:off x="6904373" y="436338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82797</xdr:colOff>
      <xdr:row>24</xdr:row>
      <xdr:rowOff>191437</xdr:rowOff>
    </xdr:from>
    <xdr:to>
      <xdr:col>14</xdr:col>
      <xdr:colOff>586744</xdr:colOff>
      <xdr:row>24</xdr:row>
      <xdr:rowOff>192594</xdr:rowOff>
    </xdr:to>
    <xdr:cxnSp macro="">
      <xdr:nvCxnSpPr>
        <xdr:cNvPr id="467" name="Straight Connector 466">
          <a:extLst>
            <a:ext uri="{FF2B5EF4-FFF2-40B4-BE49-F238E27FC236}">
              <a16:creationId xmlns:a16="http://schemas.microsoft.com/office/drawing/2014/main" id="{BEDE2210-F45C-4FCD-B267-80C0978322A4}"/>
            </a:ext>
          </a:extLst>
        </xdr:cNvPr>
        <xdr:cNvCxnSpPr/>
      </xdr:nvCxnSpPr>
      <xdr:spPr>
        <a:xfrm flipV="1">
          <a:off x="8121897" y="436338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92941</xdr:colOff>
      <xdr:row>24</xdr:row>
      <xdr:rowOff>191437</xdr:rowOff>
    </xdr:from>
    <xdr:to>
      <xdr:col>16</xdr:col>
      <xdr:colOff>596889</xdr:colOff>
      <xdr:row>24</xdr:row>
      <xdr:rowOff>192594</xdr:rowOff>
    </xdr:to>
    <xdr:cxnSp macro="">
      <xdr:nvCxnSpPr>
        <xdr:cNvPr id="468" name="Straight Connector 467">
          <a:extLst>
            <a:ext uri="{FF2B5EF4-FFF2-40B4-BE49-F238E27FC236}">
              <a16:creationId xmlns:a16="http://schemas.microsoft.com/office/drawing/2014/main" id="{9F54189C-842C-4DD4-9670-238624C8D87E}"/>
            </a:ext>
          </a:extLst>
        </xdr:cNvPr>
        <xdr:cNvCxnSpPr/>
      </xdr:nvCxnSpPr>
      <xdr:spPr>
        <a:xfrm flipV="1">
          <a:off x="9351241" y="4363387"/>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81638</xdr:colOff>
      <xdr:row>24</xdr:row>
      <xdr:rowOff>191437</xdr:rowOff>
    </xdr:from>
    <xdr:to>
      <xdr:col>18</xdr:col>
      <xdr:colOff>585586</xdr:colOff>
      <xdr:row>24</xdr:row>
      <xdr:rowOff>192594</xdr:rowOff>
    </xdr:to>
    <xdr:cxnSp macro="">
      <xdr:nvCxnSpPr>
        <xdr:cNvPr id="469" name="Straight Connector 468">
          <a:extLst>
            <a:ext uri="{FF2B5EF4-FFF2-40B4-BE49-F238E27FC236}">
              <a16:creationId xmlns:a16="http://schemas.microsoft.com/office/drawing/2014/main" id="{E86EFC9E-7738-4E89-80B7-E6D575527108}"/>
            </a:ext>
          </a:extLst>
        </xdr:cNvPr>
        <xdr:cNvCxnSpPr/>
      </xdr:nvCxnSpPr>
      <xdr:spPr>
        <a:xfrm flipV="1">
          <a:off x="10559138" y="4363387"/>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81505</xdr:colOff>
      <xdr:row>24</xdr:row>
      <xdr:rowOff>191437</xdr:rowOff>
    </xdr:from>
    <xdr:to>
      <xdr:col>20</xdr:col>
      <xdr:colOff>585453</xdr:colOff>
      <xdr:row>24</xdr:row>
      <xdr:rowOff>192594</xdr:rowOff>
    </xdr:to>
    <xdr:cxnSp macro="">
      <xdr:nvCxnSpPr>
        <xdr:cNvPr id="470" name="Straight Connector 469">
          <a:extLst>
            <a:ext uri="{FF2B5EF4-FFF2-40B4-BE49-F238E27FC236}">
              <a16:creationId xmlns:a16="http://schemas.microsoft.com/office/drawing/2014/main" id="{C4DD9A00-C5E2-4E68-88BA-A76A021453A6}"/>
            </a:ext>
          </a:extLst>
        </xdr:cNvPr>
        <xdr:cNvCxnSpPr/>
      </xdr:nvCxnSpPr>
      <xdr:spPr>
        <a:xfrm flipV="1">
          <a:off x="11778205" y="4363387"/>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81981</xdr:colOff>
      <xdr:row>25</xdr:row>
      <xdr:rowOff>5545</xdr:rowOff>
    </xdr:from>
    <xdr:to>
      <xdr:col>10</xdr:col>
      <xdr:colOff>585928</xdr:colOff>
      <xdr:row>25</xdr:row>
      <xdr:rowOff>6702</xdr:rowOff>
    </xdr:to>
    <xdr:cxnSp macro="">
      <xdr:nvCxnSpPr>
        <xdr:cNvPr id="471" name="Straight Connector 470">
          <a:extLst>
            <a:ext uri="{FF2B5EF4-FFF2-40B4-BE49-F238E27FC236}">
              <a16:creationId xmlns:a16="http://schemas.microsoft.com/office/drawing/2014/main" id="{4EF87FDE-2741-4ADB-A8EE-DEFFBE8F7E86}"/>
            </a:ext>
          </a:extLst>
        </xdr:cNvPr>
        <xdr:cNvCxnSpPr/>
      </xdr:nvCxnSpPr>
      <xdr:spPr>
        <a:xfrm flipV="1">
          <a:off x="5682681" y="436799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84473</xdr:colOff>
      <xdr:row>25</xdr:row>
      <xdr:rowOff>5545</xdr:rowOff>
    </xdr:from>
    <xdr:to>
      <xdr:col>12</xdr:col>
      <xdr:colOff>588420</xdr:colOff>
      <xdr:row>25</xdr:row>
      <xdr:rowOff>6702</xdr:rowOff>
    </xdr:to>
    <xdr:cxnSp macro="">
      <xdr:nvCxnSpPr>
        <xdr:cNvPr id="472" name="Straight Connector 471">
          <a:extLst>
            <a:ext uri="{FF2B5EF4-FFF2-40B4-BE49-F238E27FC236}">
              <a16:creationId xmlns:a16="http://schemas.microsoft.com/office/drawing/2014/main" id="{DC29536E-16EB-4EAD-9EEF-DFD83E698A02}"/>
            </a:ext>
          </a:extLst>
        </xdr:cNvPr>
        <xdr:cNvCxnSpPr/>
      </xdr:nvCxnSpPr>
      <xdr:spPr>
        <a:xfrm flipV="1">
          <a:off x="6904373" y="436799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82797</xdr:colOff>
      <xdr:row>25</xdr:row>
      <xdr:rowOff>5545</xdr:rowOff>
    </xdr:from>
    <xdr:to>
      <xdr:col>14</xdr:col>
      <xdr:colOff>586744</xdr:colOff>
      <xdr:row>25</xdr:row>
      <xdr:rowOff>6702</xdr:rowOff>
    </xdr:to>
    <xdr:cxnSp macro="">
      <xdr:nvCxnSpPr>
        <xdr:cNvPr id="473" name="Straight Connector 472">
          <a:extLst>
            <a:ext uri="{FF2B5EF4-FFF2-40B4-BE49-F238E27FC236}">
              <a16:creationId xmlns:a16="http://schemas.microsoft.com/office/drawing/2014/main" id="{CC84F0BB-6F95-4974-ABB2-150DC5100C2B}"/>
            </a:ext>
          </a:extLst>
        </xdr:cNvPr>
        <xdr:cNvCxnSpPr/>
      </xdr:nvCxnSpPr>
      <xdr:spPr>
        <a:xfrm flipV="1">
          <a:off x="8121897" y="436799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92941</xdr:colOff>
      <xdr:row>25</xdr:row>
      <xdr:rowOff>5545</xdr:rowOff>
    </xdr:from>
    <xdr:to>
      <xdr:col>16</xdr:col>
      <xdr:colOff>596889</xdr:colOff>
      <xdr:row>25</xdr:row>
      <xdr:rowOff>6702</xdr:rowOff>
    </xdr:to>
    <xdr:cxnSp macro="">
      <xdr:nvCxnSpPr>
        <xdr:cNvPr id="474" name="Straight Connector 473">
          <a:extLst>
            <a:ext uri="{FF2B5EF4-FFF2-40B4-BE49-F238E27FC236}">
              <a16:creationId xmlns:a16="http://schemas.microsoft.com/office/drawing/2014/main" id="{80D7553E-2E6C-46A3-BBBA-D9B78C84016A}"/>
            </a:ext>
          </a:extLst>
        </xdr:cNvPr>
        <xdr:cNvCxnSpPr/>
      </xdr:nvCxnSpPr>
      <xdr:spPr>
        <a:xfrm flipV="1">
          <a:off x="9351241" y="4367995"/>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81638</xdr:colOff>
      <xdr:row>25</xdr:row>
      <xdr:rowOff>5545</xdr:rowOff>
    </xdr:from>
    <xdr:to>
      <xdr:col>18</xdr:col>
      <xdr:colOff>585586</xdr:colOff>
      <xdr:row>25</xdr:row>
      <xdr:rowOff>6702</xdr:rowOff>
    </xdr:to>
    <xdr:cxnSp macro="">
      <xdr:nvCxnSpPr>
        <xdr:cNvPr id="475" name="Straight Connector 474">
          <a:extLst>
            <a:ext uri="{FF2B5EF4-FFF2-40B4-BE49-F238E27FC236}">
              <a16:creationId xmlns:a16="http://schemas.microsoft.com/office/drawing/2014/main" id="{AF471BF2-1335-4576-B367-44C27599E3F2}"/>
            </a:ext>
          </a:extLst>
        </xdr:cNvPr>
        <xdr:cNvCxnSpPr/>
      </xdr:nvCxnSpPr>
      <xdr:spPr>
        <a:xfrm flipV="1">
          <a:off x="10559138" y="4367995"/>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81505</xdr:colOff>
      <xdr:row>25</xdr:row>
      <xdr:rowOff>5545</xdr:rowOff>
    </xdr:from>
    <xdr:to>
      <xdr:col>20</xdr:col>
      <xdr:colOff>585453</xdr:colOff>
      <xdr:row>25</xdr:row>
      <xdr:rowOff>6702</xdr:rowOff>
    </xdr:to>
    <xdr:cxnSp macro="">
      <xdr:nvCxnSpPr>
        <xdr:cNvPr id="476" name="Straight Connector 475">
          <a:extLst>
            <a:ext uri="{FF2B5EF4-FFF2-40B4-BE49-F238E27FC236}">
              <a16:creationId xmlns:a16="http://schemas.microsoft.com/office/drawing/2014/main" id="{3911C3FF-817C-4E12-906B-896E0D19111A}"/>
            </a:ext>
          </a:extLst>
        </xdr:cNvPr>
        <xdr:cNvCxnSpPr/>
      </xdr:nvCxnSpPr>
      <xdr:spPr>
        <a:xfrm flipV="1">
          <a:off x="11778205" y="4367995"/>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66609</xdr:colOff>
      <xdr:row>10</xdr:row>
      <xdr:rowOff>179312</xdr:rowOff>
    </xdr:from>
    <xdr:to>
      <xdr:col>14</xdr:col>
      <xdr:colOff>581713</xdr:colOff>
      <xdr:row>10</xdr:row>
      <xdr:rowOff>179312</xdr:rowOff>
    </xdr:to>
    <xdr:cxnSp macro="">
      <xdr:nvCxnSpPr>
        <xdr:cNvPr id="477" name="Straight Connector 476">
          <a:extLst>
            <a:ext uri="{FF2B5EF4-FFF2-40B4-BE49-F238E27FC236}">
              <a16:creationId xmlns:a16="http://schemas.microsoft.com/office/drawing/2014/main" id="{A2B166B3-D000-4844-916E-4496B470A44C}"/>
            </a:ext>
          </a:extLst>
        </xdr:cNvPr>
        <xdr:cNvCxnSpPr/>
      </xdr:nvCxnSpPr>
      <xdr:spPr>
        <a:xfrm>
          <a:off x="5667309" y="1906512"/>
          <a:ext cx="3563104"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9641</xdr:colOff>
      <xdr:row>31</xdr:row>
      <xdr:rowOff>163361</xdr:rowOff>
    </xdr:from>
    <xdr:to>
      <xdr:col>21</xdr:col>
      <xdr:colOff>41413</xdr:colOff>
      <xdr:row>31</xdr:row>
      <xdr:rowOff>163361</xdr:rowOff>
    </xdr:to>
    <xdr:cxnSp macro="">
      <xdr:nvCxnSpPr>
        <xdr:cNvPr id="478" name="Straight Connector 477">
          <a:extLst>
            <a:ext uri="{FF2B5EF4-FFF2-40B4-BE49-F238E27FC236}">
              <a16:creationId xmlns:a16="http://schemas.microsoft.com/office/drawing/2014/main" id="{372D2C5A-634F-4FCA-9B66-8049EE301C55}"/>
            </a:ext>
          </a:extLst>
        </xdr:cNvPr>
        <xdr:cNvCxnSpPr/>
      </xdr:nvCxnSpPr>
      <xdr:spPr>
        <a:xfrm>
          <a:off x="3781541" y="5637061"/>
          <a:ext cx="9175772" cy="0"/>
        </a:xfrm>
        <a:prstGeom prst="line">
          <a:avLst/>
        </a:prstGeom>
        <a:ln w="12700">
          <a:solidFill>
            <a:schemeClr val="bg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76881</xdr:colOff>
      <xdr:row>33</xdr:row>
      <xdr:rowOff>162327</xdr:rowOff>
    </xdr:from>
    <xdr:to>
      <xdr:col>10</xdr:col>
      <xdr:colOff>580828</xdr:colOff>
      <xdr:row>33</xdr:row>
      <xdr:rowOff>163484</xdr:rowOff>
    </xdr:to>
    <xdr:cxnSp macro="">
      <xdr:nvCxnSpPr>
        <xdr:cNvPr id="479" name="Straight Connector 478">
          <a:extLst>
            <a:ext uri="{FF2B5EF4-FFF2-40B4-BE49-F238E27FC236}">
              <a16:creationId xmlns:a16="http://schemas.microsoft.com/office/drawing/2014/main" id="{A246E252-8593-4F99-BAE3-F138CFB89279}"/>
            </a:ext>
          </a:extLst>
        </xdr:cNvPr>
        <xdr:cNvCxnSpPr/>
      </xdr:nvCxnSpPr>
      <xdr:spPr>
        <a:xfrm flipV="1">
          <a:off x="5677581" y="601067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78935</xdr:colOff>
      <xdr:row>33</xdr:row>
      <xdr:rowOff>162327</xdr:rowOff>
    </xdr:from>
    <xdr:to>
      <xdr:col>12</xdr:col>
      <xdr:colOff>583758</xdr:colOff>
      <xdr:row>33</xdr:row>
      <xdr:rowOff>163484</xdr:rowOff>
    </xdr:to>
    <xdr:cxnSp macro="">
      <xdr:nvCxnSpPr>
        <xdr:cNvPr id="480" name="Straight Connector 479">
          <a:extLst>
            <a:ext uri="{FF2B5EF4-FFF2-40B4-BE49-F238E27FC236}">
              <a16:creationId xmlns:a16="http://schemas.microsoft.com/office/drawing/2014/main" id="{4B114B77-052A-48B3-86CD-ACDD83BA49A8}"/>
            </a:ext>
          </a:extLst>
        </xdr:cNvPr>
        <xdr:cNvCxnSpPr/>
      </xdr:nvCxnSpPr>
      <xdr:spPr>
        <a:xfrm flipV="1">
          <a:off x="6898835" y="6010677"/>
          <a:ext cx="1114423"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77260</xdr:colOff>
      <xdr:row>33</xdr:row>
      <xdr:rowOff>162327</xdr:rowOff>
    </xdr:from>
    <xdr:to>
      <xdr:col>14</xdr:col>
      <xdr:colOff>582082</xdr:colOff>
      <xdr:row>33</xdr:row>
      <xdr:rowOff>163484</xdr:rowOff>
    </xdr:to>
    <xdr:cxnSp macro="">
      <xdr:nvCxnSpPr>
        <xdr:cNvPr id="481" name="Straight Connector 480">
          <a:extLst>
            <a:ext uri="{FF2B5EF4-FFF2-40B4-BE49-F238E27FC236}">
              <a16:creationId xmlns:a16="http://schemas.microsoft.com/office/drawing/2014/main" id="{0CE6E354-04FB-47F5-AD68-359E897BC356}"/>
            </a:ext>
          </a:extLst>
        </xdr:cNvPr>
        <xdr:cNvCxnSpPr/>
      </xdr:nvCxnSpPr>
      <xdr:spPr>
        <a:xfrm flipV="1">
          <a:off x="8116360" y="6010677"/>
          <a:ext cx="1114422"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87863</xdr:colOff>
      <xdr:row>33</xdr:row>
      <xdr:rowOff>162327</xdr:rowOff>
    </xdr:from>
    <xdr:to>
      <xdr:col>16</xdr:col>
      <xdr:colOff>591766</xdr:colOff>
      <xdr:row>33</xdr:row>
      <xdr:rowOff>163484</xdr:rowOff>
    </xdr:to>
    <xdr:cxnSp macro="">
      <xdr:nvCxnSpPr>
        <xdr:cNvPr id="482" name="Straight Connector 481">
          <a:extLst>
            <a:ext uri="{FF2B5EF4-FFF2-40B4-BE49-F238E27FC236}">
              <a16:creationId xmlns:a16="http://schemas.microsoft.com/office/drawing/2014/main" id="{2A9264A8-DE27-4EBD-BC06-61D0CFDE6A6D}"/>
            </a:ext>
          </a:extLst>
        </xdr:cNvPr>
        <xdr:cNvCxnSpPr/>
      </xdr:nvCxnSpPr>
      <xdr:spPr>
        <a:xfrm flipV="1">
          <a:off x="9346163" y="6010677"/>
          <a:ext cx="1113503"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76561</xdr:colOff>
      <xdr:row>33</xdr:row>
      <xdr:rowOff>162327</xdr:rowOff>
    </xdr:from>
    <xdr:to>
      <xdr:col>18</xdr:col>
      <xdr:colOff>580463</xdr:colOff>
      <xdr:row>33</xdr:row>
      <xdr:rowOff>163484</xdr:rowOff>
    </xdr:to>
    <xdr:cxnSp macro="">
      <xdr:nvCxnSpPr>
        <xdr:cNvPr id="483" name="Straight Connector 482">
          <a:extLst>
            <a:ext uri="{FF2B5EF4-FFF2-40B4-BE49-F238E27FC236}">
              <a16:creationId xmlns:a16="http://schemas.microsoft.com/office/drawing/2014/main" id="{C74691BB-6E3D-461E-A0D5-D91CD21F1FB4}"/>
            </a:ext>
          </a:extLst>
        </xdr:cNvPr>
        <xdr:cNvCxnSpPr/>
      </xdr:nvCxnSpPr>
      <xdr:spPr>
        <a:xfrm flipV="1">
          <a:off x="10554061" y="6010677"/>
          <a:ext cx="1113502"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61427</xdr:colOff>
      <xdr:row>33</xdr:row>
      <xdr:rowOff>162327</xdr:rowOff>
    </xdr:from>
    <xdr:to>
      <xdr:col>20</xdr:col>
      <xdr:colOff>565330</xdr:colOff>
      <xdr:row>33</xdr:row>
      <xdr:rowOff>163484</xdr:rowOff>
    </xdr:to>
    <xdr:cxnSp macro="">
      <xdr:nvCxnSpPr>
        <xdr:cNvPr id="484" name="Straight Connector 483">
          <a:extLst>
            <a:ext uri="{FF2B5EF4-FFF2-40B4-BE49-F238E27FC236}">
              <a16:creationId xmlns:a16="http://schemas.microsoft.com/office/drawing/2014/main" id="{56268C08-0C53-4271-BF24-3EB8071FA350}"/>
            </a:ext>
          </a:extLst>
        </xdr:cNvPr>
        <xdr:cNvCxnSpPr/>
      </xdr:nvCxnSpPr>
      <xdr:spPr>
        <a:xfrm flipV="1">
          <a:off x="11758127" y="6010677"/>
          <a:ext cx="1113503"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76881</xdr:colOff>
      <xdr:row>40</xdr:row>
      <xdr:rowOff>159727</xdr:rowOff>
    </xdr:from>
    <xdr:to>
      <xdr:col>10</xdr:col>
      <xdr:colOff>580828</xdr:colOff>
      <xdr:row>40</xdr:row>
      <xdr:rowOff>160884</xdr:rowOff>
    </xdr:to>
    <xdr:cxnSp macro="">
      <xdr:nvCxnSpPr>
        <xdr:cNvPr id="485" name="Straight Connector 484">
          <a:extLst>
            <a:ext uri="{FF2B5EF4-FFF2-40B4-BE49-F238E27FC236}">
              <a16:creationId xmlns:a16="http://schemas.microsoft.com/office/drawing/2014/main" id="{824C215E-449C-4943-B57E-53D127604CCE}"/>
            </a:ext>
          </a:extLst>
        </xdr:cNvPr>
        <xdr:cNvCxnSpPr/>
      </xdr:nvCxnSpPr>
      <xdr:spPr>
        <a:xfrm flipV="1">
          <a:off x="5677581" y="715742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78935</xdr:colOff>
      <xdr:row>40</xdr:row>
      <xdr:rowOff>159727</xdr:rowOff>
    </xdr:from>
    <xdr:to>
      <xdr:col>12</xdr:col>
      <xdr:colOff>583758</xdr:colOff>
      <xdr:row>40</xdr:row>
      <xdr:rowOff>160884</xdr:rowOff>
    </xdr:to>
    <xdr:cxnSp macro="">
      <xdr:nvCxnSpPr>
        <xdr:cNvPr id="486" name="Straight Connector 485">
          <a:extLst>
            <a:ext uri="{FF2B5EF4-FFF2-40B4-BE49-F238E27FC236}">
              <a16:creationId xmlns:a16="http://schemas.microsoft.com/office/drawing/2014/main" id="{97A17DBE-1A9F-4280-9D7B-7F2B8ACA125A}"/>
            </a:ext>
          </a:extLst>
        </xdr:cNvPr>
        <xdr:cNvCxnSpPr/>
      </xdr:nvCxnSpPr>
      <xdr:spPr>
        <a:xfrm flipV="1">
          <a:off x="6898835" y="7157427"/>
          <a:ext cx="1114423"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77260</xdr:colOff>
      <xdr:row>40</xdr:row>
      <xdr:rowOff>159727</xdr:rowOff>
    </xdr:from>
    <xdr:to>
      <xdr:col>14</xdr:col>
      <xdr:colOff>582082</xdr:colOff>
      <xdr:row>40</xdr:row>
      <xdr:rowOff>160884</xdr:rowOff>
    </xdr:to>
    <xdr:cxnSp macro="">
      <xdr:nvCxnSpPr>
        <xdr:cNvPr id="487" name="Straight Connector 486">
          <a:extLst>
            <a:ext uri="{FF2B5EF4-FFF2-40B4-BE49-F238E27FC236}">
              <a16:creationId xmlns:a16="http://schemas.microsoft.com/office/drawing/2014/main" id="{82F56612-20D0-4F68-A053-FD38758EF1B9}"/>
            </a:ext>
          </a:extLst>
        </xdr:cNvPr>
        <xdr:cNvCxnSpPr/>
      </xdr:nvCxnSpPr>
      <xdr:spPr>
        <a:xfrm flipV="1">
          <a:off x="8116360" y="7157427"/>
          <a:ext cx="1114422"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87863</xdr:colOff>
      <xdr:row>40</xdr:row>
      <xdr:rowOff>159727</xdr:rowOff>
    </xdr:from>
    <xdr:to>
      <xdr:col>16</xdr:col>
      <xdr:colOff>591766</xdr:colOff>
      <xdr:row>40</xdr:row>
      <xdr:rowOff>160884</xdr:rowOff>
    </xdr:to>
    <xdr:cxnSp macro="">
      <xdr:nvCxnSpPr>
        <xdr:cNvPr id="488" name="Straight Connector 487">
          <a:extLst>
            <a:ext uri="{FF2B5EF4-FFF2-40B4-BE49-F238E27FC236}">
              <a16:creationId xmlns:a16="http://schemas.microsoft.com/office/drawing/2014/main" id="{44AD1C4E-3B58-4EBE-B883-9B20F3657896}"/>
            </a:ext>
          </a:extLst>
        </xdr:cNvPr>
        <xdr:cNvCxnSpPr/>
      </xdr:nvCxnSpPr>
      <xdr:spPr>
        <a:xfrm flipV="1">
          <a:off x="9346163" y="7157427"/>
          <a:ext cx="1113503"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76561</xdr:colOff>
      <xdr:row>40</xdr:row>
      <xdr:rowOff>159727</xdr:rowOff>
    </xdr:from>
    <xdr:to>
      <xdr:col>18</xdr:col>
      <xdr:colOff>580463</xdr:colOff>
      <xdr:row>40</xdr:row>
      <xdr:rowOff>160884</xdr:rowOff>
    </xdr:to>
    <xdr:cxnSp macro="">
      <xdr:nvCxnSpPr>
        <xdr:cNvPr id="489" name="Straight Connector 488">
          <a:extLst>
            <a:ext uri="{FF2B5EF4-FFF2-40B4-BE49-F238E27FC236}">
              <a16:creationId xmlns:a16="http://schemas.microsoft.com/office/drawing/2014/main" id="{A74552A4-F18E-4F33-BFA4-2485BB9F1EE0}"/>
            </a:ext>
          </a:extLst>
        </xdr:cNvPr>
        <xdr:cNvCxnSpPr/>
      </xdr:nvCxnSpPr>
      <xdr:spPr>
        <a:xfrm flipV="1">
          <a:off x="10554061" y="7157427"/>
          <a:ext cx="1113502"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61427</xdr:colOff>
      <xdr:row>40</xdr:row>
      <xdr:rowOff>159727</xdr:rowOff>
    </xdr:from>
    <xdr:to>
      <xdr:col>20</xdr:col>
      <xdr:colOff>565330</xdr:colOff>
      <xdr:row>40</xdr:row>
      <xdr:rowOff>160884</xdr:rowOff>
    </xdr:to>
    <xdr:cxnSp macro="">
      <xdr:nvCxnSpPr>
        <xdr:cNvPr id="490" name="Straight Connector 489">
          <a:extLst>
            <a:ext uri="{FF2B5EF4-FFF2-40B4-BE49-F238E27FC236}">
              <a16:creationId xmlns:a16="http://schemas.microsoft.com/office/drawing/2014/main" id="{95E5DE5F-15FD-424B-AEE5-2532F16D656B}"/>
            </a:ext>
          </a:extLst>
        </xdr:cNvPr>
        <xdr:cNvCxnSpPr/>
      </xdr:nvCxnSpPr>
      <xdr:spPr>
        <a:xfrm flipV="1">
          <a:off x="11758127" y="7157427"/>
          <a:ext cx="1113503"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58081</xdr:colOff>
      <xdr:row>44</xdr:row>
      <xdr:rowOff>162046</xdr:rowOff>
    </xdr:from>
    <xdr:to>
      <xdr:col>10</xdr:col>
      <xdr:colOff>562028</xdr:colOff>
      <xdr:row>44</xdr:row>
      <xdr:rowOff>163364</xdr:rowOff>
    </xdr:to>
    <xdr:cxnSp macro="">
      <xdr:nvCxnSpPr>
        <xdr:cNvPr id="491" name="Straight Connector 490">
          <a:extLst>
            <a:ext uri="{FF2B5EF4-FFF2-40B4-BE49-F238E27FC236}">
              <a16:creationId xmlns:a16="http://schemas.microsoft.com/office/drawing/2014/main" id="{F8D4DD4F-9411-47FF-AC08-3C77F751D936}"/>
            </a:ext>
          </a:extLst>
        </xdr:cNvPr>
        <xdr:cNvCxnSpPr/>
      </xdr:nvCxnSpPr>
      <xdr:spPr>
        <a:xfrm flipV="1">
          <a:off x="5658781" y="78963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60135</xdr:colOff>
      <xdr:row>44</xdr:row>
      <xdr:rowOff>162046</xdr:rowOff>
    </xdr:from>
    <xdr:to>
      <xdr:col>12</xdr:col>
      <xdr:colOff>564958</xdr:colOff>
      <xdr:row>44</xdr:row>
      <xdr:rowOff>163364</xdr:rowOff>
    </xdr:to>
    <xdr:cxnSp macro="">
      <xdr:nvCxnSpPr>
        <xdr:cNvPr id="492" name="Straight Connector 491">
          <a:extLst>
            <a:ext uri="{FF2B5EF4-FFF2-40B4-BE49-F238E27FC236}">
              <a16:creationId xmlns:a16="http://schemas.microsoft.com/office/drawing/2014/main" id="{C9B26528-0A78-4FA5-ACFA-9FF6C377B339}"/>
            </a:ext>
          </a:extLst>
        </xdr:cNvPr>
        <xdr:cNvCxnSpPr/>
      </xdr:nvCxnSpPr>
      <xdr:spPr>
        <a:xfrm flipV="1">
          <a:off x="6880035" y="7896346"/>
          <a:ext cx="1114423"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58460</xdr:colOff>
      <xdr:row>44</xdr:row>
      <xdr:rowOff>162046</xdr:rowOff>
    </xdr:from>
    <xdr:to>
      <xdr:col>14</xdr:col>
      <xdr:colOff>563282</xdr:colOff>
      <xdr:row>44</xdr:row>
      <xdr:rowOff>163364</xdr:rowOff>
    </xdr:to>
    <xdr:cxnSp macro="">
      <xdr:nvCxnSpPr>
        <xdr:cNvPr id="493" name="Straight Connector 492">
          <a:extLst>
            <a:ext uri="{FF2B5EF4-FFF2-40B4-BE49-F238E27FC236}">
              <a16:creationId xmlns:a16="http://schemas.microsoft.com/office/drawing/2014/main" id="{FAA21F80-DE65-44C3-B75D-8EA4F101DEB8}"/>
            </a:ext>
          </a:extLst>
        </xdr:cNvPr>
        <xdr:cNvCxnSpPr/>
      </xdr:nvCxnSpPr>
      <xdr:spPr>
        <a:xfrm flipV="1">
          <a:off x="8097560" y="7896346"/>
          <a:ext cx="1114422"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69063</xdr:colOff>
      <xdr:row>44</xdr:row>
      <xdr:rowOff>162046</xdr:rowOff>
    </xdr:from>
    <xdr:to>
      <xdr:col>16</xdr:col>
      <xdr:colOff>572966</xdr:colOff>
      <xdr:row>44</xdr:row>
      <xdr:rowOff>163364</xdr:rowOff>
    </xdr:to>
    <xdr:cxnSp macro="">
      <xdr:nvCxnSpPr>
        <xdr:cNvPr id="494" name="Straight Connector 493">
          <a:extLst>
            <a:ext uri="{FF2B5EF4-FFF2-40B4-BE49-F238E27FC236}">
              <a16:creationId xmlns:a16="http://schemas.microsoft.com/office/drawing/2014/main" id="{AA41027C-6483-42DD-A221-1939BB87C60E}"/>
            </a:ext>
          </a:extLst>
        </xdr:cNvPr>
        <xdr:cNvCxnSpPr/>
      </xdr:nvCxnSpPr>
      <xdr:spPr>
        <a:xfrm flipV="1">
          <a:off x="9327363" y="7896346"/>
          <a:ext cx="1113503"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57761</xdr:colOff>
      <xdr:row>44</xdr:row>
      <xdr:rowOff>162046</xdr:rowOff>
    </xdr:from>
    <xdr:to>
      <xdr:col>18</xdr:col>
      <xdr:colOff>561663</xdr:colOff>
      <xdr:row>44</xdr:row>
      <xdr:rowOff>163364</xdr:rowOff>
    </xdr:to>
    <xdr:cxnSp macro="">
      <xdr:nvCxnSpPr>
        <xdr:cNvPr id="495" name="Straight Connector 494">
          <a:extLst>
            <a:ext uri="{FF2B5EF4-FFF2-40B4-BE49-F238E27FC236}">
              <a16:creationId xmlns:a16="http://schemas.microsoft.com/office/drawing/2014/main" id="{0FC983FE-2574-4789-876A-33AE9EA2BE34}"/>
            </a:ext>
          </a:extLst>
        </xdr:cNvPr>
        <xdr:cNvCxnSpPr/>
      </xdr:nvCxnSpPr>
      <xdr:spPr>
        <a:xfrm flipV="1">
          <a:off x="10535261" y="7896346"/>
          <a:ext cx="1113502"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42627</xdr:colOff>
      <xdr:row>44</xdr:row>
      <xdr:rowOff>162046</xdr:rowOff>
    </xdr:from>
    <xdr:to>
      <xdr:col>20</xdr:col>
      <xdr:colOff>546530</xdr:colOff>
      <xdr:row>44</xdr:row>
      <xdr:rowOff>163364</xdr:rowOff>
    </xdr:to>
    <xdr:cxnSp macro="">
      <xdr:nvCxnSpPr>
        <xdr:cNvPr id="496" name="Straight Connector 495">
          <a:extLst>
            <a:ext uri="{FF2B5EF4-FFF2-40B4-BE49-F238E27FC236}">
              <a16:creationId xmlns:a16="http://schemas.microsoft.com/office/drawing/2014/main" id="{BC5EFFB9-C24C-4602-84BF-1EDCFBACF299}"/>
            </a:ext>
          </a:extLst>
        </xdr:cNvPr>
        <xdr:cNvCxnSpPr/>
      </xdr:nvCxnSpPr>
      <xdr:spPr>
        <a:xfrm flipV="1">
          <a:off x="11739327" y="7896346"/>
          <a:ext cx="1113503"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58081</xdr:colOff>
      <xdr:row>53</xdr:row>
      <xdr:rowOff>159446</xdr:rowOff>
    </xdr:from>
    <xdr:to>
      <xdr:col>10</xdr:col>
      <xdr:colOff>562028</xdr:colOff>
      <xdr:row>53</xdr:row>
      <xdr:rowOff>160764</xdr:rowOff>
    </xdr:to>
    <xdr:cxnSp macro="">
      <xdr:nvCxnSpPr>
        <xdr:cNvPr id="497" name="Straight Connector 496">
          <a:extLst>
            <a:ext uri="{FF2B5EF4-FFF2-40B4-BE49-F238E27FC236}">
              <a16:creationId xmlns:a16="http://schemas.microsoft.com/office/drawing/2014/main" id="{0AF11824-650F-4188-90A7-BF970B44FB91}"/>
            </a:ext>
          </a:extLst>
        </xdr:cNvPr>
        <xdr:cNvCxnSpPr/>
      </xdr:nvCxnSpPr>
      <xdr:spPr>
        <a:xfrm flipV="1">
          <a:off x="5658781" y="93986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60135</xdr:colOff>
      <xdr:row>53</xdr:row>
      <xdr:rowOff>159446</xdr:rowOff>
    </xdr:from>
    <xdr:to>
      <xdr:col>12</xdr:col>
      <xdr:colOff>564958</xdr:colOff>
      <xdr:row>53</xdr:row>
      <xdr:rowOff>160764</xdr:rowOff>
    </xdr:to>
    <xdr:cxnSp macro="">
      <xdr:nvCxnSpPr>
        <xdr:cNvPr id="498" name="Straight Connector 497">
          <a:extLst>
            <a:ext uri="{FF2B5EF4-FFF2-40B4-BE49-F238E27FC236}">
              <a16:creationId xmlns:a16="http://schemas.microsoft.com/office/drawing/2014/main" id="{02A84DDE-9923-4ACF-A81C-588674CF41DD}"/>
            </a:ext>
          </a:extLst>
        </xdr:cNvPr>
        <xdr:cNvCxnSpPr/>
      </xdr:nvCxnSpPr>
      <xdr:spPr>
        <a:xfrm flipV="1">
          <a:off x="6880035" y="9398696"/>
          <a:ext cx="1114423"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58460</xdr:colOff>
      <xdr:row>53</xdr:row>
      <xdr:rowOff>159446</xdr:rowOff>
    </xdr:from>
    <xdr:to>
      <xdr:col>14</xdr:col>
      <xdr:colOff>563282</xdr:colOff>
      <xdr:row>53</xdr:row>
      <xdr:rowOff>160764</xdr:rowOff>
    </xdr:to>
    <xdr:cxnSp macro="">
      <xdr:nvCxnSpPr>
        <xdr:cNvPr id="499" name="Straight Connector 498">
          <a:extLst>
            <a:ext uri="{FF2B5EF4-FFF2-40B4-BE49-F238E27FC236}">
              <a16:creationId xmlns:a16="http://schemas.microsoft.com/office/drawing/2014/main" id="{06F0826E-8801-4B12-90D7-EEA323290BD8}"/>
            </a:ext>
          </a:extLst>
        </xdr:cNvPr>
        <xdr:cNvCxnSpPr/>
      </xdr:nvCxnSpPr>
      <xdr:spPr>
        <a:xfrm flipV="1">
          <a:off x="8097560" y="9398696"/>
          <a:ext cx="1114422"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69063</xdr:colOff>
      <xdr:row>53</xdr:row>
      <xdr:rowOff>159446</xdr:rowOff>
    </xdr:from>
    <xdr:to>
      <xdr:col>16</xdr:col>
      <xdr:colOff>572966</xdr:colOff>
      <xdr:row>53</xdr:row>
      <xdr:rowOff>160764</xdr:rowOff>
    </xdr:to>
    <xdr:cxnSp macro="">
      <xdr:nvCxnSpPr>
        <xdr:cNvPr id="500" name="Straight Connector 499">
          <a:extLst>
            <a:ext uri="{FF2B5EF4-FFF2-40B4-BE49-F238E27FC236}">
              <a16:creationId xmlns:a16="http://schemas.microsoft.com/office/drawing/2014/main" id="{D8EA396F-DEC1-43ED-B698-5D829E1E87A9}"/>
            </a:ext>
          </a:extLst>
        </xdr:cNvPr>
        <xdr:cNvCxnSpPr/>
      </xdr:nvCxnSpPr>
      <xdr:spPr>
        <a:xfrm flipV="1">
          <a:off x="9327363" y="9398696"/>
          <a:ext cx="1113503"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57761</xdr:colOff>
      <xdr:row>53</xdr:row>
      <xdr:rowOff>159446</xdr:rowOff>
    </xdr:from>
    <xdr:to>
      <xdr:col>18</xdr:col>
      <xdr:colOff>561663</xdr:colOff>
      <xdr:row>53</xdr:row>
      <xdr:rowOff>160764</xdr:rowOff>
    </xdr:to>
    <xdr:cxnSp macro="">
      <xdr:nvCxnSpPr>
        <xdr:cNvPr id="501" name="Straight Connector 500">
          <a:extLst>
            <a:ext uri="{FF2B5EF4-FFF2-40B4-BE49-F238E27FC236}">
              <a16:creationId xmlns:a16="http://schemas.microsoft.com/office/drawing/2014/main" id="{EE630F15-6332-4BCD-8C9E-EFFAC9EB5AE0}"/>
            </a:ext>
          </a:extLst>
        </xdr:cNvPr>
        <xdr:cNvCxnSpPr/>
      </xdr:nvCxnSpPr>
      <xdr:spPr>
        <a:xfrm flipV="1">
          <a:off x="10535261" y="9398696"/>
          <a:ext cx="1113502"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42627</xdr:colOff>
      <xdr:row>53</xdr:row>
      <xdr:rowOff>159446</xdr:rowOff>
    </xdr:from>
    <xdr:to>
      <xdr:col>20</xdr:col>
      <xdr:colOff>546530</xdr:colOff>
      <xdr:row>53</xdr:row>
      <xdr:rowOff>160764</xdr:rowOff>
    </xdr:to>
    <xdr:cxnSp macro="">
      <xdr:nvCxnSpPr>
        <xdr:cNvPr id="502" name="Straight Connector 501">
          <a:extLst>
            <a:ext uri="{FF2B5EF4-FFF2-40B4-BE49-F238E27FC236}">
              <a16:creationId xmlns:a16="http://schemas.microsoft.com/office/drawing/2014/main" id="{E9952EFF-648D-4F27-8EA2-B83A7767A701}"/>
            </a:ext>
          </a:extLst>
        </xdr:cNvPr>
        <xdr:cNvCxnSpPr/>
      </xdr:nvCxnSpPr>
      <xdr:spPr>
        <a:xfrm flipV="1">
          <a:off x="11739327" y="9398696"/>
          <a:ext cx="1113503"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58081</xdr:colOff>
      <xdr:row>54</xdr:row>
      <xdr:rowOff>161846</xdr:rowOff>
    </xdr:from>
    <xdr:to>
      <xdr:col>10</xdr:col>
      <xdr:colOff>562028</xdr:colOff>
      <xdr:row>54</xdr:row>
      <xdr:rowOff>163164</xdr:rowOff>
    </xdr:to>
    <xdr:cxnSp macro="">
      <xdr:nvCxnSpPr>
        <xdr:cNvPr id="503" name="Straight Connector 502">
          <a:extLst>
            <a:ext uri="{FF2B5EF4-FFF2-40B4-BE49-F238E27FC236}">
              <a16:creationId xmlns:a16="http://schemas.microsoft.com/office/drawing/2014/main" id="{A10287B0-CE85-4CB1-80A0-DE96E7BEB456}"/>
            </a:ext>
          </a:extLst>
        </xdr:cNvPr>
        <xdr:cNvCxnSpPr/>
      </xdr:nvCxnSpPr>
      <xdr:spPr>
        <a:xfrm flipV="1">
          <a:off x="5658781" y="95852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60135</xdr:colOff>
      <xdr:row>54</xdr:row>
      <xdr:rowOff>161846</xdr:rowOff>
    </xdr:from>
    <xdr:to>
      <xdr:col>12</xdr:col>
      <xdr:colOff>564958</xdr:colOff>
      <xdr:row>54</xdr:row>
      <xdr:rowOff>163164</xdr:rowOff>
    </xdr:to>
    <xdr:cxnSp macro="">
      <xdr:nvCxnSpPr>
        <xdr:cNvPr id="504" name="Straight Connector 503">
          <a:extLst>
            <a:ext uri="{FF2B5EF4-FFF2-40B4-BE49-F238E27FC236}">
              <a16:creationId xmlns:a16="http://schemas.microsoft.com/office/drawing/2014/main" id="{755CC011-7BC4-43F2-A0EB-6B882F9E28A0}"/>
            </a:ext>
          </a:extLst>
        </xdr:cNvPr>
        <xdr:cNvCxnSpPr/>
      </xdr:nvCxnSpPr>
      <xdr:spPr>
        <a:xfrm flipV="1">
          <a:off x="6880035" y="9585246"/>
          <a:ext cx="1114423"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58460</xdr:colOff>
      <xdr:row>54</xdr:row>
      <xdr:rowOff>161846</xdr:rowOff>
    </xdr:from>
    <xdr:to>
      <xdr:col>14</xdr:col>
      <xdr:colOff>563282</xdr:colOff>
      <xdr:row>54</xdr:row>
      <xdr:rowOff>163164</xdr:rowOff>
    </xdr:to>
    <xdr:cxnSp macro="">
      <xdr:nvCxnSpPr>
        <xdr:cNvPr id="505" name="Straight Connector 504">
          <a:extLst>
            <a:ext uri="{FF2B5EF4-FFF2-40B4-BE49-F238E27FC236}">
              <a16:creationId xmlns:a16="http://schemas.microsoft.com/office/drawing/2014/main" id="{804157C8-351D-49FE-92B0-68B68599451D}"/>
            </a:ext>
          </a:extLst>
        </xdr:cNvPr>
        <xdr:cNvCxnSpPr/>
      </xdr:nvCxnSpPr>
      <xdr:spPr>
        <a:xfrm flipV="1">
          <a:off x="8097560" y="9585246"/>
          <a:ext cx="1114422"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69063</xdr:colOff>
      <xdr:row>54</xdr:row>
      <xdr:rowOff>161846</xdr:rowOff>
    </xdr:from>
    <xdr:to>
      <xdr:col>16</xdr:col>
      <xdr:colOff>572966</xdr:colOff>
      <xdr:row>54</xdr:row>
      <xdr:rowOff>163164</xdr:rowOff>
    </xdr:to>
    <xdr:cxnSp macro="">
      <xdr:nvCxnSpPr>
        <xdr:cNvPr id="506" name="Straight Connector 505">
          <a:extLst>
            <a:ext uri="{FF2B5EF4-FFF2-40B4-BE49-F238E27FC236}">
              <a16:creationId xmlns:a16="http://schemas.microsoft.com/office/drawing/2014/main" id="{AF6E7EAC-7CAD-4177-8B50-40081CADF208}"/>
            </a:ext>
          </a:extLst>
        </xdr:cNvPr>
        <xdr:cNvCxnSpPr/>
      </xdr:nvCxnSpPr>
      <xdr:spPr>
        <a:xfrm flipV="1">
          <a:off x="9327363" y="9585246"/>
          <a:ext cx="1113503"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57761</xdr:colOff>
      <xdr:row>54</xdr:row>
      <xdr:rowOff>161846</xdr:rowOff>
    </xdr:from>
    <xdr:to>
      <xdr:col>18</xdr:col>
      <xdr:colOff>561663</xdr:colOff>
      <xdr:row>54</xdr:row>
      <xdr:rowOff>163164</xdr:rowOff>
    </xdr:to>
    <xdr:cxnSp macro="">
      <xdr:nvCxnSpPr>
        <xdr:cNvPr id="507" name="Straight Connector 506">
          <a:extLst>
            <a:ext uri="{FF2B5EF4-FFF2-40B4-BE49-F238E27FC236}">
              <a16:creationId xmlns:a16="http://schemas.microsoft.com/office/drawing/2014/main" id="{0666FB8F-AA84-4A90-866D-E929159AC81F}"/>
            </a:ext>
          </a:extLst>
        </xdr:cNvPr>
        <xdr:cNvCxnSpPr/>
      </xdr:nvCxnSpPr>
      <xdr:spPr>
        <a:xfrm flipV="1">
          <a:off x="10535261" y="9585246"/>
          <a:ext cx="1113502"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42627</xdr:colOff>
      <xdr:row>54</xdr:row>
      <xdr:rowOff>161846</xdr:rowOff>
    </xdr:from>
    <xdr:to>
      <xdr:col>20</xdr:col>
      <xdr:colOff>546530</xdr:colOff>
      <xdr:row>54</xdr:row>
      <xdr:rowOff>163164</xdr:rowOff>
    </xdr:to>
    <xdr:cxnSp macro="">
      <xdr:nvCxnSpPr>
        <xdr:cNvPr id="508" name="Straight Connector 507">
          <a:extLst>
            <a:ext uri="{FF2B5EF4-FFF2-40B4-BE49-F238E27FC236}">
              <a16:creationId xmlns:a16="http://schemas.microsoft.com/office/drawing/2014/main" id="{26D6C6D6-4B77-475C-943B-7C68E2518846}"/>
            </a:ext>
          </a:extLst>
        </xdr:cNvPr>
        <xdr:cNvCxnSpPr/>
      </xdr:nvCxnSpPr>
      <xdr:spPr>
        <a:xfrm flipV="1">
          <a:off x="11739327" y="9585246"/>
          <a:ext cx="1113503"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58081</xdr:colOff>
      <xdr:row>55</xdr:row>
      <xdr:rowOff>4246</xdr:rowOff>
    </xdr:from>
    <xdr:to>
      <xdr:col>10</xdr:col>
      <xdr:colOff>562028</xdr:colOff>
      <xdr:row>55</xdr:row>
      <xdr:rowOff>5564</xdr:rowOff>
    </xdr:to>
    <xdr:cxnSp macro="">
      <xdr:nvCxnSpPr>
        <xdr:cNvPr id="509" name="Straight Connector 508">
          <a:extLst>
            <a:ext uri="{FF2B5EF4-FFF2-40B4-BE49-F238E27FC236}">
              <a16:creationId xmlns:a16="http://schemas.microsoft.com/office/drawing/2014/main" id="{8C563438-1A1D-4F3C-BE78-76CDA2DEDFE1}"/>
            </a:ext>
          </a:extLst>
        </xdr:cNvPr>
        <xdr:cNvCxnSpPr/>
      </xdr:nvCxnSpPr>
      <xdr:spPr>
        <a:xfrm flipV="1">
          <a:off x="5658781" y="96117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60135</xdr:colOff>
      <xdr:row>55</xdr:row>
      <xdr:rowOff>4246</xdr:rowOff>
    </xdr:from>
    <xdr:to>
      <xdr:col>12</xdr:col>
      <xdr:colOff>564958</xdr:colOff>
      <xdr:row>55</xdr:row>
      <xdr:rowOff>5564</xdr:rowOff>
    </xdr:to>
    <xdr:cxnSp macro="">
      <xdr:nvCxnSpPr>
        <xdr:cNvPr id="510" name="Straight Connector 509">
          <a:extLst>
            <a:ext uri="{FF2B5EF4-FFF2-40B4-BE49-F238E27FC236}">
              <a16:creationId xmlns:a16="http://schemas.microsoft.com/office/drawing/2014/main" id="{78AD1CD5-319F-40E6-9D5D-878B519B8033}"/>
            </a:ext>
          </a:extLst>
        </xdr:cNvPr>
        <xdr:cNvCxnSpPr/>
      </xdr:nvCxnSpPr>
      <xdr:spPr>
        <a:xfrm flipV="1">
          <a:off x="6880035" y="9611796"/>
          <a:ext cx="1114423"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58460</xdr:colOff>
      <xdr:row>55</xdr:row>
      <xdr:rowOff>4246</xdr:rowOff>
    </xdr:from>
    <xdr:to>
      <xdr:col>14</xdr:col>
      <xdr:colOff>563282</xdr:colOff>
      <xdr:row>55</xdr:row>
      <xdr:rowOff>5564</xdr:rowOff>
    </xdr:to>
    <xdr:cxnSp macro="">
      <xdr:nvCxnSpPr>
        <xdr:cNvPr id="511" name="Straight Connector 510">
          <a:extLst>
            <a:ext uri="{FF2B5EF4-FFF2-40B4-BE49-F238E27FC236}">
              <a16:creationId xmlns:a16="http://schemas.microsoft.com/office/drawing/2014/main" id="{F5B4E246-4008-48DB-A4EA-8064B580D8B1}"/>
            </a:ext>
          </a:extLst>
        </xdr:cNvPr>
        <xdr:cNvCxnSpPr/>
      </xdr:nvCxnSpPr>
      <xdr:spPr>
        <a:xfrm flipV="1">
          <a:off x="8097560" y="9611796"/>
          <a:ext cx="1114422"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69063</xdr:colOff>
      <xdr:row>55</xdr:row>
      <xdr:rowOff>4246</xdr:rowOff>
    </xdr:from>
    <xdr:to>
      <xdr:col>16</xdr:col>
      <xdr:colOff>572966</xdr:colOff>
      <xdr:row>55</xdr:row>
      <xdr:rowOff>5564</xdr:rowOff>
    </xdr:to>
    <xdr:cxnSp macro="">
      <xdr:nvCxnSpPr>
        <xdr:cNvPr id="512" name="Straight Connector 511">
          <a:extLst>
            <a:ext uri="{FF2B5EF4-FFF2-40B4-BE49-F238E27FC236}">
              <a16:creationId xmlns:a16="http://schemas.microsoft.com/office/drawing/2014/main" id="{A5408883-E89F-4979-892C-54D79E8F7A4F}"/>
            </a:ext>
          </a:extLst>
        </xdr:cNvPr>
        <xdr:cNvCxnSpPr/>
      </xdr:nvCxnSpPr>
      <xdr:spPr>
        <a:xfrm flipV="1">
          <a:off x="9327363" y="9611796"/>
          <a:ext cx="1113503"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57761</xdr:colOff>
      <xdr:row>55</xdr:row>
      <xdr:rowOff>4246</xdr:rowOff>
    </xdr:from>
    <xdr:to>
      <xdr:col>18</xdr:col>
      <xdr:colOff>561663</xdr:colOff>
      <xdr:row>55</xdr:row>
      <xdr:rowOff>5564</xdr:rowOff>
    </xdr:to>
    <xdr:cxnSp macro="">
      <xdr:nvCxnSpPr>
        <xdr:cNvPr id="513" name="Straight Connector 512">
          <a:extLst>
            <a:ext uri="{FF2B5EF4-FFF2-40B4-BE49-F238E27FC236}">
              <a16:creationId xmlns:a16="http://schemas.microsoft.com/office/drawing/2014/main" id="{C0C924DA-35EC-44CA-87ED-5BB210D5C37E}"/>
            </a:ext>
          </a:extLst>
        </xdr:cNvPr>
        <xdr:cNvCxnSpPr/>
      </xdr:nvCxnSpPr>
      <xdr:spPr>
        <a:xfrm flipV="1">
          <a:off x="10535261" y="9611796"/>
          <a:ext cx="1113502"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42627</xdr:colOff>
      <xdr:row>55</xdr:row>
      <xdr:rowOff>4246</xdr:rowOff>
    </xdr:from>
    <xdr:to>
      <xdr:col>20</xdr:col>
      <xdr:colOff>546530</xdr:colOff>
      <xdr:row>55</xdr:row>
      <xdr:rowOff>5564</xdr:rowOff>
    </xdr:to>
    <xdr:cxnSp macro="">
      <xdr:nvCxnSpPr>
        <xdr:cNvPr id="514" name="Straight Connector 513">
          <a:extLst>
            <a:ext uri="{FF2B5EF4-FFF2-40B4-BE49-F238E27FC236}">
              <a16:creationId xmlns:a16="http://schemas.microsoft.com/office/drawing/2014/main" id="{EAC01EF7-B17C-4178-99BE-6242F9343E8B}"/>
            </a:ext>
          </a:extLst>
        </xdr:cNvPr>
        <xdr:cNvCxnSpPr/>
      </xdr:nvCxnSpPr>
      <xdr:spPr>
        <a:xfrm flipV="1">
          <a:off x="11739327" y="9611796"/>
          <a:ext cx="1113503"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81638</xdr:colOff>
      <xdr:row>11</xdr:row>
      <xdr:rowOff>169534</xdr:rowOff>
    </xdr:from>
    <xdr:to>
      <xdr:col>20</xdr:col>
      <xdr:colOff>585586</xdr:colOff>
      <xdr:row>11</xdr:row>
      <xdr:rowOff>170691</xdr:rowOff>
    </xdr:to>
    <xdr:cxnSp macro="">
      <xdr:nvCxnSpPr>
        <xdr:cNvPr id="515" name="Straight Connector 514">
          <a:extLst>
            <a:ext uri="{FF2B5EF4-FFF2-40B4-BE49-F238E27FC236}">
              <a16:creationId xmlns:a16="http://schemas.microsoft.com/office/drawing/2014/main" id="{1D316DDE-9450-474A-9840-13373032F9DB}"/>
            </a:ext>
          </a:extLst>
        </xdr:cNvPr>
        <xdr:cNvCxnSpPr/>
      </xdr:nvCxnSpPr>
      <xdr:spPr>
        <a:xfrm flipV="1">
          <a:off x="11778338" y="208088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81981</xdr:colOff>
      <xdr:row>16</xdr:row>
      <xdr:rowOff>154837</xdr:rowOff>
    </xdr:from>
    <xdr:to>
      <xdr:col>10</xdr:col>
      <xdr:colOff>585928</xdr:colOff>
      <xdr:row>16</xdr:row>
      <xdr:rowOff>155994</xdr:rowOff>
    </xdr:to>
    <xdr:cxnSp macro="">
      <xdr:nvCxnSpPr>
        <xdr:cNvPr id="516" name="Straight Connector 515">
          <a:extLst>
            <a:ext uri="{FF2B5EF4-FFF2-40B4-BE49-F238E27FC236}">
              <a16:creationId xmlns:a16="http://schemas.microsoft.com/office/drawing/2014/main" id="{35C5C804-6D62-472D-991D-DF33AA44665E}"/>
            </a:ext>
          </a:extLst>
        </xdr:cNvPr>
        <xdr:cNvCxnSpPr/>
      </xdr:nvCxnSpPr>
      <xdr:spPr>
        <a:xfrm flipV="1">
          <a:off x="5682681" y="299328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84473</xdr:colOff>
      <xdr:row>16</xdr:row>
      <xdr:rowOff>154837</xdr:rowOff>
    </xdr:from>
    <xdr:to>
      <xdr:col>12</xdr:col>
      <xdr:colOff>588420</xdr:colOff>
      <xdr:row>16</xdr:row>
      <xdr:rowOff>155994</xdr:rowOff>
    </xdr:to>
    <xdr:cxnSp macro="">
      <xdr:nvCxnSpPr>
        <xdr:cNvPr id="517" name="Straight Connector 516">
          <a:extLst>
            <a:ext uri="{FF2B5EF4-FFF2-40B4-BE49-F238E27FC236}">
              <a16:creationId xmlns:a16="http://schemas.microsoft.com/office/drawing/2014/main" id="{1723F73A-CE5E-43BB-A7D7-F247B69A0228}"/>
            </a:ext>
          </a:extLst>
        </xdr:cNvPr>
        <xdr:cNvCxnSpPr/>
      </xdr:nvCxnSpPr>
      <xdr:spPr>
        <a:xfrm flipV="1">
          <a:off x="6904373" y="299328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82797</xdr:colOff>
      <xdr:row>16</xdr:row>
      <xdr:rowOff>154837</xdr:rowOff>
    </xdr:from>
    <xdr:to>
      <xdr:col>14</xdr:col>
      <xdr:colOff>586744</xdr:colOff>
      <xdr:row>16</xdr:row>
      <xdr:rowOff>155994</xdr:rowOff>
    </xdr:to>
    <xdr:cxnSp macro="">
      <xdr:nvCxnSpPr>
        <xdr:cNvPr id="518" name="Straight Connector 517">
          <a:extLst>
            <a:ext uri="{FF2B5EF4-FFF2-40B4-BE49-F238E27FC236}">
              <a16:creationId xmlns:a16="http://schemas.microsoft.com/office/drawing/2014/main" id="{8EA79986-77F8-451A-8B7F-B272E7E0DECD}"/>
            </a:ext>
          </a:extLst>
        </xdr:cNvPr>
        <xdr:cNvCxnSpPr/>
      </xdr:nvCxnSpPr>
      <xdr:spPr>
        <a:xfrm flipV="1">
          <a:off x="8121897" y="299328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92541</xdr:colOff>
      <xdr:row>16</xdr:row>
      <xdr:rowOff>154837</xdr:rowOff>
    </xdr:from>
    <xdr:to>
      <xdr:col>16</xdr:col>
      <xdr:colOff>596489</xdr:colOff>
      <xdr:row>16</xdr:row>
      <xdr:rowOff>155994</xdr:rowOff>
    </xdr:to>
    <xdr:cxnSp macro="">
      <xdr:nvCxnSpPr>
        <xdr:cNvPr id="519" name="Straight Connector 518">
          <a:extLst>
            <a:ext uri="{FF2B5EF4-FFF2-40B4-BE49-F238E27FC236}">
              <a16:creationId xmlns:a16="http://schemas.microsoft.com/office/drawing/2014/main" id="{EDDD155A-FB6D-4787-B2D5-275761F04212}"/>
            </a:ext>
          </a:extLst>
        </xdr:cNvPr>
        <xdr:cNvCxnSpPr/>
      </xdr:nvCxnSpPr>
      <xdr:spPr>
        <a:xfrm flipV="1">
          <a:off x="9350841" y="2993287"/>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81638</xdr:colOff>
      <xdr:row>16</xdr:row>
      <xdr:rowOff>154837</xdr:rowOff>
    </xdr:from>
    <xdr:to>
      <xdr:col>18</xdr:col>
      <xdr:colOff>585586</xdr:colOff>
      <xdr:row>16</xdr:row>
      <xdr:rowOff>155994</xdr:rowOff>
    </xdr:to>
    <xdr:cxnSp macro="">
      <xdr:nvCxnSpPr>
        <xdr:cNvPr id="520" name="Straight Connector 519">
          <a:extLst>
            <a:ext uri="{FF2B5EF4-FFF2-40B4-BE49-F238E27FC236}">
              <a16:creationId xmlns:a16="http://schemas.microsoft.com/office/drawing/2014/main" id="{108A84F9-7CA1-4D23-9A62-1B4FE0CEBF58}"/>
            </a:ext>
          </a:extLst>
        </xdr:cNvPr>
        <xdr:cNvCxnSpPr/>
      </xdr:nvCxnSpPr>
      <xdr:spPr>
        <a:xfrm flipV="1">
          <a:off x="10559138" y="2993287"/>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81638</xdr:colOff>
      <xdr:row>11</xdr:row>
      <xdr:rowOff>169534</xdr:rowOff>
    </xdr:from>
    <xdr:to>
      <xdr:col>20</xdr:col>
      <xdr:colOff>585586</xdr:colOff>
      <xdr:row>11</xdr:row>
      <xdr:rowOff>170691</xdr:rowOff>
    </xdr:to>
    <xdr:cxnSp macro="">
      <xdr:nvCxnSpPr>
        <xdr:cNvPr id="521" name="Straight Connector 520">
          <a:extLst>
            <a:ext uri="{FF2B5EF4-FFF2-40B4-BE49-F238E27FC236}">
              <a16:creationId xmlns:a16="http://schemas.microsoft.com/office/drawing/2014/main" id="{CD5BFA61-9663-45DE-A48C-7AC766FC9E75}"/>
            </a:ext>
          </a:extLst>
        </xdr:cNvPr>
        <xdr:cNvCxnSpPr/>
      </xdr:nvCxnSpPr>
      <xdr:spPr>
        <a:xfrm flipV="1">
          <a:off x="11778338" y="208088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81638</xdr:colOff>
      <xdr:row>13</xdr:row>
      <xdr:rowOff>154837</xdr:rowOff>
    </xdr:from>
    <xdr:to>
      <xdr:col>20</xdr:col>
      <xdr:colOff>585586</xdr:colOff>
      <xdr:row>13</xdr:row>
      <xdr:rowOff>155994</xdr:rowOff>
    </xdr:to>
    <xdr:cxnSp macro="">
      <xdr:nvCxnSpPr>
        <xdr:cNvPr id="522" name="Straight Connector 521">
          <a:extLst>
            <a:ext uri="{FF2B5EF4-FFF2-40B4-BE49-F238E27FC236}">
              <a16:creationId xmlns:a16="http://schemas.microsoft.com/office/drawing/2014/main" id="{D71776A3-2930-4862-871F-337C03DED584}"/>
            </a:ext>
          </a:extLst>
        </xdr:cNvPr>
        <xdr:cNvCxnSpPr/>
      </xdr:nvCxnSpPr>
      <xdr:spPr>
        <a:xfrm flipV="1">
          <a:off x="11778338" y="2440837"/>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81638</xdr:colOff>
      <xdr:row>16</xdr:row>
      <xdr:rowOff>158334</xdr:rowOff>
    </xdr:from>
    <xdr:to>
      <xdr:col>20</xdr:col>
      <xdr:colOff>585586</xdr:colOff>
      <xdr:row>16</xdr:row>
      <xdr:rowOff>159491</xdr:rowOff>
    </xdr:to>
    <xdr:cxnSp macro="">
      <xdr:nvCxnSpPr>
        <xdr:cNvPr id="523" name="Straight Connector 522">
          <a:extLst>
            <a:ext uri="{FF2B5EF4-FFF2-40B4-BE49-F238E27FC236}">
              <a16:creationId xmlns:a16="http://schemas.microsoft.com/office/drawing/2014/main" id="{0C6DBCE5-A612-4091-BCF4-CC41E5365144}"/>
            </a:ext>
          </a:extLst>
        </xdr:cNvPr>
        <xdr:cNvCxnSpPr/>
      </xdr:nvCxnSpPr>
      <xdr:spPr>
        <a:xfrm flipV="1">
          <a:off x="11778338" y="299678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81638</xdr:colOff>
      <xdr:row>18</xdr:row>
      <xdr:rowOff>166215</xdr:rowOff>
    </xdr:from>
    <xdr:to>
      <xdr:col>20</xdr:col>
      <xdr:colOff>585586</xdr:colOff>
      <xdr:row>18</xdr:row>
      <xdr:rowOff>167372</xdr:rowOff>
    </xdr:to>
    <xdr:cxnSp macro="">
      <xdr:nvCxnSpPr>
        <xdr:cNvPr id="524" name="Straight Connector 523">
          <a:extLst>
            <a:ext uri="{FF2B5EF4-FFF2-40B4-BE49-F238E27FC236}">
              <a16:creationId xmlns:a16="http://schemas.microsoft.com/office/drawing/2014/main" id="{6F198D43-1B5C-416B-A517-36306A2DAE6C}"/>
            </a:ext>
          </a:extLst>
        </xdr:cNvPr>
        <xdr:cNvCxnSpPr/>
      </xdr:nvCxnSpPr>
      <xdr:spPr>
        <a:xfrm flipV="1">
          <a:off x="11778338" y="3372965"/>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96661</xdr:colOff>
      <xdr:row>23</xdr:row>
      <xdr:rowOff>152197</xdr:rowOff>
    </xdr:from>
    <xdr:to>
      <xdr:col>20</xdr:col>
      <xdr:colOff>600563</xdr:colOff>
      <xdr:row>23</xdr:row>
      <xdr:rowOff>153354</xdr:rowOff>
    </xdr:to>
    <xdr:cxnSp macro="">
      <xdr:nvCxnSpPr>
        <xdr:cNvPr id="525" name="Straight Connector 524">
          <a:extLst>
            <a:ext uri="{FF2B5EF4-FFF2-40B4-BE49-F238E27FC236}">
              <a16:creationId xmlns:a16="http://schemas.microsoft.com/office/drawing/2014/main" id="{4A1CB53C-FD65-4D7B-A12C-41A859CC7EAA}"/>
            </a:ext>
          </a:extLst>
        </xdr:cNvPr>
        <xdr:cNvCxnSpPr/>
      </xdr:nvCxnSpPr>
      <xdr:spPr>
        <a:xfrm flipV="1">
          <a:off x="11793361" y="4146347"/>
          <a:ext cx="1113502"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81638</xdr:colOff>
      <xdr:row>24</xdr:row>
      <xdr:rowOff>191437</xdr:rowOff>
    </xdr:from>
    <xdr:to>
      <xdr:col>20</xdr:col>
      <xdr:colOff>585586</xdr:colOff>
      <xdr:row>24</xdr:row>
      <xdr:rowOff>192594</xdr:rowOff>
    </xdr:to>
    <xdr:cxnSp macro="">
      <xdr:nvCxnSpPr>
        <xdr:cNvPr id="526" name="Straight Connector 525">
          <a:extLst>
            <a:ext uri="{FF2B5EF4-FFF2-40B4-BE49-F238E27FC236}">
              <a16:creationId xmlns:a16="http://schemas.microsoft.com/office/drawing/2014/main" id="{14A2BDC1-6BAF-4335-AA91-12EDBEF88778}"/>
            </a:ext>
          </a:extLst>
        </xdr:cNvPr>
        <xdr:cNvCxnSpPr/>
      </xdr:nvCxnSpPr>
      <xdr:spPr>
        <a:xfrm flipV="1">
          <a:off x="11778338" y="4363387"/>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81638</xdr:colOff>
      <xdr:row>25</xdr:row>
      <xdr:rowOff>5545</xdr:rowOff>
    </xdr:from>
    <xdr:to>
      <xdr:col>20</xdr:col>
      <xdr:colOff>585586</xdr:colOff>
      <xdr:row>25</xdr:row>
      <xdr:rowOff>6702</xdr:rowOff>
    </xdr:to>
    <xdr:cxnSp macro="">
      <xdr:nvCxnSpPr>
        <xdr:cNvPr id="527" name="Straight Connector 526">
          <a:extLst>
            <a:ext uri="{FF2B5EF4-FFF2-40B4-BE49-F238E27FC236}">
              <a16:creationId xmlns:a16="http://schemas.microsoft.com/office/drawing/2014/main" id="{D6F8832A-BFC4-4629-96AF-8F2437E4C8A5}"/>
            </a:ext>
          </a:extLst>
        </xdr:cNvPr>
        <xdr:cNvCxnSpPr/>
      </xdr:nvCxnSpPr>
      <xdr:spPr>
        <a:xfrm flipV="1">
          <a:off x="11778338" y="4367995"/>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76561</xdr:colOff>
      <xdr:row>33</xdr:row>
      <xdr:rowOff>162327</xdr:rowOff>
    </xdr:from>
    <xdr:to>
      <xdr:col>20</xdr:col>
      <xdr:colOff>580463</xdr:colOff>
      <xdr:row>33</xdr:row>
      <xdr:rowOff>163484</xdr:rowOff>
    </xdr:to>
    <xdr:cxnSp macro="">
      <xdr:nvCxnSpPr>
        <xdr:cNvPr id="528" name="Straight Connector 527">
          <a:extLst>
            <a:ext uri="{FF2B5EF4-FFF2-40B4-BE49-F238E27FC236}">
              <a16:creationId xmlns:a16="http://schemas.microsoft.com/office/drawing/2014/main" id="{B38C81EF-35B0-4BED-B198-D14A3E1805A6}"/>
            </a:ext>
          </a:extLst>
        </xdr:cNvPr>
        <xdr:cNvCxnSpPr/>
      </xdr:nvCxnSpPr>
      <xdr:spPr>
        <a:xfrm flipV="1">
          <a:off x="11773261" y="6010677"/>
          <a:ext cx="1113502"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76561</xdr:colOff>
      <xdr:row>40</xdr:row>
      <xdr:rowOff>159727</xdr:rowOff>
    </xdr:from>
    <xdr:to>
      <xdr:col>20</xdr:col>
      <xdr:colOff>580463</xdr:colOff>
      <xdr:row>40</xdr:row>
      <xdr:rowOff>160884</xdr:rowOff>
    </xdr:to>
    <xdr:cxnSp macro="">
      <xdr:nvCxnSpPr>
        <xdr:cNvPr id="529" name="Straight Connector 528">
          <a:extLst>
            <a:ext uri="{FF2B5EF4-FFF2-40B4-BE49-F238E27FC236}">
              <a16:creationId xmlns:a16="http://schemas.microsoft.com/office/drawing/2014/main" id="{070B62E7-50E5-43CF-A3F4-65CE1B87D4E9}"/>
            </a:ext>
          </a:extLst>
        </xdr:cNvPr>
        <xdr:cNvCxnSpPr/>
      </xdr:nvCxnSpPr>
      <xdr:spPr>
        <a:xfrm flipV="1">
          <a:off x="11773261" y="7157427"/>
          <a:ext cx="1113502"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57761</xdr:colOff>
      <xdr:row>44</xdr:row>
      <xdr:rowOff>162046</xdr:rowOff>
    </xdr:from>
    <xdr:to>
      <xdr:col>20</xdr:col>
      <xdr:colOff>561663</xdr:colOff>
      <xdr:row>44</xdr:row>
      <xdr:rowOff>163364</xdr:rowOff>
    </xdr:to>
    <xdr:cxnSp macro="">
      <xdr:nvCxnSpPr>
        <xdr:cNvPr id="530" name="Straight Connector 529">
          <a:extLst>
            <a:ext uri="{FF2B5EF4-FFF2-40B4-BE49-F238E27FC236}">
              <a16:creationId xmlns:a16="http://schemas.microsoft.com/office/drawing/2014/main" id="{B202F28E-D86E-4054-9793-D9D1EE444839}"/>
            </a:ext>
          </a:extLst>
        </xdr:cNvPr>
        <xdr:cNvCxnSpPr/>
      </xdr:nvCxnSpPr>
      <xdr:spPr>
        <a:xfrm flipV="1">
          <a:off x="11754461" y="7896346"/>
          <a:ext cx="1113502"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57761</xdr:colOff>
      <xdr:row>53</xdr:row>
      <xdr:rowOff>159446</xdr:rowOff>
    </xdr:from>
    <xdr:to>
      <xdr:col>20</xdr:col>
      <xdr:colOff>561663</xdr:colOff>
      <xdr:row>53</xdr:row>
      <xdr:rowOff>160764</xdr:rowOff>
    </xdr:to>
    <xdr:cxnSp macro="">
      <xdr:nvCxnSpPr>
        <xdr:cNvPr id="531" name="Straight Connector 530">
          <a:extLst>
            <a:ext uri="{FF2B5EF4-FFF2-40B4-BE49-F238E27FC236}">
              <a16:creationId xmlns:a16="http://schemas.microsoft.com/office/drawing/2014/main" id="{9576C028-4947-4223-BAA6-8D9DF4525FD0}"/>
            </a:ext>
          </a:extLst>
        </xdr:cNvPr>
        <xdr:cNvCxnSpPr/>
      </xdr:nvCxnSpPr>
      <xdr:spPr>
        <a:xfrm flipV="1">
          <a:off x="11754461" y="9398696"/>
          <a:ext cx="1113502"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57761</xdr:colOff>
      <xdr:row>54</xdr:row>
      <xdr:rowOff>161846</xdr:rowOff>
    </xdr:from>
    <xdr:to>
      <xdr:col>20</xdr:col>
      <xdr:colOff>561663</xdr:colOff>
      <xdr:row>54</xdr:row>
      <xdr:rowOff>163164</xdr:rowOff>
    </xdr:to>
    <xdr:cxnSp macro="">
      <xdr:nvCxnSpPr>
        <xdr:cNvPr id="532" name="Straight Connector 531">
          <a:extLst>
            <a:ext uri="{FF2B5EF4-FFF2-40B4-BE49-F238E27FC236}">
              <a16:creationId xmlns:a16="http://schemas.microsoft.com/office/drawing/2014/main" id="{CBD4EFFF-A894-4DFE-B74F-31F304F63089}"/>
            </a:ext>
          </a:extLst>
        </xdr:cNvPr>
        <xdr:cNvCxnSpPr/>
      </xdr:nvCxnSpPr>
      <xdr:spPr>
        <a:xfrm flipV="1">
          <a:off x="11754461" y="9585246"/>
          <a:ext cx="1113502"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57761</xdr:colOff>
      <xdr:row>55</xdr:row>
      <xdr:rowOff>4246</xdr:rowOff>
    </xdr:from>
    <xdr:to>
      <xdr:col>20</xdr:col>
      <xdr:colOff>561663</xdr:colOff>
      <xdr:row>55</xdr:row>
      <xdr:rowOff>5564</xdr:rowOff>
    </xdr:to>
    <xdr:cxnSp macro="">
      <xdr:nvCxnSpPr>
        <xdr:cNvPr id="533" name="Straight Connector 532">
          <a:extLst>
            <a:ext uri="{FF2B5EF4-FFF2-40B4-BE49-F238E27FC236}">
              <a16:creationId xmlns:a16="http://schemas.microsoft.com/office/drawing/2014/main" id="{C3D04E95-4C60-4540-A296-51CA5EA88B56}"/>
            </a:ext>
          </a:extLst>
        </xdr:cNvPr>
        <xdr:cNvCxnSpPr/>
      </xdr:nvCxnSpPr>
      <xdr:spPr>
        <a:xfrm flipV="1">
          <a:off x="11754461" y="9611796"/>
          <a:ext cx="1113502"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81638</xdr:colOff>
      <xdr:row>16</xdr:row>
      <xdr:rowOff>154837</xdr:rowOff>
    </xdr:from>
    <xdr:to>
      <xdr:col>20</xdr:col>
      <xdr:colOff>585586</xdr:colOff>
      <xdr:row>16</xdr:row>
      <xdr:rowOff>155994</xdr:rowOff>
    </xdr:to>
    <xdr:cxnSp macro="">
      <xdr:nvCxnSpPr>
        <xdr:cNvPr id="534" name="Straight Connector 533">
          <a:extLst>
            <a:ext uri="{FF2B5EF4-FFF2-40B4-BE49-F238E27FC236}">
              <a16:creationId xmlns:a16="http://schemas.microsoft.com/office/drawing/2014/main" id="{655C1C23-D412-49ED-A310-A36673115CA0}"/>
            </a:ext>
          </a:extLst>
        </xdr:cNvPr>
        <xdr:cNvCxnSpPr/>
      </xdr:nvCxnSpPr>
      <xdr:spPr>
        <a:xfrm flipV="1">
          <a:off x="11778338" y="2993287"/>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81981</xdr:colOff>
      <xdr:row>24</xdr:row>
      <xdr:rowOff>191437</xdr:rowOff>
    </xdr:from>
    <xdr:to>
      <xdr:col>12</xdr:col>
      <xdr:colOff>585928</xdr:colOff>
      <xdr:row>24</xdr:row>
      <xdr:rowOff>192594</xdr:rowOff>
    </xdr:to>
    <xdr:cxnSp macro="">
      <xdr:nvCxnSpPr>
        <xdr:cNvPr id="535" name="Straight Connector 534">
          <a:extLst>
            <a:ext uri="{FF2B5EF4-FFF2-40B4-BE49-F238E27FC236}">
              <a16:creationId xmlns:a16="http://schemas.microsoft.com/office/drawing/2014/main" id="{A934FBFE-B56E-44D9-BF56-F6DBD71B4961}"/>
            </a:ext>
          </a:extLst>
        </xdr:cNvPr>
        <xdr:cNvCxnSpPr/>
      </xdr:nvCxnSpPr>
      <xdr:spPr>
        <a:xfrm flipV="1">
          <a:off x="6901881" y="436338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81981</xdr:colOff>
      <xdr:row>25</xdr:row>
      <xdr:rowOff>5545</xdr:rowOff>
    </xdr:from>
    <xdr:to>
      <xdr:col>12</xdr:col>
      <xdr:colOff>585928</xdr:colOff>
      <xdr:row>25</xdr:row>
      <xdr:rowOff>6702</xdr:rowOff>
    </xdr:to>
    <xdr:cxnSp macro="">
      <xdr:nvCxnSpPr>
        <xdr:cNvPr id="536" name="Straight Connector 535">
          <a:extLst>
            <a:ext uri="{FF2B5EF4-FFF2-40B4-BE49-F238E27FC236}">
              <a16:creationId xmlns:a16="http://schemas.microsoft.com/office/drawing/2014/main" id="{6F8B54C3-0076-4B9E-9784-2B631B724D9E}"/>
            </a:ext>
          </a:extLst>
        </xdr:cNvPr>
        <xdr:cNvCxnSpPr/>
      </xdr:nvCxnSpPr>
      <xdr:spPr>
        <a:xfrm flipV="1">
          <a:off x="6901881" y="436799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81981</xdr:colOff>
      <xdr:row>24</xdr:row>
      <xdr:rowOff>191437</xdr:rowOff>
    </xdr:from>
    <xdr:to>
      <xdr:col>14</xdr:col>
      <xdr:colOff>585928</xdr:colOff>
      <xdr:row>24</xdr:row>
      <xdr:rowOff>192594</xdr:rowOff>
    </xdr:to>
    <xdr:cxnSp macro="">
      <xdr:nvCxnSpPr>
        <xdr:cNvPr id="537" name="Straight Connector 536">
          <a:extLst>
            <a:ext uri="{FF2B5EF4-FFF2-40B4-BE49-F238E27FC236}">
              <a16:creationId xmlns:a16="http://schemas.microsoft.com/office/drawing/2014/main" id="{1B7D52CC-C067-4741-BE0E-342DF8160CF5}"/>
            </a:ext>
          </a:extLst>
        </xdr:cNvPr>
        <xdr:cNvCxnSpPr/>
      </xdr:nvCxnSpPr>
      <xdr:spPr>
        <a:xfrm flipV="1">
          <a:off x="8121081" y="436338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81981</xdr:colOff>
      <xdr:row>25</xdr:row>
      <xdr:rowOff>5545</xdr:rowOff>
    </xdr:from>
    <xdr:to>
      <xdr:col>14</xdr:col>
      <xdr:colOff>585928</xdr:colOff>
      <xdr:row>25</xdr:row>
      <xdr:rowOff>6702</xdr:rowOff>
    </xdr:to>
    <xdr:cxnSp macro="">
      <xdr:nvCxnSpPr>
        <xdr:cNvPr id="538" name="Straight Connector 537">
          <a:extLst>
            <a:ext uri="{FF2B5EF4-FFF2-40B4-BE49-F238E27FC236}">
              <a16:creationId xmlns:a16="http://schemas.microsoft.com/office/drawing/2014/main" id="{F8F814EB-6859-438A-8A6C-0109366A9247}"/>
            </a:ext>
          </a:extLst>
        </xdr:cNvPr>
        <xdr:cNvCxnSpPr/>
      </xdr:nvCxnSpPr>
      <xdr:spPr>
        <a:xfrm flipV="1">
          <a:off x="8121081" y="436799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81981</xdr:colOff>
      <xdr:row>24</xdr:row>
      <xdr:rowOff>191437</xdr:rowOff>
    </xdr:from>
    <xdr:to>
      <xdr:col>16</xdr:col>
      <xdr:colOff>585928</xdr:colOff>
      <xdr:row>24</xdr:row>
      <xdr:rowOff>192594</xdr:rowOff>
    </xdr:to>
    <xdr:cxnSp macro="">
      <xdr:nvCxnSpPr>
        <xdr:cNvPr id="539" name="Straight Connector 538">
          <a:extLst>
            <a:ext uri="{FF2B5EF4-FFF2-40B4-BE49-F238E27FC236}">
              <a16:creationId xmlns:a16="http://schemas.microsoft.com/office/drawing/2014/main" id="{B89AD05E-0E5E-463B-8FBB-70132FB6590E}"/>
            </a:ext>
          </a:extLst>
        </xdr:cNvPr>
        <xdr:cNvCxnSpPr/>
      </xdr:nvCxnSpPr>
      <xdr:spPr>
        <a:xfrm flipV="1">
          <a:off x="9340281" y="436338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81981</xdr:colOff>
      <xdr:row>25</xdr:row>
      <xdr:rowOff>5545</xdr:rowOff>
    </xdr:from>
    <xdr:to>
      <xdr:col>16</xdr:col>
      <xdr:colOff>585928</xdr:colOff>
      <xdr:row>25</xdr:row>
      <xdr:rowOff>6702</xdr:rowOff>
    </xdr:to>
    <xdr:cxnSp macro="">
      <xdr:nvCxnSpPr>
        <xdr:cNvPr id="540" name="Straight Connector 539">
          <a:extLst>
            <a:ext uri="{FF2B5EF4-FFF2-40B4-BE49-F238E27FC236}">
              <a16:creationId xmlns:a16="http://schemas.microsoft.com/office/drawing/2014/main" id="{9263682B-F87C-4906-831F-15FB64A7133A}"/>
            </a:ext>
          </a:extLst>
        </xdr:cNvPr>
        <xdr:cNvCxnSpPr/>
      </xdr:nvCxnSpPr>
      <xdr:spPr>
        <a:xfrm flipV="1">
          <a:off x="9340281" y="436799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81981</xdr:colOff>
      <xdr:row>24</xdr:row>
      <xdr:rowOff>191437</xdr:rowOff>
    </xdr:from>
    <xdr:to>
      <xdr:col>18</xdr:col>
      <xdr:colOff>585928</xdr:colOff>
      <xdr:row>24</xdr:row>
      <xdr:rowOff>192594</xdr:rowOff>
    </xdr:to>
    <xdr:cxnSp macro="">
      <xdr:nvCxnSpPr>
        <xdr:cNvPr id="541" name="Straight Connector 540">
          <a:extLst>
            <a:ext uri="{FF2B5EF4-FFF2-40B4-BE49-F238E27FC236}">
              <a16:creationId xmlns:a16="http://schemas.microsoft.com/office/drawing/2014/main" id="{D5E669E3-BE4F-468E-8498-145CA064F8C1}"/>
            </a:ext>
          </a:extLst>
        </xdr:cNvPr>
        <xdr:cNvCxnSpPr/>
      </xdr:nvCxnSpPr>
      <xdr:spPr>
        <a:xfrm flipV="1">
          <a:off x="10559481" y="436338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81981</xdr:colOff>
      <xdr:row>25</xdr:row>
      <xdr:rowOff>5545</xdr:rowOff>
    </xdr:from>
    <xdr:to>
      <xdr:col>18</xdr:col>
      <xdr:colOff>585928</xdr:colOff>
      <xdr:row>25</xdr:row>
      <xdr:rowOff>6702</xdr:rowOff>
    </xdr:to>
    <xdr:cxnSp macro="">
      <xdr:nvCxnSpPr>
        <xdr:cNvPr id="542" name="Straight Connector 541">
          <a:extLst>
            <a:ext uri="{FF2B5EF4-FFF2-40B4-BE49-F238E27FC236}">
              <a16:creationId xmlns:a16="http://schemas.microsoft.com/office/drawing/2014/main" id="{E03754E1-0C27-4B75-9EE2-4F1782160423}"/>
            </a:ext>
          </a:extLst>
        </xdr:cNvPr>
        <xdr:cNvCxnSpPr/>
      </xdr:nvCxnSpPr>
      <xdr:spPr>
        <a:xfrm flipV="1">
          <a:off x="10559481" y="436799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81981</xdr:colOff>
      <xdr:row>24</xdr:row>
      <xdr:rowOff>191437</xdr:rowOff>
    </xdr:from>
    <xdr:to>
      <xdr:col>20</xdr:col>
      <xdr:colOff>585928</xdr:colOff>
      <xdr:row>24</xdr:row>
      <xdr:rowOff>192594</xdr:rowOff>
    </xdr:to>
    <xdr:cxnSp macro="">
      <xdr:nvCxnSpPr>
        <xdr:cNvPr id="543" name="Straight Connector 542">
          <a:extLst>
            <a:ext uri="{FF2B5EF4-FFF2-40B4-BE49-F238E27FC236}">
              <a16:creationId xmlns:a16="http://schemas.microsoft.com/office/drawing/2014/main" id="{06FCEB2C-3519-4419-B250-05A80BB73E23}"/>
            </a:ext>
          </a:extLst>
        </xdr:cNvPr>
        <xdr:cNvCxnSpPr/>
      </xdr:nvCxnSpPr>
      <xdr:spPr>
        <a:xfrm flipV="1">
          <a:off x="11778681" y="436338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81981</xdr:colOff>
      <xdr:row>25</xdr:row>
      <xdr:rowOff>5545</xdr:rowOff>
    </xdr:from>
    <xdr:to>
      <xdr:col>20</xdr:col>
      <xdr:colOff>585928</xdr:colOff>
      <xdr:row>25</xdr:row>
      <xdr:rowOff>6702</xdr:rowOff>
    </xdr:to>
    <xdr:cxnSp macro="">
      <xdr:nvCxnSpPr>
        <xdr:cNvPr id="544" name="Straight Connector 543">
          <a:extLst>
            <a:ext uri="{FF2B5EF4-FFF2-40B4-BE49-F238E27FC236}">
              <a16:creationId xmlns:a16="http://schemas.microsoft.com/office/drawing/2014/main" id="{21D4AD4C-B9A1-4859-98BF-FD37075F6ABB}"/>
            </a:ext>
          </a:extLst>
        </xdr:cNvPr>
        <xdr:cNvCxnSpPr/>
      </xdr:nvCxnSpPr>
      <xdr:spPr>
        <a:xfrm flipV="1">
          <a:off x="11778681" y="436799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81981</xdr:colOff>
      <xdr:row>27</xdr:row>
      <xdr:rowOff>191437</xdr:rowOff>
    </xdr:from>
    <xdr:to>
      <xdr:col>10</xdr:col>
      <xdr:colOff>585928</xdr:colOff>
      <xdr:row>27</xdr:row>
      <xdr:rowOff>192594</xdr:rowOff>
    </xdr:to>
    <xdr:cxnSp macro="">
      <xdr:nvCxnSpPr>
        <xdr:cNvPr id="545" name="Straight Connector 544">
          <a:extLst>
            <a:ext uri="{FF2B5EF4-FFF2-40B4-BE49-F238E27FC236}">
              <a16:creationId xmlns:a16="http://schemas.microsoft.com/office/drawing/2014/main" id="{598158C6-9580-4750-A1C5-4433A87B59DE}"/>
            </a:ext>
          </a:extLst>
        </xdr:cNvPr>
        <xdr:cNvCxnSpPr/>
      </xdr:nvCxnSpPr>
      <xdr:spPr>
        <a:xfrm flipV="1">
          <a:off x="5682681" y="491583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81981</xdr:colOff>
      <xdr:row>28</xdr:row>
      <xdr:rowOff>5545</xdr:rowOff>
    </xdr:from>
    <xdr:to>
      <xdr:col>10</xdr:col>
      <xdr:colOff>585928</xdr:colOff>
      <xdr:row>28</xdr:row>
      <xdr:rowOff>6702</xdr:rowOff>
    </xdr:to>
    <xdr:cxnSp macro="">
      <xdr:nvCxnSpPr>
        <xdr:cNvPr id="546" name="Straight Connector 545">
          <a:extLst>
            <a:ext uri="{FF2B5EF4-FFF2-40B4-BE49-F238E27FC236}">
              <a16:creationId xmlns:a16="http://schemas.microsoft.com/office/drawing/2014/main" id="{5AA8DEA7-467E-4BE7-8657-2C006B3E1055}"/>
            </a:ext>
          </a:extLst>
        </xdr:cNvPr>
        <xdr:cNvCxnSpPr/>
      </xdr:nvCxnSpPr>
      <xdr:spPr>
        <a:xfrm flipV="1">
          <a:off x="5682681" y="492044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81981</xdr:colOff>
      <xdr:row>27</xdr:row>
      <xdr:rowOff>191437</xdr:rowOff>
    </xdr:from>
    <xdr:to>
      <xdr:col>12</xdr:col>
      <xdr:colOff>585928</xdr:colOff>
      <xdr:row>27</xdr:row>
      <xdr:rowOff>192594</xdr:rowOff>
    </xdr:to>
    <xdr:cxnSp macro="">
      <xdr:nvCxnSpPr>
        <xdr:cNvPr id="547" name="Straight Connector 546">
          <a:extLst>
            <a:ext uri="{FF2B5EF4-FFF2-40B4-BE49-F238E27FC236}">
              <a16:creationId xmlns:a16="http://schemas.microsoft.com/office/drawing/2014/main" id="{A6597CAD-AF44-4162-87B9-C2327069045B}"/>
            </a:ext>
          </a:extLst>
        </xdr:cNvPr>
        <xdr:cNvCxnSpPr/>
      </xdr:nvCxnSpPr>
      <xdr:spPr>
        <a:xfrm flipV="1">
          <a:off x="6901881" y="491583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81981</xdr:colOff>
      <xdr:row>28</xdr:row>
      <xdr:rowOff>5545</xdr:rowOff>
    </xdr:from>
    <xdr:to>
      <xdr:col>12</xdr:col>
      <xdr:colOff>585928</xdr:colOff>
      <xdr:row>28</xdr:row>
      <xdr:rowOff>6702</xdr:rowOff>
    </xdr:to>
    <xdr:cxnSp macro="">
      <xdr:nvCxnSpPr>
        <xdr:cNvPr id="548" name="Straight Connector 547">
          <a:extLst>
            <a:ext uri="{FF2B5EF4-FFF2-40B4-BE49-F238E27FC236}">
              <a16:creationId xmlns:a16="http://schemas.microsoft.com/office/drawing/2014/main" id="{B518916D-69BF-4471-A8D1-79C1AF9EADBB}"/>
            </a:ext>
          </a:extLst>
        </xdr:cNvPr>
        <xdr:cNvCxnSpPr/>
      </xdr:nvCxnSpPr>
      <xdr:spPr>
        <a:xfrm flipV="1">
          <a:off x="6901881" y="492044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81981</xdr:colOff>
      <xdr:row>27</xdr:row>
      <xdr:rowOff>191437</xdr:rowOff>
    </xdr:from>
    <xdr:to>
      <xdr:col>14</xdr:col>
      <xdr:colOff>585928</xdr:colOff>
      <xdr:row>27</xdr:row>
      <xdr:rowOff>192594</xdr:rowOff>
    </xdr:to>
    <xdr:cxnSp macro="">
      <xdr:nvCxnSpPr>
        <xdr:cNvPr id="549" name="Straight Connector 548">
          <a:extLst>
            <a:ext uri="{FF2B5EF4-FFF2-40B4-BE49-F238E27FC236}">
              <a16:creationId xmlns:a16="http://schemas.microsoft.com/office/drawing/2014/main" id="{E63B5473-0DAB-419E-9F9F-3109598A42DF}"/>
            </a:ext>
          </a:extLst>
        </xdr:cNvPr>
        <xdr:cNvCxnSpPr/>
      </xdr:nvCxnSpPr>
      <xdr:spPr>
        <a:xfrm flipV="1">
          <a:off x="8121081" y="491583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81981</xdr:colOff>
      <xdr:row>28</xdr:row>
      <xdr:rowOff>5545</xdr:rowOff>
    </xdr:from>
    <xdr:to>
      <xdr:col>14</xdr:col>
      <xdr:colOff>585928</xdr:colOff>
      <xdr:row>28</xdr:row>
      <xdr:rowOff>6702</xdr:rowOff>
    </xdr:to>
    <xdr:cxnSp macro="">
      <xdr:nvCxnSpPr>
        <xdr:cNvPr id="550" name="Straight Connector 549">
          <a:extLst>
            <a:ext uri="{FF2B5EF4-FFF2-40B4-BE49-F238E27FC236}">
              <a16:creationId xmlns:a16="http://schemas.microsoft.com/office/drawing/2014/main" id="{B2CEDBB5-4481-4795-9285-6915D2742557}"/>
            </a:ext>
          </a:extLst>
        </xdr:cNvPr>
        <xdr:cNvCxnSpPr/>
      </xdr:nvCxnSpPr>
      <xdr:spPr>
        <a:xfrm flipV="1">
          <a:off x="8121081" y="492044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81981</xdr:colOff>
      <xdr:row>27</xdr:row>
      <xdr:rowOff>191437</xdr:rowOff>
    </xdr:from>
    <xdr:to>
      <xdr:col>16</xdr:col>
      <xdr:colOff>585928</xdr:colOff>
      <xdr:row>27</xdr:row>
      <xdr:rowOff>192594</xdr:rowOff>
    </xdr:to>
    <xdr:cxnSp macro="">
      <xdr:nvCxnSpPr>
        <xdr:cNvPr id="551" name="Straight Connector 550">
          <a:extLst>
            <a:ext uri="{FF2B5EF4-FFF2-40B4-BE49-F238E27FC236}">
              <a16:creationId xmlns:a16="http://schemas.microsoft.com/office/drawing/2014/main" id="{FDC37F7F-CFED-482C-92A9-0232D85A5030}"/>
            </a:ext>
          </a:extLst>
        </xdr:cNvPr>
        <xdr:cNvCxnSpPr/>
      </xdr:nvCxnSpPr>
      <xdr:spPr>
        <a:xfrm flipV="1">
          <a:off x="9340281" y="491583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81981</xdr:colOff>
      <xdr:row>28</xdr:row>
      <xdr:rowOff>5545</xdr:rowOff>
    </xdr:from>
    <xdr:to>
      <xdr:col>16</xdr:col>
      <xdr:colOff>585928</xdr:colOff>
      <xdr:row>28</xdr:row>
      <xdr:rowOff>6702</xdr:rowOff>
    </xdr:to>
    <xdr:cxnSp macro="">
      <xdr:nvCxnSpPr>
        <xdr:cNvPr id="552" name="Straight Connector 551">
          <a:extLst>
            <a:ext uri="{FF2B5EF4-FFF2-40B4-BE49-F238E27FC236}">
              <a16:creationId xmlns:a16="http://schemas.microsoft.com/office/drawing/2014/main" id="{F007F4A4-CB72-4FE1-AC75-67D437CBD1E9}"/>
            </a:ext>
          </a:extLst>
        </xdr:cNvPr>
        <xdr:cNvCxnSpPr/>
      </xdr:nvCxnSpPr>
      <xdr:spPr>
        <a:xfrm flipV="1">
          <a:off x="9340281" y="492044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81981</xdr:colOff>
      <xdr:row>27</xdr:row>
      <xdr:rowOff>191437</xdr:rowOff>
    </xdr:from>
    <xdr:to>
      <xdr:col>18</xdr:col>
      <xdr:colOff>585928</xdr:colOff>
      <xdr:row>27</xdr:row>
      <xdr:rowOff>192594</xdr:rowOff>
    </xdr:to>
    <xdr:cxnSp macro="">
      <xdr:nvCxnSpPr>
        <xdr:cNvPr id="553" name="Straight Connector 552">
          <a:extLst>
            <a:ext uri="{FF2B5EF4-FFF2-40B4-BE49-F238E27FC236}">
              <a16:creationId xmlns:a16="http://schemas.microsoft.com/office/drawing/2014/main" id="{9F8EED05-91D3-44BF-AC4A-8712CCA0149C}"/>
            </a:ext>
          </a:extLst>
        </xdr:cNvPr>
        <xdr:cNvCxnSpPr/>
      </xdr:nvCxnSpPr>
      <xdr:spPr>
        <a:xfrm flipV="1">
          <a:off x="10559481" y="491583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81981</xdr:colOff>
      <xdr:row>28</xdr:row>
      <xdr:rowOff>5545</xdr:rowOff>
    </xdr:from>
    <xdr:to>
      <xdr:col>18</xdr:col>
      <xdr:colOff>585928</xdr:colOff>
      <xdr:row>28</xdr:row>
      <xdr:rowOff>6702</xdr:rowOff>
    </xdr:to>
    <xdr:cxnSp macro="">
      <xdr:nvCxnSpPr>
        <xdr:cNvPr id="554" name="Straight Connector 553">
          <a:extLst>
            <a:ext uri="{FF2B5EF4-FFF2-40B4-BE49-F238E27FC236}">
              <a16:creationId xmlns:a16="http://schemas.microsoft.com/office/drawing/2014/main" id="{8AB46FFB-F20C-4B93-AEF3-E7584A257494}"/>
            </a:ext>
          </a:extLst>
        </xdr:cNvPr>
        <xdr:cNvCxnSpPr/>
      </xdr:nvCxnSpPr>
      <xdr:spPr>
        <a:xfrm flipV="1">
          <a:off x="10559481" y="492044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81981</xdr:colOff>
      <xdr:row>27</xdr:row>
      <xdr:rowOff>191437</xdr:rowOff>
    </xdr:from>
    <xdr:to>
      <xdr:col>20</xdr:col>
      <xdr:colOff>585928</xdr:colOff>
      <xdr:row>27</xdr:row>
      <xdr:rowOff>192594</xdr:rowOff>
    </xdr:to>
    <xdr:cxnSp macro="">
      <xdr:nvCxnSpPr>
        <xdr:cNvPr id="555" name="Straight Connector 554">
          <a:extLst>
            <a:ext uri="{FF2B5EF4-FFF2-40B4-BE49-F238E27FC236}">
              <a16:creationId xmlns:a16="http://schemas.microsoft.com/office/drawing/2014/main" id="{757B958F-6B7E-467F-BA5A-9DD9C68EDFA4}"/>
            </a:ext>
          </a:extLst>
        </xdr:cNvPr>
        <xdr:cNvCxnSpPr/>
      </xdr:nvCxnSpPr>
      <xdr:spPr>
        <a:xfrm flipV="1">
          <a:off x="11778681" y="491583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81981</xdr:colOff>
      <xdr:row>28</xdr:row>
      <xdr:rowOff>5545</xdr:rowOff>
    </xdr:from>
    <xdr:to>
      <xdr:col>20</xdr:col>
      <xdr:colOff>585928</xdr:colOff>
      <xdr:row>28</xdr:row>
      <xdr:rowOff>6702</xdr:rowOff>
    </xdr:to>
    <xdr:cxnSp macro="">
      <xdr:nvCxnSpPr>
        <xdr:cNvPr id="556" name="Straight Connector 555">
          <a:extLst>
            <a:ext uri="{FF2B5EF4-FFF2-40B4-BE49-F238E27FC236}">
              <a16:creationId xmlns:a16="http://schemas.microsoft.com/office/drawing/2014/main" id="{70F90594-67D8-4BE6-BBFC-EAC33A51E9DB}"/>
            </a:ext>
          </a:extLst>
        </xdr:cNvPr>
        <xdr:cNvCxnSpPr/>
      </xdr:nvCxnSpPr>
      <xdr:spPr>
        <a:xfrm flipV="1">
          <a:off x="11778681" y="492044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58081</xdr:colOff>
      <xdr:row>44</xdr:row>
      <xdr:rowOff>162046</xdr:rowOff>
    </xdr:from>
    <xdr:to>
      <xdr:col>12</xdr:col>
      <xdr:colOff>562028</xdr:colOff>
      <xdr:row>44</xdr:row>
      <xdr:rowOff>163364</xdr:rowOff>
    </xdr:to>
    <xdr:cxnSp macro="">
      <xdr:nvCxnSpPr>
        <xdr:cNvPr id="557" name="Straight Connector 556">
          <a:extLst>
            <a:ext uri="{FF2B5EF4-FFF2-40B4-BE49-F238E27FC236}">
              <a16:creationId xmlns:a16="http://schemas.microsoft.com/office/drawing/2014/main" id="{E3272610-5211-4B30-8EFC-860008212998}"/>
            </a:ext>
          </a:extLst>
        </xdr:cNvPr>
        <xdr:cNvCxnSpPr/>
      </xdr:nvCxnSpPr>
      <xdr:spPr>
        <a:xfrm flipV="1">
          <a:off x="6877981" y="78963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58081</xdr:colOff>
      <xdr:row>44</xdr:row>
      <xdr:rowOff>162046</xdr:rowOff>
    </xdr:from>
    <xdr:to>
      <xdr:col>14</xdr:col>
      <xdr:colOff>562028</xdr:colOff>
      <xdr:row>44</xdr:row>
      <xdr:rowOff>163364</xdr:rowOff>
    </xdr:to>
    <xdr:cxnSp macro="">
      <xdr:nvCxnSpPr>
        <xdr:cNvPr id="558" name="Straight Connector 557">
          <a:extLst>
            <a:ext uri="{FF2B5EF4-FFF2-40B4-BE49-F238E27FC236}">
              <a16:creationId xmlns:a16="http://schemas.microsoft.com/office/drawing/2014/main" id="{72DBBA63-3F33-453E-A09E-5F9E71F57F70}"/>
            </a:ext>
          </a:extLst>
        </xdr:cNvPr>
        <xdr:cNvCxnSpPr/>
      </xdr:nvCxnSpPr>
      <xdr:spPr>
        <a:xfrm flipV="1">
          <a:off x="8097181" y="78963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58081</xdr:colOff>
      <xdr:row>44</xdr:row>
      <xdr:rowOff>162046</xdr:rowOff>
    </xdr:from>
    <xdr:to>
      <xdr:col>16</xdr:col>
      <xdr:colOff>562028</xdr:colOff>
      <xdr:row>44</xdr:row>
      <xdr:rowOff>163364</xdr:rowOff>
    </xdr:to>
    <xdr:cxnSp macro="">
      <xdr:nvCxnSpPr>
        <xdr:cNvPr id="559" name="Straight Connector 558">
          <a:extLst>
            <a:ext uri="{FF2B5EF4-FFF2-40B4-BE49-F238E27FC236}">
              <a16:creationId xmlns:a16="http://schemas.microsoft.com/office/drawing/2014/main" id="{DB2811E4-FF3F-4489-89FF-4F757963195D}"/>
            </a:ext>
          </a:extLst>
        </xdr:cNvPr>
        <xdr:cNvCxnSpPr/>
      </xdr:nvCxnSpPr>
      <xdr:spPr>
        <a:xfrm flipV="1">
          <a:off x="9316381" y="78963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58081</xdr:colOff>
      <xdr:row>44</xdr:row>
      <xdr:rowOff>162046</xdr:rowOff>
    </xdr:from>
    <xdr:to>
      <xdr:col>18</xdr:col>
      <xdr:colOff>562028</xdr:colOff>
      <xdr:row>44</xdr:row>
      <xdr:rowOff>163364</xdr:rowOff>
    </xdr:to>
    <xdr:cxnSp macro="">
      <xdr:nvCxnSpPr>
        <xdr:cNvPr id="560" name="Straight Connector 559">
          <a:extLst>
            <a:ext uri="{FF2B5EF4-FFF2-40B4-BE49-F238E27FC236}">
              <a16:creationId xmlns:a16="http://schemas.microsoft.com/office/drawing/2014/main" id="{685EBFA0-2343-4F07-A928-517E652BD273}"/>
            </a:ext>
          </a:extLst>
        </xdr:cNvPr>
        <xdr:cNvCxnSpPr/>
      </xdr:nvCxnSpPr>
      <xdr:spPr>
        <a:xfrm flipV="1">
          <a:off x="10535581" y="78963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58081</xdr:colOff>
      <xdr:row>44</xdr:row>
      <xdr:rowOff>162046</xdr:rowOff>
    </xdr:from>
    <xdr:to>
      <xdr:col>20</xdr:col>
      <xdr:colOff>562028</xdr:colOff>
      <xdr:row>44</xdr:row>
      <xdr:rowOff>163364</xdr:rowOff>
    </xdr:to>
    <xdr:cxnSp macro="">
      <xdr:nvCxnSpPr>
        <xdr:cNvPr id="561" name="Straight Connector 560">
          <a:extLst>
            <a:ext uri="{FF2B5EF4-FFF2-40B4-BE49-F238E27FC236}">
              <a16:creationId xmlns:a16="http://schemas.microsoft.com/office/drawing/2014/main" id="{5AA98DE0-02A1-42A0-AD10-FBE13119633F}"/>
            </a:ext>
          </a:extLst>
        </xdr:cNvPr>
        <xdr:cNvCxnSpPr/>
      </xdr:nvCxnSpPr>
      <xdr:spPr>
        <a:xfrm flipV="1">
          <a:off x="11754781" y="78963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58081</xdr:colOff>
      <xdr:row>53</xdr:row>
      <xdr:rowOff>159446</xdr:rowOff>
    </xdr:from>
    <xdr:to>
      <xdr:col>12</xdr:col>
      <xdr:colOff>562028</xdr:colOff>
      <xdr:row>53</xdr:row>
      <xdr:rowOff>160764</xdr:rowOff>
    </xdr:to>
    <xdr:cxnSp macro="">
      <xdr:nvCxnSpPr>
        <xdr:cNvPr id="562" name="Straight Connector 561">
          <a:extLst>
            <a:ext uri="{FF2B5EF4-FFF2-40B4-BE49-F238E27FC236}">
              <a16:creationId xmlns:a16="http://schemas.microsoft.com/office/drawing/2014/main" id="{3DA6DC62-4FC7-491C-8453-946281928A20}"/>
            </a:ext>
          </a:extLst>
        </xdr:cNvPr>
        <xdr:cNvCxnSpPr/>
      </xdr:nvCxnSpPr>
      <xdr:spPr>
        <a:xfrm flipV="1">
          <a:off x="6877981" y="93986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58081</xdr:colOff>
      <xdr:row>53</xdr:row>
      <xdr:rowOff>159446</xdr:rowOff>
    </xdr:from>
    <xdr:to>
      <xdr:col>14</xdr:col>
      <xdr:colOff>562028</xdr:colOff>
      <xdr:row>53</xdr:row>
      <xdr:rowOff>160764</xdr:rowOff>
    </xdr:to>
    <xdr:cxnSp macro="">
      <xdr:nvCxnSpPr>
        <xdr:cNvPr id="563" name="Straight Connector 562">
          <a:extLst>
            <a:ext uri="{FF2B5EF4-FFF2-40B4-BE49-F238E27FC236}">
              <a16:creationId xmlns:a16="http://schemas.microsoft.com/office/drawing/2014/main" id="{989AC98F-3C78-48D1-8EA4-8454928D360D}"/>
            </a:ext>
          </a:extLst>
        </xdr:cNvPr>
        <xdr:cNvCxnSpPr/>
      </xdr:nvCxnSpPr>
      <xdr:spPr>
        <a:xfrm flipV="1">
          <a:off x="8097181" y="93986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58081</xdr:colOff>
      <xdr:row>53</xdr:row>
      <xdr:rowOff>159446</xdr:rowOff>
    </xdr:from>
    <xdr:to>
      <xdr:col>16</xdr:col>
      <xdr:colOff>562028</xdr:colOff>
      <xdr:row>53</xdr:row>
      <xdr:rowOff>160764</xdr:rowOff>
    </xdr:to>
    <xdr:cxnSp macro="">
      <xdr:nvCxnSpPr>
        <xdr:cNvPr id="564" name="Straight Connector 563">
          <a:extLst>
            <a:ext uri="{FF2B5EF4-FFF2-40B4-BE49-F238E27FC236}">
              <a16:creationId xmlns:a16="http://schemas.microsoft.com/office/drawing/2014/main" id="{06DDA1EC-A0E1-485F-820C-A1E768D930E9}"/>
            </a:ext>
          </a:extLst>
        </xdr:cNvPr>
        <xdr:cNvCxnSpPr/>
      </xdr:nvCxnSpPr>
      <xdr:spPr>
        <a:xfrm flipV="1">
          <a:off x="9316381" y="93986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58081</xdr:colOff>
      <xdr:row>53</xdr:row>
      <xdr:rowOff>159446</xdr:rowOff>
    </xdr:from>
    <xdr:to>
      <xdr:col>18</xdr:col>
      <xdr:colOff>562028</xdr:colOff>
      <xdr:row>53</xdr:row>
      <xdr:rowOff>160764</xdr:rowOff>
    </xdr:to>
    <xdr:cxnSp macro="">
      <xdr:nvCxnSpPr>
        <xdr:cNvPr id="565" name="Straight Connector 564">
          <a:extLst>
            <a:ext uri="{FF2B5EF4-FFF2-40B4-BE49-F238E27FC236}">
              <a16:creationId xmlns:a16="http://schemas.microsoft.com/office/drawing/2014/main" id="{EB27487B-25E4-4461-A1E4-0CA73D2A9CE1}"/>
            </a:ext>
          </a:extLst>
        </xdr:cNvPr>
        <xdr:cNvCxnSpPr/>
      </xdr:nvCxnSpPr>
      <xdr:spPr>
        <a:xfrm flipV="1">
          <a:off x="10535581" y="93986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58081</xdr:colOff>
      <xdr:row>53</xdr:row>
      <xdr:rowOff>159446</xdr:rowOff>
    </xdr:from>
    <xdr:to>
      <xdr:col>20</xdr:col>
      <xdr:colOff>562028</xdr:colOff>
      <xdr:row>53</xdr:row>
      <xdr:rowOff>160764</xdr:rowOff>
    </xdr:to>
    <xdr:cxnSp macro="">
      <xdr:nvCxnSpPr>
        <xdr:cNvPr id="566" name="Straight Connector 565">
          <a:extLst>
            <a:ext uri="{FF2B5EF4-FFF2-40B4-BE49-F238E27FC236}">
              <a16:creationId xmlns:a16="http://schemas.microsoft.com/office/drawing/2014/main" id="{5729F720-8EB5-4C9A-B95F-28809FB2DDB0}"/>
            </a:ext>
          </a:extLst>
        </xdr:cNvPr>
        <xdr:cNvCxnSpPr/>
      </xdr:nvCxnSpPr>
      <xdr:spPr>
        <a:xfrm flipV="1">
          <a:off x="11754781" y="93986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58081</xdr:colOff>
      <xdr:row>54</xdr:row>
      <xdr:rowOff>159446</xdr:rowOff>
    </xdr:from>
    <xdr:to>
      <xdr:col>10</xdr:col>
      <xdr:colOff>562028</xdr:colOff>
      <xdr:row>54</xdr:row>
      <xdr:rowOff>160764</xdr:rowOff>
    </xdr:to>
    <xdr:cxnSp macro="">
      <xdr:nvCxnSpPr>
        <xdr:cNvPr id="567" name="Straight Connector 566">
          <a:extLst>
            <a:ext uri="{FF2B5EF4-FFF2-40B4-BE49-F238E27FC236}">
              <a16:creationId xmlns:a16="http://schemas.microsoft.com/office/drawing/2014/main" id="{3A81FC53-806D-4B59-AE13-D68BB5AAC380}"/>
            </a:ext>
          </a:extLst>
        </xdr:cNvPr>
        <xdr:cNvCxnSpPr/>
      </xdr:nvCxnSpPr>
      <xdr:spPr>
        <a:xfrm flipV="1">
          <a:off x="5658781" y="95828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58081</xdr:colOff>
      <xdr:row>54</xdr:row>
      <xdr:rowOff>161846</xdr:rowOff>
    </xdr:from>
    <xdr:to>
      <xdr:col>12</xdr:col>
      <xdr:colOff>562028</xdr:colOff>
      <xdr:row>54</xdr:row>
      <xdr:rowOff>163164</xdr:rowOff>
    </xdr:to>
    <xdr:cxnSp macro="">
      <xdr:nvCxnSpPr>
        <xdr:cNvPr id="568" name="Straight Connector 567">
          <a:extLst>
            <a:ext uri="{FF2B5EF4-FFF2-40B4-BE49-F238E27FC236}">
              <a16:creationId xmlns:a16="http://schemas.microsoft.com/office/drawing/2014/main" id="{80726B6F-36CD-4C4F-9D6E-A9DA9A707B51}"/>
            </a:ext>
          </a:extLst>
        </xdr:cNvPr>
        <xdr:cNvCxnSpPr/>
      </xdr:nvCxnSpPr>
      <xdr:spPr>
        <a:xfrm flipV="1">
          <a:off x="6877981" y="95852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58081</xdr:colOff>
      <xdr:row>54</xdr:row>
      <xdr:rowOff>159446</xdr:rowOff>
    </xdr:from>
    <xdr:to>
      <xdr:col>12</xdr:col>
      <xdr:colOff>562028</xdr:colOff>
      <xdr:row>54</xdr:row>
      <xdr:rowOff>160764</xdr:rowOff>
    </xdr:to>
    <xdr:cxnSp macro="">
      <xdr:nvCxnSpPr>
        <xdr:cNvPr id="569" name="Straight Connector 568">
          <a:extLst>
            <a:ext uri="{FF2B5EF4-FFF2-40B4-BE49-F238E27FC236}">
              <a16:creationId xmlns:a16="http://schemas.microsoft.com/office/drawing/2014/main" id="{427D78C5-8557-48FC-BCD5-B025F33802A0}"/>
            </a:ext>
          </a:extLst>
        </xdr:cNvPr>
        <xdr:cNvCxnSpPr/>
      </xdr:nvCxnSpPr>
      <xdr:spPr>
        <a:xfrm flipV="1">
          <a:off x="6877981" y="95828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58081</xdr:colOff>
      <xdr:row>54</xdr:row>
      <xdr:rowOff>161846</xdr:rowOff>
    </xdr:from>
    <xdr:to>
      <xdr:col>14</xdr:col>
      <xdr:colOff>562028</xdr:colOff>
      <xdr:row>54</xdr:row>
      <xdr:rowOff>163164</xdr:rowOff>
    </xdr:to>
    <xdr:cxnSp macro="">
      <xdr:nvCxnSpPr>
        <xdr:cNvPr id="570" name="Straight Connector 569">
          <a:extLst>
            <a:ext uri="{FF2B5EF4-FFF2-40B4-BE49-F238E27FC236}">
              <a16:creationId xmlns:a16="http://schemas.microsoft.com/office/drawing/2014/main" id="{EB8ABB21-DC25-48B1-9383-1EDA336A1E6E}"/>
            </a:ext>
          </a:extLst>
        </xdr:cNvPr>
        <xdr:cNvCxnSpPr/>
      </xdr:nvCxnSpPr>
      <xdr:spPr>
        <a:xfrm flipV="1">
          <a:off x="8097181" y="95852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58081</xdr:colOff>
      <xdr:row>54</xdr:row>
      <xdr:rowOff>159446</xdr:rowOff>
    </xdr:from>
    <xdr:to>
      <xdr:col>14</xdr:col>
      <xdr:colOff>562028</xdr:colOff>
      <xdr:row>54</xdr:row>
      <xdr:rowOff>160764</xdr:rowOff>
    </xdr:to>
    <xdr:cxnSp macro="">
      <xdr:nvCxnSpPr>
        <xdr:cNvPr id="571" name="Straight Connector 570">
          <a:extLst>
            <a:ext uri="{FF2B5EF4-FFF2-40B4-BE49-F238E27FC236}">
              <a16:creationId xmlns:a16="http://schemas.microsoft.com/office/drawing/2014/main" id="{218D3EF3-8F44-41FE-AC41-1BEB29BA1114}"/>
            </a:ext>
          </a:extLst>
        </xdr:cNvPr>
        <xdr:cNvCxnSpPr/>
      </xdr:nvCxnSpPr>
      <xdr:spPr>
        <a:xfrm flipV="1">
          <a:off x="8097181" y="95828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58081</xdr:colOff>
      <xdr:row>54</xdr:row>
      <xdr:rowOff>161846</xdr:rowOff>
    </xdr:from>
    <xdr:to>
      <xdr:col>16</xdr:col>
      <xdr:colOff>562028</xdr:colOff>
      <xdr:row>54</xdr:row>
      <xdr:rowOff>163164</xdr:rowOff>
    </xdr:to>
    <xdr:cxnSp macro="">
      <xdr:nvCxnSpPr>
        <xdr:cNvPr id="572" name="Straight Connector 571">
          <a:extLst>
            <a:ext uri="{FF2B5EF4-FFF2-40B4-BE49-F238E27FC236}">
              <a16:creationId xmlns:a16="http://schemas.microsoft.com/office/drawing/2014/main" id="{1919F2B8-3360-4DD4-9B89-47D09D2CB068}"/>
            </a:ext>
          </a:extLst>
        </xdr:cNvPr>
        <xdr:cNvCxnSpPr/>
      </xdr:nvCxnSpPr>
      <xdr:spPr>
        <a:xfrm flipV="1">
          <a:off x="9316381" y="95852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58081</xdr:colOff>
      <xdr:row>54</xdr:row>
      <xdr:rowOff>159446</xdr:rowOff>
    </xdr:from>
    <xdr:to>
      <xdr:col>16</xdr:col>
      <xdr:colOff>562028</xdr:colOff>
      <xdr:row>54</xdr:row>
      <xdr:rowOff>160764</xdr:rowOff>
    </xdr:to>
    <xdr:cxnSp macro="">
      <xdr:nvCxnSpPr>
        <xdr:cNvPr id="573" name="Straight Connector 572">
          <a:extLst>
            <a:ext uri="{FF2B5EF4-FFF2-40B4-BE49-F238E27FC236}">
              <a16:creationId xmlns:a16="http://schemas.microsoft.com/office/drawing/2014/main" id="{D2FFAB4E-471F-4178-B9ED-DE233082D8EA}"/>
            </a:ext>
          </a:extLst>
        </xdr:cNvPr>
        <xdr:cNvCxnSpPr/>
      </xdr:nvCxnSpPr>
      <xdr:spPr>
        <a:xfrm flipV="1">
          <a:off x="9316381" y="95828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58081</xdr:colOff>
      <xdr:row>54</xdr:row>
      <xdr:rowOff>161846</xdr:rowOff>
    </xdr:from>
    <xdr:to>
      <xdr:col>18</xdr:col>
      <xdr:colOff>562028</xdr:colOff>
      <xdr:row>54</xdr:row>
      <xdr:rowOff>163164</xdr:rowOff>
    </xdr:to>
    <xdr:cxnSp macro="">
      <xdr:nvCxnSpPr>
        <xdr:cNvPr id="574" name="Straight Connector 573">
          <a:extLst>
            <a:ext uri="{FF2B5EF4-FFF2-40B4-BE49-F238E27FC236}">
              <a16:creationId xmlns:a16="http://schemas.microsoft.com/office/drawing/2014/main" id="{633A53F5-03C6-4302-9F1B-3C68CF833EAB}"/>
            </a:ext>
          </a:extLst>
        </xdr:cNvPr>
        <xdr:cNvCxnSpPr/>
      </xdr:nvCxnSpPr>
      <xdr:spPr>
        <a:xfrm flipV="1">
          <a:off x="10535581" y="95852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58081</xdr:colOff>
      <xdr:row>54</xdr:row>
      <xdr:rowOff>159446</xdr:rowOff>
    </xdr:from>
    <xdr:to>
      <xdr:col>18</xdr:col>
      <xdr:colOff>562028</xdr:colOff>
      <xdr:row>54</xdr:row>
      <xdr:rowOff>160764</xdr:rowOff>
    </xdr:to>
    <xdr:cxnSp macro="">
      <xdr:nvCxnSpPr>
        <xdr:cNvPr id="575" name="Straight Connector 574">
          <a:extLst>
            <a:ext uri="{FF2B5EF4-FFF2-40B4-BE49-F238E27FC236}">
              <a16:creationId xmlns:a16="http://schemas.microsoft.com/office/drawing/2014/main" id="{EC33D2C8-FB03-4D3B-8BDE-A6AAB36CD835}"/>
            </a:ext>
          </a:extLst>
        </xdr:cNvPr>
        <xdr:cNvCxnSpPr/>
      </xdr:nvCxnSpPr>
      <xdr:spPr>
        <a:xfrm flipV="1">
          <a:off x="10535581" y="95828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58081</xdr:colOff>
      <xdr:row>54</xdr:row>
      <xdr:rowOff>161846</xdr:rowOff>
    </xdr:from>
    <xdr:to>
      <xdr:col>20</xdr:col>
      <xdr:colOff>562028</xdr:colOff>
      <xdr:row>54</xdr:row>
      <xdr:rowOff>163164</xdr:rowOff>
    </xdr:to>
    <xdr:cxnSp macro="">
      <xdr:nvCxnSpPr>
        <xdr:cNvPr id="576" name="Straight Connector 575">
          <a:extLst>
            <a:ext uri="{FF2B5EF4-FFF2-40B4-BE49-F238E27FC236}">
              <a16:creationId xmlns:a16="http://schemas.microsoft.com/office/drawing/2014/main" id="{FEDABD0F-FC0E-46FE-AB23-938BFC0CB2C2}"/>
            </a:ext>
          </a:extLst>
        </xdr:cNvPr>
        <xdr:cNvCxnSpPr/>
      </xdr:nvCxnSpPr>
      <xdr:spPr>
        <a:xfrm flipV="1">
          <a:off x="11754781" y="95852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58081</xdr:colOff>
      <xdr:row>54</xdr:row>
      <xdr:rowOff>159446</xdr:rowOff>
    </xdr:from>
    <xdr:to>
      <xdr:col>20</xdr:col>
      <xdr:colOff>562028</xdr:colOff>
      <xdr:row>54</xdr:row>
      <xdr:rowOff>160764</xdr:rowOff>
    </xdr:to>
    <xdr:cxnSp macro="">
      <xdr:nvCxnSpPr>
        <xdr:cNvPr id="577" name="Straight Connector 576">
          <a:extLst>
            <a:ext uri="{FF2B5EF4-FFF2-40B4-BE49-F238E27FC236}">
              <a16:creationId xmlns:a16="http://schemas.microsoft.com/office/drawing/2014/main" id="{647B1FDE-3E2E-4795-9302-BAC663702901}"/>
            </a:ext>
          </a:extLst>
        </xdr:cNvPr>
        <xdr:cNvCxnSpPr/>
      </xdr:nvCxnSpPr>
      <xdr:spPr>
        <a:xfrm flipV="1">
          <a:off x="11754781" y="95828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58081</xdr:colOff>
      <xdr:row>55</xdr:row>
      <xdr:rowOff>4246</xdr:rowOff>
    </xdr:from>
    <xdr:to>
      <xdr:col>12</xdr:col>
      <xdr:colOff>562028</xdr:colOff>
      <xdr:row>55</xdr:row>
      <xdr:rowOff>5564</xdr:rowOff>
    </xdr:to>
    <xdr:cxnSp macro="">
      <xdr:nvCxnSpPr>
        <xdr:cNvPr id="578" name="Straight Connector 577">
          <a:extLst>
            <a:ext uri="{FF2B5EF4-FFF2-40B4-BE49-F238E27FC236}">
              <a16:creationId xmlns:a16="http://schemas.microsoft.com/office/drawing/2014/main" id="{D2E7F028-55EF-431B-8D2B-80316275426B}"/>
            </a:ext>
          </a:extLst>
        </xdr:cNvPr>
        <xdr:cNvCxnSpPr/>
      </xdr:nvCxnSpPr>
      <xdr:spPr>
        <a:xfrm flipV="1">
          <a:off x="6877981" y="96117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58081</xdr:colOff>
      <xdr:row>55</xdr:row>
      <xdr:rowOff>4246</xdr:rowOff>
    </xdr:from>
    <xdr:to>
      <xdr:col>14</xdr:col>
      <xdr:colOff>562028</xdr:colOff>
      <xdr:row>55</xdr:row>
      <xdr:rowOff>5564</xdr:rowOff>
    </xdr:to>
    <xdr:cxnSp macro="">
      <xdr:nvCxnSpPr>
        <xdr:cNvPr id="579" name="Straight Connector 578">
          <a:extLst>
            <a:ext uri="{FF2B5EF4-FFF2-40B4-BE49-F238E27FC236}">
              <a16:creationId xmlns:a16="http://schemas.microsoft.com/office/drawing/2014/main" id="{C035FA88-2CC0-4435-AC09-1064CE2D9720}"/>
            </a:ext>
          </a:extLst>
        </xdr:cNvPr>
        <xdr:cNvCxnSpPr/>
      </xdr:nvCxnSpPr>
      <xdr:spPr>
        <a:xfrm flipV="1">
          <a:off x="8097181" y="96117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58081</xdr:colOff>
      <xdr:row>55</xdr:row>
      <xdr:rowOff>4246</xdr:rowOff>
    </xdr:from>
    <xdr:to>
      <xdr:col>16</xdr:col>
      <xdr:colOff>562028</xdr:colOff>
      <xdr:row>55</xdr:row>
      <xdr:rowOff>5564</xdr:rowOff>
    </xdr:to>
    <xdr:cxnSp macro="">
      <xdr:nvCxnSpPr>
        <xdr:cNvPr id="580" name="Straight Connector 579">
          <a:extLst>
            <a:ext uri="{FF2B5EF4-FFF2-40B4-BE49-F238E27FC236}">
              <a16:creationId xmlns:a16="http://schemas.microsoft.com/office/drawing/2014/main" id="{27F3B4CC-0BC5-4BAC-AD02-3A9BCEF2DEEE}"/>
            </a:ext>
          </a:extLst>
        </xdr:cNvPr>
        <xdr:cNvCxnSpPr/>
      </xdr:nvCxnSpPr>
      <xdr:spPr>
        <a:xfrm flipV="1">
          <a:off x="9316381" y="96117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58081</xdr:colOff>
      <xdr:row>55</xdr:row>
      <xdr:rowOff>4246</xdr:rowOff>
    </xdr:from>
    <xdr:to>
      <xdr:col>18</xdr:col>
      <xdr:colOff>562028</xdr:colOff>
      <xdr:row>55</xdr:row>
      <xdr:rowOff>5564</xdr:rowOff>
    </xdr:to>
    <xdr:cxnSp macro="">
      <xdr:nvCxnSpPr>
        <xdr:cNvPr id="581" name="Straight Connector 580">
          <a:extLst>
            <a:ext uri="{FF2B5EF4-FFF2-40B4-BE49-F238E27FC236}">
              <a16:creationId xmlns:a16="http://schemas.microsoft.com/office/drawing/2014/main" id="{BFBB4134-212B-428C-9FA8-51A650227271}"/>
            </a:ext>
          </a:extLst>
        </xdr:cNvPr>
        <xdr:cNvCxnSpPr/>
      </xdr:nvCxnSpPr>
      <xdr:spPr>
        <a:xfrm flipV="1">
          <a:off x="10535581" y="96117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58081</xdr:colOff>
      <xdr:row>55</xdr:row>
      <xdr:rowOff>4246</xdr:rowOff>
    </xdr:from>
    <xdr:to>
      <xdr:col>20</xdr:col>
      <xdr:colOff>562028</xdr:colOff>
      <xdr:row>55</xdr:row>
      <xdr:rowOff>5564</xdr:rowOff>
    </xdr:to>
    <xdr:cxnSp macro="">
      <xdr:nvCxnSpPr>
        <xdr:cNvPr id="582" name="Straight Connector 581">
          <a:extLst>
            <a:ext uri="{FF2B5EF4-FFF2-40B4-BE49-F238E27FC236}">
              <a16:creationId xmlns:a16="http://schemas.microsoft.com/office/drawing/2014/main" id="{63950E1E-476B-4860-90DF-EF1E8856431D}"/>
            </a:ext>
          </a:extLst>
        </xdr:cNvPr>
        <xdr:cNvCxnSpPr/>
      </xdr:nvCxnSpPr>
      <xdr:spPr>
        <a:xfrm flipV="1">
          <a:off x="11754781" y="96117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81638</xdr:colOff>
      <xdr:row>11</xdr:row>
      <xdr:rowOff>169534</xdr:rowOff>
    </xdr:from>
    <xdr:to>
      <xdr:col>20</xdr:col>
      <xdr:colOff>585586</xdr:colOff>
      <xdr:row>11</xdr:row>
      <xdr:rowOff>170691</xdr:rowOff>
    </xdr:to>
    <xdr:cxnSp macro="">
      <xdr:nvCxnSpPr>
        <xdr:cNvPr id="583" name="Straight Connector 582">
          <a:extLst>
            <a:ext uri="{FF2B5EF4-FFF2-40B4-BE49-F238E27FC236}">
              <a16:creationId xmlns:a16="http://schemas.microsoft.com/office/drawing/2014/main" id="{AC7F59D0-E1E4-4306-83EA-77FE3EA4336F}"/>
            </a:ext>
          </a:extLst>
        </xdr:cNvPr>
        <xdr:cNvCxnSpPr/>
      </xdr:nvCxnSpPr>
      <xdr:spPr>
        <a:xfrm flipV="1">
          <a:off x="11778338" y="208088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81981</xdr:colOff>
      <xdr:row>11</xdr:row>
      <xdr:rowOff>169534</xdr:rowOff>
    </xdr:from>
    <xdr:to>
      <xdr:col>10</xdr:col>
      <xdr:colOff>585928</xdr:colOff>
      <xdr:row>11</xdr:row>
      <xdr:rowOff>170691</xdr:rowOff>
    </xdr:to>
    <xdr:cxnSp macro="">
      <xdr:nvCxnSpPr>
        <xdr:cNvPr id="584" name="Straight Connector 583">
          <a:extLst>
            <a:ext uri="{FF2B5EF4-FFF2-40B4-BE49-F238E27FC236}">
              <a16:creationId xmlns:a16="http://schemas.microsoft.com/office/drawing/2014/main" id="{213D7B6D-D046-44CA-9653-BDBD2C4224B8}"/>
            </a:ext>
          </a:extLst>
        </xdr:cNvPr>
        <xdr:cNvCxnSpPr/>
      </xdr:nvCxnSpPr>
      <xdr:spPr>
        <a:xfrm flipV="1">
          <a:off x="5682681" y="2080884"/>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84473</xdr:colOff>
      <xdr:row>11</xdr:row>
      <xdr:rowOff>169534</xdr:rowOff>
    </xdr:from>
    <xdr:to>
      <xdr:col>12</xdr:col>
      <xdr:colOff>588420</xdr:colOff>
      <xdr:row>11</xdr:row>
      <xdr:rowOff>170691</xdr:rowOff>
    </xdr:to>
    <xdr:cxnSp macro="">
      <xdr:nvCxnSpPr>
        <xdr:cNvPr id="585" name="Straight Connector 584">
          <a:extLst>
            <a:ext uri="{FF2B5EF4-FFF2-40B4-BE49-F238E27FC236}">
              <a16:creationId xmlns:a16="http://schemas.microsoft.com/office/drawing/2014/main" id="{241E4B95-09DA-4A02-8E24-2749AEE4529D}"/>
            </a:ext>
          </a:extLst>
        </xdr:cNvPr>
        <xdr:cNvCxnSpPr/>
      </xdr:nvCxnSpPr>
      <xdr:spPr>
        <a:xfrm flipV="1">
          <a:off x="6904373" y="2080884"/>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82797</xdr:colOff>
      <xdr:row>11</xdr:row>
      <xdr:rowOff>169534</xdr:rowOff>
    </xdr:from>
    <xdr:to>
      <xdr:col>14</xdr:col>
      <xdr:colOff>586744</xdr:colOff>
      <xdr:row>11</xdr:row>
      <xdr:rowOff>170691</xdr:rowOff>
    </xdr:to>
    <xdr:cxnSp macro="">
      <xdr:nvCxnSpPr>
        <xdr:cNvPr id="586" name="Straight Connector 585">
          <a:extLst>
            <a:ext uri="{FF2B5EF4-FFF2-40B4-BE49-F238E27FC236}">
              <a16:creationId xmlns:a16="http://schemas.microsoft.com/office/drawing/2014/main" id="{035DE5ED-C8BE-4FFB-8600-3A0634E26769}"/>
            </a:ext>
          </a:extLst>
        </xdr:cNvPr>
        <xdr:cNvCxnSpPr/>
      </xdr:nvCxnSpPr>
      <xdr:spPr>
        <a:xfrm flipV="1">
          <a:off x="8121897" y="2080884"/>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77421</xdr:colOff>
      <xdr:row>11</xdr:row>
      <xdr:rowOff>169534</xdr:rowOff>
    </xdr:from>
    <xdr:to>
      <xdr:col>16</xdr:col>
      <xdr:colOff>581369</xdr:colOff>
      <xdr:row>11</xdr:row>
      <xdr:rowOff>170691</xdr:rowOff>
    </xdr:to>
    <xdr:cxnSp macro="">
      <xdr:nvCxnSpPr>
        <xdr:cNvPr id="587" name="Straight Connector 586">
          <a:extLst>
            <a:ext uri="{FF2B5EF4-FFF2-40B4-BE49-F238E27FC236}">
              <a16:creationId xmlns:a16="http://schemas.microsoft.com/office/drawing/2014/main" id="{4EE2B791-B28C-443E-88C9-7C64D33FBA3D}"/>
            </a:ext>
          </a:extLst>
        </xdr:cNvPr>
        <xdr:cNvCxnSpPr/>
      </xdr:nvCxnSpPr>
      <xdr:spPr>
        <a:xfrm flipV="1">
          <a:off x="9335721" y="208088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81638</xdr:colOff>
      <xdr:row>11</xdr:row>
      <xdr:rowOff>169534</xdr:rowOff>
    </xdr:from>
    <xdr:to>
      <xdr:col>18</xdr:col>
      <xdr:colOff>585586</xdr:colOff>
      <xdr:row>11</xdr:row>
      <xdr:rowOff>170691</xdr:rowOff>
    </xdr:to>
    <xdr:cxnSp macro="">
      <xdr:nvCxnSpPr>
        <xdr:cNvPr id="588" name="Straight Connector 587">
          <a:extLst>
            <a:ext uri="{FF2B5EF4-FFF2-40B4-BE49-F238E27FC236}">
              <a16:creationId xmlns:a16="http://schemas.microsoft.com/office/drawing/2014/main" id="{AA1B4D92-D5A9-4438-B4B0-C27A82F0BF10}"/>
            </a:ext>
          </a:extLst>
        </xdr:cNvPr>
        <xdr:cNvCxnSpPr/>
      </xdr:nvCxnSpPr>
      <xdr:spPr>
        <a:xfrm flipV="1">
          <a:off x="10559138" y="208088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81505</xdr:colOff>
      <xdr:row>11</xdr:row>
      <xdr:rowOff>169534</xdr:rowOff>
    </xdr:from>
    <xdr:to>
      <xdr:col>20</xdr:col>
      <xdr:colOff>585453</xdr:colOff>
      <xdr:row>11</xdr:row>
      <xdr:rowOff>170691</xdr:rowOff>
    </xdr:to>
    <xdr:cxnSp macro="">
      <xdr:nvCxnSpPr>
        <xdr:cNvPr id="589" name="Straight Connector 588">
          <a:extLst>
            <a:ext uri="{FF2B5EF4-FFF2-40B4-BE49-F238E27FC236}">
              <a16:creationId xmlns:a16="http://schemas.microsoft.com/office/drawing/2014/main" id="{DE4FEC77-D71B-4799-A7EF-AE41E97B3291}"/>
            </a:ext>
          </a:extLst>
        </xdr:cNvPr>
        <xdr:cNvCxnSpPr/>
      </xdr:nvCxnSpPr>
      <xdr:spPr>
        <a:xfrm flipV="1">
          <a:off x="11778205" y="208088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81981</xdr:colOff>
      <xdr:row>13</xdr:row>
      <xdr:rowOff>154837</xdr:rowOff>
    </xdr:from>
    <xdr:to>
      <xdr:col>10</xdr:col>
      <xdr:colOff>585928</xdr:colOff>
      <xdr:row>13</xdr:row>
      <xdr:rowOff>155994</xdr:rowOff>
    </xdr:to>
    <xdr:cxnSp macro="">
      <xdr:nvCxnSpPr>
        <xdr:cNvPr id="590" name="Straight Connector 589">
          <a:extLst>
            <a:ext uri="{FF2B5EF4-FFF2-40B4-BE49-F238E27FC236}">
              <a16:creationId xmlns:a16="http://schemas.microsoft.com/office/drawing/2014/main" id="{F48CBD69-F94B-485D-87BB-B63D78DB8359}"/>
            </a:ext>
          </a:extLst>
        </xdr:cNvPr>
        <xdr:cNvCxnSpPr/>
      </xdr:nvCxnSpPr>
      <xdr:spPr>
        <a:xfrm flipV="1">
          <a:off x="5682681" y="244083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84473</xdr:colOff>
      <xdr:row>13</xdr:row>
      <xdr:rowOff>154837</xdr:rowOff>
    </xdr:from>
    <xdr:to>
      <xdr:col>12</xdr:col>
      <xdr:colOff>588420</xdr:colOff>
      <xdr:row>13</xdr:row>
      <xdr:rowOff>155994</xdr:rowOff>
    </xdr:to>
    <xdr:cxnSp macro="">
      <xdr:nvCxnSpPr>
        <xdr:cNvPr id="591" name="Straight Connector 590">
          <a:extLst>
            <a:ext uri="{FF2B5EF4-FFF2-40B4-BE49-F238E27FC236}">
              <a16:creationId xmlns:a16="http://schemas.microsoft.com/office/drawing/2014/main" id="{9E3CDB81-A83D-4363-93A6-3FFDB1A937F3}"/>
            </a:ext>
          </a:extLst>
        </xdr:cNvPr>
        <xdr:cNvCxnSpPr/>
      </xdr:nvCxnSpPr>
      <xdr:spPr>
        <a:xfrm flipV="1">
          <a:off x="6904373" y="244083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82797</xdr:colOff>
      <xdr:row>13</xdr:row>
      <xdr:rowOff>154837</xdr:rowOff>
    </xdr:from>
    <xdr:to>
      <xdr:col>14</xdr:col>
      <xdr:colOff>586744</xdr:colOff>
      <xdr:row>13</xdr:row>
      <xdr:rowOff>155994</xdr:rowOff>
    </xdr:to>
    <xdr:cxnSp macro="">
      <xdr:nvCxnSpPr>
        <xdr:cNvPr id="592" name="Straight Connector 591">
          <a:extLst>
            <a:ext uri="{FF2B5EF4-FFF2-40B4-BE49-F238E27FC236}">
              <a16:creationId xmlns:a16="http://schemas.microsoft.com/office/drawing/2014/main" id="{992F7825-E01D-48F1-8740-EE9A22A8A048}"/>
            </a:ext>
          </a:extLst>
        </xdr:cNvPr>
        <xdr:cNvCxnSpPr/>
      </xdr:nvCxnSpPr>
      <xdr:spPr>
        <a:xfrm flipV="1">
          <a:off x="8121897" y="244083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92541</xdr:colOff>
      <xdr:row>13</xdr:row>
      <xdr:rowOff>154837</xdr:rowOff>
    </xdr:from>
    <xdr:to>
      <xdr:col>16</xdr:col>
      <xdr:colOff>596489</xdr:colOff>
      <xdr:row>13</xdr:row>
      <xdr:rowOff>155994</xdr:rowOff>
    </xdr:to>
    <xdr:cxnSp macro="">
      <xdr:nvCxnSpPr>
        <xdr:cNvPr id="593" name="Straight Connector 592">
          <a:extLst>
            <a:ext uri="{FF2B5EF4-FFF2-40B4-BE49-F238E27FC236}">
              <a16:creationId xmlns:a16="http://schemas.microsoft.com/office/drawing/2014/main" id="{71FEEE42-40A3-49B2-9BFC-4D27FC4C7001}"/>
            </a:ext>
          </a:extLst>
        </xdr:cNvPr>
        <xdr:cNvCxnSpPr/>
      </xdr:nvCxnSpPr>
      <xdr:spPr>
        <a:xfrm flipV="1">
          <a:off x="9350841" y="2440837"/>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81638</xdr:colOff>
      <xdr:row>13</xdr:row>
      <xdr:rowOff>154837</xdr:rowOff>
    </xdr:from>
    <xdr:to>
      <xdr:col>18</xdr:col>
      <xdr:colOff>585586</xdr:colOff>
      <xdr:row>13</xdr:row>
      <xdr:rowOff>155994</xdr:rowOff>
    </xdr:to>
    <xdr:cxnSp macro="">
      <xdr:nvCxnSpPr>
        <xdr:cNvPr id="594" name="Straight Connector 593">
          <a:extLst>
            <a:ext uri="{FF2B5EF4-FFF2-40B4-BE49-F238E27FC236}">
              <a16:creationId xmlns:a16="http://schemas.microsoft.com/office/drawing/2014/main" id="{3E12FCCF-4271-474D-9A01-4C454FD98ACD}"/>
            </a:ext>
          </a:extLst>
        </xdr:cNvPr>
        <xdr:cNvCxnSpPr/>
      </xdr:nvCxnSpPr>
      <xdr:spPr>
        <a:xfrm flipV="1">
          <a:off x="10559138" y="2440837"/>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81505</xdr:colOff>
      <xdr:row>13</xdr:row>
      <xdr:rowOff>154837</xdr:rowOff>
    </xdr:from>
    <xdr:to>
      <xdr:col>20</xdr:col>
      <xdr:colOff>585453</xdr:colOff>
      <xdr:row>13</xdr:row>
      <xdr:rowOff>155994</xdr:rowOff>
    </xdr:to>
    <xdr:cxnSp macro="">
      <xdr:nvCxnSpPr>
        <xdr:cNvPr id="595" name="Straight Connector 594">
          <a:extLst>
            <a:ext uri="{FF2B5EF4-FFF2-40B4-BE49-F238E27FC236}">
              <a16:creationId xmlns:a16="http://schemas.microsoft.com/office/drawing/2014/main" id="{00D6991F-B11E-468C-931E-F76BCA50B1A8}"/>
            </a:ext>
          </a:extLst>
        </xdr:cNvPr>
        <xdr:cNvCxnSpPr/>
      </xdr:nvCxnSpPr>
      <xdr:spPr>
        <a:xfrm flipV="1">
          <a:off x="11778205" y="2440837"/>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81981</xdr:colOff>
      <xdr:row>16</xdr:row>
      <xdr:rowOff>158334</xdr:rowOff>
    </xdr:from>
    <xdr:to>
      <xdr:col>10</xdr:col>
      <xdr:colOff>585928</xdr:colOff>
      <xdr:row>16</xdr:row>
      <xdr:rowOff>159491</xdr:rowOff>
    </xdr:to>
    <xdr:cxnSp macro="">
      <xdr:nvCxnSpPr>
        <xdr:cNvPr id="596" name="Straight Connector 595">
          <a:extLst>
            <a:ext uri="{FF2B5EF4-FFF2-40B4-BE49-F238E27FC236}">
              <a16:creationId xmlns:a16="http://schemas.microsoft.com/office/drawing/2014/main" id="{1452FB06-587F-4FF3-84B7-7A08948BF328}"/>
            </a:ext>
          </a:extLst>
        </xdr:cNvPr>
        <xdr:cNvCxnSpPr/>
      </xdr:nvCxnSpPr>
      <xdr:spPr>
        <a:xfrm flipV="1">
          <a:off x="5682681" y="2996784"/>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84473</xdr:colOff>
      <xdr:row>16</xdr:row>
      <xdr:rowOff>158334</xdr:rowOff>
    </xdr:from>
    <xdr:to>
      <xdr:col>12</xdr:col>
      <xdr:colOff>588420</xdr:colOff>
      <xdr:row>16</xdr:row>
      <xdr:rowOff>159491</xdr:rowOff>
    </xdr:to>
    <xdr:cxnSp macro="">
      <xdr:nvCxnSpPr>
        <xdr:cNvPr id="597" name="Straight Connector 596">
          <a:extLst>
            <a:ext uri="{FF2B5EF4-FFF2-40B4-BE49-F238E27FC236}">
              <a16:creationId xmlns:a16="http://schemas.microsoft.com/office/drawing/2014/main" id="{7662CFFD-13E1-4B3E-8881-0C6DCA6D953A}"/>
            </a:ext>
          </a:extLst>
        </xdr:cNvPr>
        <xdr:cNvCxnSpPr/>
      </xdr:nvCxnSpPr>
      <xdr:spPr>
        <a:xfrm flipV="1">
          <a:off x="6904373" y="2996784"/>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82797</xdr:colOff>
      <xdr:row>16</xdr:row>
      <xdr:rowOff>158334</xdr:rowOff>
    </xdr:from>
    <xdr:to>
      <xdr:col>14</xdr:col>
      <xdr:colOff>586744</xdr:colOff>
      <xdr:row>16</xdr:row>
      <xdr:rowOff>159491</xdr:rowOff>
    </xdr:to>
    <xdr:cxnSp macro="">
      <xdr:nvCxnSpPr>
        <xdr:cNvPr id="598" name="Straight Connector 597">
          <a:extLst>
            <a:ext uri="{FF2B5EF4-FFF2-40B4-BE49-F238E27FC236}">
              <a16:creationId xmlns:a16="http://schemas.microsoft.com/office/drawing/2014/main" id="{1419AF8F-87A7-49AE-865A-F75818270035}"/>
            </a:ext>
          </a:extLst>
        </xdr:cNvPr>
        <xdr:cNvCxnSpPr/>
      </xdr:nvCxnSpPr>
      <xdr:spPr>
        <a:xfrm flipV="1">
          <a:off x="8121897" y="2996784"/>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75886</xdr:colOff>
      <xdr:row>16</xdr:row>
      <xdr:rowOff>158334</xdr:rowOff>
    </xdr:from>
    <xdr:to>
      <xdr:col>16</xdr:col>
      <xdr:colOff>579834</xdr:colOff>
      <xdr:row>16</xdr:row>
      <xdr:rowOff>159491</xdr:rowOff>
    </xdr:to>
    <xdr:cxnSp macro="">
      <xdr:nvCxnSpPr>
        <xdr:cNvPr id="599" name="Straight Connector 598">
          <a:extLst>
            <a:ext uri="{FF2B5EF4-FFF2-40B4-BE49-F238E27FC236}">
              <a16:creationId xmlns:a16="http://schemas.microsoft.com/office/drawing/2014/main" id="{0F9E0016-752E-43D6-97F9-315A827A4B9D}"/>
            </a:ext>
          </a:extLst>
        </xdr:cNvPr>
        <xdr:cNvCxnSpPr/>
      </xdr:nvCxnSpPr>
      <xdr:spPr>
        <a:xfrm flipV="1">
          <a:off x="9334186" y="299678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81638</xdr:colOff>
      <xdr:row>16</xdr:row>
      <xdr:rowOff>158334</xdr:rowOff>
    </xdr:from>
    <xdr:to>
      <xdr:col>18</xdr:col>
      <xdr:colOff>585586</xdr:colOff>
      <xdr:row>16</xdr:row>
      <xdr:rowOff>159491</xdr:rowOff>
    </xdr:to>
    <xdr:cxnSp macro="">
      <xdr:nvCxnSpPr>
        <xdr:cNvPr id="600" name="Straight Connector 599">
          <a:extLst>
            <a:ext uri="{FF2B5EF4-FFF2-40B4-BE49-F238E27FC236}">
              <a16:creationId xmlns:a16="http://schemas.microsoft.com/office/drawing/2014/main" id="{E6607E16-39AF-4473-8123-60EFDA3ED707}"/>
            </a:ext>
          </a:extLst>
        </xdr:cNvPr>
        <xdr:cNvCxnSpPr/>
      </xdr:nvCxnSpPr>
      <xdr:spPr>
        <a:xfrm flipV="1">
          <a:off x="10559138" y="299678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81505</xdr:colOff>
      <xdr:row>16</xdr:row>
      <xdr:rowOff>158334</xdr:rowOff>
    </xdr:from>
    <xdr:to>
      <xdr:col>20</xdr:col>
      <xdr:colOff>585453</xdr:colOff>
      <xdr:row>16</xdr:row>
      <xdr:rowOff>159491</xdr:rowOff>
    </xdr:to>
    <xdr:cxnSp macro="">
      <xdr:nvCxnSpPr>
        <xdr:cNvPr id="601" name="Straight Connector 600">
          <a:extLst>
            <a:ext uri="{FF2B5EF4-FFF2-40B4-BE49-F238E27FC236}">
              <a16:creationId xmlns:a16="http://schemas.microsoft.com/office/drawing/2014/main" id="{87C04C7B-E58D-47ED-8693-21BDFD1436D0}"/>
            </a:ext>
          </a:extLst>
        </xdr:cNvPr>
        <xdr:cNvCxnSpPr/>
      </xdr:nvCxnSpPr>
      <xdr:spPr>
        <a:xfrm flipV="1">
          <a:off x="11778205" y="299678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81981</xdr:colOff>
      <xdr:row>18</xdr:row>
      <xdr:rowOff>166215</xdr:rowOff>
    </xdr:from>
    <xdr:to>
      <xdr:col>10</xdr:col>
      <xdr:colOff>585928</xdr:colOff>
      <xdr:row>18</xdr:row>
      <xdr:rowOff>167372</xdr:rowOff>
    </xdr:to>
    <xdr:cxnSp macro="">
      <xdr:nvCxnSpPr>
        <xdr:cNvPr id="602" name="Straight Connector 601">
          <a:extLst>
            <a:ext uri="{FF2B5EF4-FFF2-40B4-BE49-F238E27FC236}">
              <a16:creationId xmlns:a16="http://schemas.microsoft.com/office/drawing/2014/main" id="{BDA898A5-5A9E-40DA-95E0-A0AB20DBDC82}"/>
            </a:ext>
          </a:extLst>
        </xdr:cNvPr>
        <xdr:cNvCxnSpPr/>
      </xdr:nvCxnSpPr>
      <xdr:spPr>
        <a:xfrm flipV="1">
          <a:off x="5682681" y="337296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84473</xdr:colOff>
      <xdr:row>18</xdr:row>
      <xdr:rowOff>166215</xdr:rowOff>
    </xdr:from>
    <xdr:to>
      <xdr:col>12</xdr:col>
      <xdr:colOff>588420</xdr:colOff>
      <xdr:row>18</xdr:row>
      <xdr:rowOff>167372</xdr:rowOff>
    </xdr:to>
    <xdr:cxnSp macro="">
      <xdr:nvCxnSpPr>
        <xdr:cNvPr id="603" name="Straight Connector 602">
          <a:extLst>
            <a:ext uri="{FF2B5EF4-FFF2-40B4-BE49-F238E27FC236}">
              <a16:creationId xmlns:a16="http://schemas.microsoft.com/office/drawing/2014/main" id="{F422D90C-3CD2-4B8D-B856-7471A5955E32}"/>
            </a:ext>
          </a:extLst>
        </xdr:cNvPr>
        <xdr:cNvCxnSpPr/>
      </xdr:nvCxnSpPr>
      <xdr:spPr>
        <a:xfrm flipV="1">
          <a:off x="6904373" y="337296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82797</xdr:colOff>
      <xdr:row>18</xdr:row>
      <xdr:rowOff>166215</xdr:rowOff>
    </xdr:from>
    <xdr:to>
      <xdr:col>14</xdr:col>
      <xdr:colOff>586744</xdr:colOff>
      <xdr:row>18</xdr:row>
      <xdr:rowOff>167372</xdr:rowOff>
    </xdr:to>
    <xdr:cxnSp macro="">
      <xdr:nvCxnSpPr>
        <xdr:cNvPr id="604" name="Straight Connector 603">
          <a:extLst>
            <a:ext uri="{FF2B5EF4-FFF2-40B4-BE49-F238E27FC236}">
              <a16:creationId xmlns:a16="http://schemas.microsoft.com/office/drawing/2014/main" id="{CCF42E20-80ED-46EF-B404-EE59395C921C}"/>
            </a:ext>
          </a:extLst>
        </xdr:cNvPr>
        <xdr:cNvCxnSpPr/>
      </xdr:nvCxnSpPr>
      <xdr:spPr>
        <a:xfrm flipV="1">
          <a:off x="8121897" y="337296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92941</xdr:colOff>
      <xdr:row>18</xdr:row>
      <xdr:rowOff>166215</xdr:rowOff>
    </xdr:from>
    <xdr:to>
      <xdr:col>16</xdr:col>
      <xdr:colOff>596889</xdr:colOff>
      <xdr:row>18</xdr:row>
      <xdr:rowOff>167372</xdr:rowOff>
    </xdr:to>
    <xdr:cxnSp macro="">
      <xdr:nvCxnSpPr>
        <xdr:cNvPr id="605" name="Straight Connector 604">
          <a:extLst>
            <a:ext uri="{FF2B5EF4-FFF2-40B4-BE49-F238E27FC236}">
              <a16:creationId xmlns:a16="http://schemas.microsoft.com/office/drawing/2014/main" id="{BE27893F-3C12-4A7E-AB8B-993FD3D86D81}"/>
            </a:ext>
          </a:extLst>
        </xdr:cNvPr>
        <xdr:cNvCxnSpPr/>
      </xdr:nvCxnSpPr>
      <xdr:spPr>
        <a:xfrm flipV="1">
          <a:off x="9351241" y="3372965"/>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81638</xdr:colOff>
      <xdr:row>18</xdr:row>
      <xdr:rowOff>166215</xdr:rowOff>
    </xdr:from>
    <xdr:to>
      <xdr:col>18</xdr:col>
      <xdr:colOff>585586</xdr:colOff>
      <xdr:row>18</xdr:row>
      <xdr:rowOff>167372</xdr:rowOff>
    </xdr:to>
    <xdr:cxnSp macro="">
      <xdr:nvCxnSpPr>
        <xdr:cNvPr id="606" name="Straight Connector 605">
          <a:extLst>
            <a:ext uri="{FF2B5EF4-FFF2-40B4-BE49-F238E27FC236}">
              <a16:creationId xmlns:a16="http://schemas.microsoft.com/office/drawing/2014/main" id="{F47FA253-27D4-497F-96DC-C121484A0F60}"/>
            </a:ext>
          </a:extLst>
        </xdr:cNvPr>
        <xdr:cNvCxnSpPr/>
      </xdr:nvCxnSpPr>
      <xdr:spPr>
        <a:xfrm flipV="1">
          <a:off x="10559138" y="3372965"/>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81505</xdr:colOff>
      <xdr:row>18</xdr:row>
      <xdr:rowOff>166215</xdr:rowOff>
    </xdr:from>
    <xdr:to>
      <xdr:col>20</xdr:col>
      <xdr:colOff>585453</xdr:colOff>
      <xdr:row>18</xdr:row>
      <xdr:rowOff>167372</xdr:rowOff>
    </xdr:to>
    <xdr:cxnSp macro="">
      <xdr:nvCxnSpPr>
        <xdr:cNvPr id="607" name="Straight Connector 606">
          <a:extLst>
            <a:ext uri="{FF2B5EF4-FFF2-40B4-BE49-F238E27FC236}">
              <a16:creationId xmlns:a16="http://schemas.microsoft.com/office/drawing/2014/main" id="{1A5A55B6-5BB5-4635-BD2D-6052DF64F6C4}"/>
            </a:ext>
          </a:extLst>
        </xdr:cNvPr>
        <xdr:cNvCxnSpPr/>
      </xdr:nvCxnSpPr>
      <xdr:spPr>
        <a:xfrm flipV="1">
          <a:off x="11778205" y="3372965"/>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96981</xdr:colOff>
      <xdr:row>23</xdr:row>
      <xdr:rowOff>152197</xdr:rowOff>
    </xdr:from>
    <xdr:to>
      <xdr:col>10</xdr:col>
      <xdr:colOff>600928</xdr:colOff>
      <xdr:row>23</xdr:row>
      <xdr:rowOff>153354</xdr:rowOff>
    </xdr:to>
    <xdr:cxnSp macro="">
      <xdr:nvCxnSpPr>
        <xdr:cNvPr id="608" name="Straight Connector 607">
          <a:extLst>
            <a:ext uri="{FF2B5EF4-FFF2-40B4-BE49-F238E27FC236}">
              <a16:creationId xmlns:a16="http://schemas.microsoft.com/office/drawing/2014/main" id="{F2F06C05-CE56-4BE4-9E58-A8FE3399F76F}"/>
            </a:ext>
          </a:extLst>
        </xdr:cNvPr>
        <xdr:cNvCxnSpPr/>
      </xdr:nvCxnSpPr>
      <xdr:spPr>
        <a:xfrm flipV="1">
          <a:off x="5697681" y="414634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99035</xdr:colOff>
      <xdr:row>23</xdr:row>
      <xdr:rowOff>152197</xdr:rowOff>
    </xdr:from>
    <xdr:to>
      <xdr:col>12</xdr:col>
      <xdr:colOff>603858</xdr:colOff>
      <xdr:row>23</xdr:row>
      <xdr:rowOff>153354</xdr:rowOff>
    </xdr:to>
    <xdr:cxnSp macro="">
      <xdr:nvCxnSpPr>
        <xdr:cNvPr id="609" name="Straight Connector 608">
          <a:extLst>
            <a:ext uri="{FF2B5EF4-FFF2-40B4-BE49-F238E27FC236}">
              <a16:creationId xmlns:a16="http://schemas.microsoft.com/office/drawing/2014/main" id="{FF856DD0-1832-439A-8D94-011CFA332798}"/>
            </a:ext>
          </a:extLst>
        </xdr:cNvPr>
        <xdr:cNvCxnSpPr/>
      </xdr:nvCxnSpPr>
      <xdr:spPr>
        <a:xfrm flipV="1">
          <a:off x="6918935" y="4146347"/>
          <a:ext cx="1114423"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97360</xdr:colOff>
      <xdr:row>23</xdr:row>
      <xdr:rowOff>152197</xdr:rowOff>
    </xdr:from>
    <xdr:to>
      <xdr:col>14</xdr:col>
      <xdr:colOff>602182</xdr:colOff>
      <xdr:row>23</xdr:row>
      <xdr:rowOff>153354</xdr:rowOff>
    </xdr:to>
    <xdr:cxnSp macro="">
      <xdr:nvCxnSpPr>
        <xdr:cNvPr id="610" name="Straight Connector 609">
          <a:extLst>
            <a:ext uri="{FF2B5EF4-FFF2-40B4-BE49-F238E27FC236}">
              <a16:creationId xmlns:a16="http://schemas.microsoft.com/office/drawing/2014/main" id="{CD766245-FDB4-4B73-8290-13EC71372FE1}"/>
            </a:ext>
          </a:extLst>
        </xdr:cNvPr>
        <xdr:cNvCxnSpPr/>
      </xdr:nvCxnSpPr>
      <xdr:spPr>
        <a:xfrm flipV="1">
          <a:off x="8136460" y="4146347"/>
          <a:ext cx="1114422"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107963</xdr:colOff>
      <xdr:row>23</xdr:row>
      <xdr:rowOff>152197</xdr:rowOff>
    </xdr:from>
    <xdr:to>
      <xdr:col>17</xdr:col>
      <xdr:colOff>1866</xdr:colOff>
      <xdr:row>23</xdr:row>
      <xdr:rowOff>153354</xdr:rowOff>
    </xdr:to>
    <xdr:cxnSp macro="">
      <xdr:nvCxnSpPr>
        <xdr:cNvPr id="611" name="Straight Connector 610">
          <a:extLst>
            <a:ext uri="{FF2B5EF4-FFF2-40B4-BE49-F238E27FC236}">
              <a16:creationId xmlns:a16="http://schemas.microsoft.com/office/drawing/2014/main" id="{56A08FD0-6082-41A0-8C01-42B5E9D52321}"/>
            </a:ext>
          </a:extLst>
        </xdr:cNvPr>
        <xdr:cNvCxnSpPr/>
      </xdr:nvCxnSpPr>
      <xdr:spPr>
        <a:xfrm flipV="1">
          <a:off x="9366263" y="4146347"/>
          <a:ext cx="1113103"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96661</xdr:colOff>
      <xdr:row>23</xdr:row>
      <xdr:rowOff>152197</xdr:rowOff>
    </xdr:from>
    <xdr:to>
      <xdr:col>18</xdr:col>
      <xdr:colOff>600563</xdr:colOff>
      <xdr:row>23</xdr:row>
      <xdr:rowOff>153354</xdr:rowOff>
    </xdr:to>
    <xdr:cxnSp macro="">
      <xdr:nvCxnSpPr>
        <xdr:cNvPr id="612" name="Straight Connector 611">
          <a:extLst>
            <a:ext uri="{FF2B5EF4-FFF2-40B4-BE49-F238E27FC236}">
              <a16:creationId xmlns:a16="http://schemas.microsoft.com/office/drawing/2014/main" id="{259CB73E-39ED-4453-9999-361C89108777}"/>
            </a:ext>
          </a:extLst>
        </xdr:cNvPr>
        <xdr:cNvCxnSpPr/>
      </xdr:nvCxnSpPr>
      <xdr:spPr>
        <a:xfrm flipV="1">
          <a:off x="10574161" y="4146347"/>
          <a:ext cx="1113502"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81527</xdr:colOff>
      <xdr:row>23</xdr:row>
      <xdr:rowOff>152197</xdr:rowOff>
    </xdr:from>
    <xdr:to>
      <xdr:col>20</xdr:col>
      <xdr:colOff>585430</xdr:colOff>
      <xdr:row>23</xdr:row>
      <xdr:rowOff>153354</xdr:rowOff>
    </xdr:to>
    <xdr:cxnSp macro="">
      <xdr:nvCxnSpPr>
        <xdr:cNvPr id="613" name="Straight Connector 612">
          <a:extLst>
            <a:ext uri="{FF2B5EF4-FFF2-40B4-BE49-F238E27FC236}">
              <a16:creationId xmlns:a16="http://schemas.microsoft.com/office/drawing/2014/main" id="{8234A9EA-958F-41D7-BD73-2D4A4733734C}"/>
            </a:ext>
          </a:extLst>
        </xdr:cNvPr>
        <xdr:cNvCxnSpPr/>
      </xdr:nvCxnSpPr>
      <xdr:spPr>
        <a:xfrm flipV="1">
          <a:off x="11778227" y="4146347"/>
          <a:ext cx="1113503"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81981</xdr:colOff>
      <xdr:row>24</xdr:row>
      <xdr:rowOff>191437</xdr:rowOff>
    </xdr:from>
    <xdr:to>
      <xdr:col>10</xdr:col>
      <xdr:colOff>585928</xdr:colOff>
      <xdr:row>24</xdr:row>
      <xdr:rowOff>192594</xdr:rowOff>
    </xdr:to>
    <xdr:cxnSp macro="">
      <xdr:nvCxnSpPr>
        <xdr:cNvPr id="614" name="Straight Connector 613">
          <a:extLst>
            <a:ext uri="{FF2B5EF4-FFF2-40B4-BE49-F238E27FC236}">
              <a16:creationId xmlns:a16="http://schemas.microsoft.com/office/drawing/2014/main" id="{EB0DFF69-D718-4369-ACE2-B797511A6B5A}"/>
            </a:ext>
          </a:extLst>
        </xdr:cNvPr>
        <xdr:cNvCxnSpPr/>
      </xdr:nvCxnSpPr>
      <xdr:spPr>
        <a:xfrm flipV="1">
          <a:off x="5682681" y="436338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84473</xdr:colOff>
      <xdr:row>24</xdr:row>
      <xdr:rowOff>191437</xdr:rowOff>
    </xdr:from>
    <xdr:to>
      <xdr:col>12</xdr:col>
      <xdr:colOff>588420</xdr:colOff>
      <xdr:row>24</xdr:row>
      <xdr:rowOff>192594</xdr:rowOff>
    </xdr:to>
    <xdr:cxnSp macro="">
      <xdr:nvCxnSpPr>
        <xdr:cNvPr id="615" name="Straight Connector 614">
          <a:extLst>
            <a:ext uri="{FF2B5EF4-FFF2-40B4-BE49-F238E27FC236}">
              <a16:creationId xmlns:a16="http://schemas.microsoft.com/office/drawing/2014/main" id="{6D3B2A85-20D8-4562-B3A0-65D9EAEF8381}"/>
            </a:ext>
          </a:extLst>
        </xdr:cNvPr>
        <xdr:cNvCxnSpPr/>
      </xdr:nvCxnSpPr>
      <xdr:spPr>
        <a:xfrm flipV="1">
          <a:off x="6904373" y="436338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82797</xdr:colOff>
      <xdr:row>24</xdr:row>
      <xdr:rowOff>191437</xdr:rowOff>
    </xdr:from>
    <xdr:to>
      <xdr:col>14</xdr:col>
      <xdr:colOff>586744</xdr:colOff>
      <xdr:row>24</xdr:row>
      <xdr:rowOff>192594</xdr:rowOff>
    </xdr:to>
    <xdr:cxnSp macro="">
      <xdr:nvCxnSpPr>
        <xdr:cNvPr id="616" name="Straight Connector 615">
          <a:extLst>
            <a:ext uri="{FF2B5EF4-FFF2-40B4-BE49-F238E27FC236}">
              <a16:creationId xmlns:a16="http://schemas.microsoft.com/office/drawing/2014/main" id="{1A3ED76B-5568-4341-A553-1E2D59D246AB}"/>
            </a:ext>
          </a:extLst>
        </xdr:cNvPr>
        <xdr:cNvCxnSpPr/>
      </xdr:nvCxnSpPr>
      <xdr:spPr>
        <a:xfrm flipV="1">
          <a:off x="8121897" y="436338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92941</xdr:colOff>
      <xdr:row>24</xdr:row>
      <xdr:rowOff>191437</xdr:rowOff>
    </xdr:from>
    <xdr:to>
      <xdr:col>16</xdr:col>
      <xdr:colOff>596889</xdr:colOff>
      <xdr:row>24</xdr:row>
      <xdr:rowOff>192594</xdr:rowOff>
    </xdr:to>
    <xdr:cxnSp macro="">
      <xdr:nvCxnSpPr>
        <xdr:cNvPr id="617" name="Straight Connector 616">
          <a:extLst>
            <a:ext uri="{FF2B5EF4-FFF2-40B4-BE49-F238E27FC236}">
              <a16:creationId xmlns:a16="http://schemas.microsoft.com/office/drawing/2014/main" id="{3215A876-1B77-4DF2-B9A0-5D610A78D545}"/>
            </a:ext>
          </a:extLst>
        </xdr:cNvPr>
        <xdr:cNvCxnSpPr/>
      </xdr:nvCxnSpPr>
      <xdr:spPr>
        <a:xfrm flipV="1">
          <a:off x="9351241" y="4363387"/>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81638</xdr:colOff>
      <xdr:row>24</xdr:row>
      <xdr:rowOff>191437</xdr:rowOff>
    </xdr:from>
    <xdr:to>
      <xdr:col>18</xdr:col>
      <xdr:colOff>585586</xdr:colOff>
      <xdr:row>24</xdr:row>
      <xdr:rowOff>192594</xdr:rowOff>
    </xdr:to>
    <xdr:cxnSp macro="">
      <xdr:nvCxnSpPr>
        <xdr:cNvPr id="618" name="Straight Connector 617">
          <a:extLst>
            <a:ext uri="{FF2B5EF4-FFF2-40B4-BE49-F238E27FC236}">
              <a16:creationId xmlns:a16="http://schemas.microsoft.com/office/drawing/2014/main" id="{0A7082EE-5F27-4674-8ADE-896E4970EA9B}"/>
            </a:ext>
          </a:extLst>
        </xdr:cNvPr>
        <xdr:cNvCxnSpPr/>
      </xdr:nvCxnSpPr>
      <xdr:spPr>
        <a:xfrm flipV="1">
          <a:off x="10559138" y="4363387"/>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81505</xdr:colOff>
      <xdr:row>24</xdr:row>
      <xdr:rowOff>191437</xdr:rowOff>
    </xdr:from>
    <xdr:to>
      <xdr:col>20</xdr:col>
      <xdr:colOff>585453</xdr:colOff>
      <xdr:row>24</xdr:row>
      <xdr:rowOff>192594</xdr:rowOff>
    </xdr:to>
    <xdr:cxnSp macro="">
      <xdr:nvCxnSpPr>
        <xdr:cNvPr id="619" name="Straight Connector 618">
          <a:extLst>
            <a:ext uri="{FF2B5EF4-FFF2-40B4-BE49-F238E27FC236}">
              <a16:creationId xmlns:a16="http://schemas.microsoft.com/office/drawing/2014/main" id="{93F0DB9B-5394-4D0B-8683-21138919802D}"/>
            </a:ext>
          </a:extLst>
        </xdr:cNvPr>
        <xdr:cNvCxnSpPr/>
      </xdr:nvCxnSpPr>
      <xdr:spPr>
        <a:xfrm flipV="1">
          <a:off x="11778205" y="4363387"/>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81981</xdr:colOff>
      <xdr:row>25</xdr:row>
      <xdr:rowOff>5545</xdr:rowOff>
    </xdr:from>
    <xdr:to>
      <xdr:col>10</xdr:col>
      <xdr:colOff>585928</xdr:colOff>
      <xdr:row>25</xdr:row>
      <xdr:rowOff>6702</xdr:rowOff>
    </xdr:to>
    <xdr:cxnSp macro="">
      <xdr:nvCxnSpPr>
        <xdr:cNvPr id="620" name="Straight Connector 619">
          <a:extLst>
            <a:ext uri="{FF2B5EF4-FFF2-40B4-BE49-F238E27FC236}">
              <a16:creationId xmlns:a16="http://schemas.microsoft.com/office/drawing/2014/main" id="{A23D6534-7F25-48CD-9752-CB318EDDB0BD}"/>
            </a:ext>
          </a:extLst>
        </xdr:cNvPr>
        <xdr:cNvCxnSpPr/>
      </xdr:nvCxnSpPr>
      <xdr:spPr>
        <a:xfrm flipV="1">
          <a:off x="5682681" y="436799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84473</xdr:colOff>
      <xdr:row>25</xdr:row>
      <xdr:rowOff>5545</xdr:rowOff>
    </xdr:from>
    <xdr:to>
      <xdr:col>12</xdr:col>
      <xdr:colOff>588420</xdr:colOff>
      <xdr:row>25</xdr:row>
      <xdr:rowOff>6702</xdr:rowOff>
    </xdr:to>
    <xdr:cxnSp macro="">
      <xdr:nvCxnSpPr>
        <xdr:cNvPr id="621" name="Straight Connector 620">
          <a:extLst>
            <a:ext uri="{FF2B5EF4-FFF2-40B4-BE49-F238E27FC236}">
              <a16:creationId xmlns:a16="http://schemas.microsoft.com/office/drawing/2014/main" id="{759341F2-0E2F-43BB-A705-3779BD925A60}"/>
            </a:ext>
          </a:extLst>
        </xdr:cNvPr>
        <xdr:cNvCxnSpPr/>
      </xdr:nvCxnSpPr>
      <xdr:spPr>
        <a:xfrm flipV="1">
          <a:off x="6904373" y="436799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82797</xdr:colOff>
      <xdr:row>25</xdr:row>
      <xdr:rowOff>5545</xdr:rowOff>
    </xdr:from>
    <xdr:to>
      <xdr:col>14</xdr:col>
      <xdr:colOff>586744</xdr:colOff>
      <xdr:row>25</xdr:row>
      <xdr:rowOff>6702</xdr:rowOff>
    </xdr:to>
    <xdr:cxnSp macro="">
      <xdr:nvCxnSpPr>
        <xdr:cNvPr id="622" name="Straight Connector 621">
          <a:extLst>
            <a:ext uri="{FF2B5EF4-FFF2-40B4-BE49-F238E27FC236}">
              <a16:creationId xmlns:a16="http://schemas.microsoft.com/office/drawing/2014/main" id="{B881503A-3737-4B0F-8C4B-496A26341900}"/>
            </a:ext>
          </a:extLst>
        </xdr:cNvPr>
        <xdr:cNvCxnSpPr/>
      </xdr:nvCxnSpPr>
      <xdr:spPr>
        <a:xfrm flipV="1">
          <a:off x="8121897" y="436799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92941</xdr:colOff>
      <xdr:row>25</xdr:row>
      <xdr:rowOff>5545</xdr:rowOff>
    </xdr:from>
    <xdr:to>
      <xdr:col>16</xdr:col>
      <xdr:colOff>596889</xdr:colOff>
      <xdr:row>25</xdr:row>
      <xdr:rowOff>6702</xdr:rowOff>
    </xdr:to>
    <xdr:cxnSp macro="">
      <xdr:nvCxnSpPr>
        <xdr:cNvPr id="623" name="Straight Connector 622">
          <a:extLst>
            <a:ext uri="{FF2B5EF4-FFF2-40B4-BE49-F238E27FC236}">
              <a16:creationId xmlns:a16="http://schemas.microsoft.com/office/drawing/2014/main" id="{8DDD422D-AD68-4AED-AB94-0F08F66F2B2B}"/>
            </a:ext>
          </a:extLst>
        </xdr:cNvPr>
        <xdr:cNvCxnSpPr/>
      </xdr:nvCxnSpPr>
      <xdr:spPr>
        <a:xfrm flipV="1">
          <a:off x="9351241" y="4367995"/>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81638</xdr:colOff>
      <xdr:row>25</xdr:row>
      <xdr:rowOff>5545</xdr:rowOff>
    </xdr:from>
    <xdr:to>
      <xdr:col>18</xdr:col>
      <xdr:colOff>585586</xdr:colOff>
      <xdr:row>25</xdr:row>
      <xdr:rowOff>6702</xdr:rowOff>
    </xdr:to>
    <xdr:cxnSp macro="">
      <xdr:nvCxnSpPr>
        <xdr:cNvPr id="624" name="Straight Connector 623">
          <a:extLst>
            <a:ext uri="{FF2B5EF4-FFF2-40B4-BE49-F238E27FC236}">
              <a16:creationId xmlns:a16="http://schemas.microsoft.com/office/drawing/2014/main" id="{FAD26289-734E-474A-850A-39F90C897167}"/>
            </a:ext>
          </a:extLst>
        </xdr:cNvPr>
        <xdr:cNvCxnSpPr/>
      </xdr:nvCxnSpPr>
      <xdr:spPr>
        <a:xfrm flipV="1">
          <a:off x="10559138" y="4367995"/>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81505</xdr:colOff>
      <xdr:row>25</xdr:row>
      <xdr:rowOff>5545</xdr:rowOff>
    </xdr:from>
    <xdr:to>
      <xdr:col>20</xdr:col>
      <xdr:colOff>585453</xdr:colOff>
      <xdr:row>25</xdr:row>
      <xdr:rowOff>6702</xdr:rowOff>
    </xdr:to>
    <xdr:cxnSp macro="">
      <xdr:nvCxnSpPr>
        <xdr:cNvPr id="625" name="Straight Connector 624">
          <a:extLst>
            <a:ext uri="{FF2B5EF4-FFF2-40B4-BE49-F238E27FC236}">
              <a16:creationId xmlns:a16="http://schemas.microsoft.com/office/drawing/2014/main" id="{C123E3EB-7855-481A-9BFF-073B09555C67}"/>
            </a:ext>
          </a:extLst>
        </xdr:cNvPr>
        <xdr:cNvCxnSpPr/>
      </xdr:nvCxnSpPr>
      <xdr:spPr>
        <a:xfrm flipV="1">
          <a:off x="11778205" y="4367995"/>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66609</xdr:colOff>
      <xdr:row>10</xdr:row>
      <xdr:rowOff>179312</xdr:rowOff>
    </xdr:from>
    <xdr:to>
      <xdr:col>14</xdr:col>
      <xdr:colOff>581713</xdr:colOff>
      <xdr:row>10</xdr:row>
      <xdr:rowOff>179312</xdr:rowOff>
    </xdr:to>
    <xdr:cxnSp macro="">
      <xdr:nvCxnSpPr>
        <xdr:cNvPr id="626" name="Straight Connector 625">
          <a:extLst>
            <a:ext uri="{FF2B5EF4-FFF2-40B4-BE49-F238E27FC236}">
              <a16:creationId xmlns:a16="http://schemas.microsoft.com/office/drawing/2014/main" id="{DF3D8768-CDD1-4FD3-8C1A-852AA98E3ABA}"/>
            </a:ext>
          </a:extLst>
        </xdr:cNvPr>
        <xdr:cNvCxnSpPr/>
      </xdr:nvCxnSpPr>
      <xdr:spPr>
        <a:xfrm>
          <a:off x="5667309" y="1906512"/>
          <a:ext cx="3563104"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9641</xdr:colOff>
      <xdr:row>31</xdr:row>
      <xdr:rowOff>163361</xdr:rowOff>
    </xdr:from>
    <xdr:to>
      <xdr:col>21</xdr:col>
      <xdr:colOff>41413</xdr:colOff>
      <xdr:row>31</xdr:row>
      <xdr:rowOff>163361</xdr:rowOff>
    </xdr:to>
    <xdr:cxnSp macro="">
      <xdr:nvCxnSpPr>
        <xdr:cNvPr id="627" name="Straight Connector 626">
          <a:extLst>
            <a:ext uri="{FF2B5EF4-FFF2-40B4-BE49-F238E27FC236}">
              <a16:creationId xmlns:a16="http://schemas.microsoft.com/office/drawing/2014/main" id="{102E55EC-CABB-448F-8E32-C879ABD009CA}"/>
            </a:ext>
          </a:extLst>
        </xdr:cNvPr>
        <xdr:cNvCxnSpPr/>
      </xdr:nvCxnSpPr>
      <xdr:spPr>
        <a:xfrm>
          <a:off x="3781541" y="5637061"/>
          <a:ext cx="9175772" cy="0"/>
        </a:xfrm>
        <a:prstGeom prst="line">
          <a:avLst/>
        </a:prstGeom>
        <a:ln w="12700">
          <a:solidFill>
            <a:schemeClr val="bg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76881</xdr:colOff>
      <xdr:row>33</xdr:row>
      <xdr:rowOff>162327</xdr:rowOff>
    </xdr:from>
    <xdr:to>
      <xdr:col>10</xdr:col>
      <xdr:colOff>580828</xdr:colOff>
      <xdr:row>33</xdr:row>
      <xdr:rowOff>163484</xdr:rowOff>
    </xdr:to>
    <xdr:cxnSp macro="">
      <xdr:nvCxnSpPr>
        <xdr:cNvPr id="628" name="Straight Connector 627">
          <a:extLst>
            <a:ext uri="{FF2B5EF4-FFF2-40B4-BE49-F238E27FC236}">
              <a16:creationId xmlns:a16="http://schemas.microsoft.com/office/drawing/2014/main" id="{3206D0B0-9E18-4E83-B661-9CC2FA647A55}"/>
            </a:ext>
          </a:extLst>
        </xdr:cNvPr>
        <xdr:cNvCxnSpPr/>
      </xdr:nvCxnSpPr>
      <xdr:spPr>
        <a:xfrm flipV="1">
          <a:off x="5677581" y="601067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78935</xdr:colOff>
      <xdr:row>33</xdr:row>
      <xdr:rowOff>162327</xdr:rowOff>
    </xdr:from>
    <xdr:to>
      <xdr:col>12</xdr:col>
      <xdr:colOff>583758</xdr:colOff>
      <xdr:row>33</xdr:row>
      <xdr:rowOff>163484</xdr:rowOff>
    </xdr:to>
    <xdr:cxnSp macro="">
      <xdr:nvCxnSpPr>
        <xdr:cNvPr id="629" name="Straight Connector 628">
          <a:extLst>
            <a:ext uri="{FF2B5EF4-FFF2-40B4-BE49-F238E27FC236}">
              <a16:creationId xmlns:a16="http://schemas.microsoft.com/office/drawing/2014/main" id="{566DD4F0-520C-4C54-9A42-FE0D26B1C396}"/>
            </a:ext>
          </a:extLst>
        </xdr:cNvPr>
        <xdr:cNvCxnSpPr/>
      </xdr:nvCxnSpPr>
      <xdr:spPr>
        <a:xfrm flipV="1">
          <a:off x="6898835" y="6010677"/>
          <a:ext cx="1114423"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77260</xdr:colOff>
      <xdr:row>33</xdr:row>
      <xdr:rowOff>162327</xdr:rowOff>
    </xdr:from>
    <xdr:to>
      <xdr:col>14</xdr:col>
      <xdr:colOff>582082</xdr:colOff>
      <xdr:row>33</xdr:row>
      <xdr:rowOff>163484</xdr:rowOff>
    </xdr:to>
    <xdr:cxnSp macro="">
      <xdr:nvCxnSpPr>
        <xdr:cNvPr id="630" name="Straight Connector 629">
          <a:extLst>
            <a:ext uri="{FF2B5EF4-FFF2-40B4-BE49-F238E27FC236}">
              <a16:creationId xmlns:a16="http://schemas.microsoft.com/office/drawing/2014/main" id="{73AF1FA3-8D81-4C5A-9248-4C837151D523}"/>
            </a:ext>
          </a:extLst>
        </xdr:cNvPr>
        <xdr:cNvCxnSpPr/>
      </xdr:nvCxnSpPr>
      <xdr:spPr>
        <a:xfrm flipV="1">
          <a:off x="8116360" y="6010677"/>
          <a:ext cx="1114422"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87863</xdr:colOff>
      <xdr:row>33</xdr:row>
      <xdr:rowOff>162327</xdr:rowOff>
    </xdr:from>
    <xdr:to>
      <xdr:col>16</xdr:col>
      <xdr:colOff>591766</xdr:colOff>
      <xdr:row>33</xdr:row>
      <xdr:rowOff>163484</xdr:rowOff>
    </xdr:to>
    <xdr:cxnSp macro="">
      <xdr:nvCxnSpPr>
        <xdr:cNvPr id="631" name="Straight Connector 630">
          <a:extLst>
            <a:ext uri="{FF2B5EF4-FFF2-40B4-BE49-F238E27FC236}">
              <a16:creationId xmlns:a16="http://schemas.microsoft.com/office/drawing/2014/main" id="{9AF267DC-A7F7-4596-AC09-CE287317D13E}"/>
            </a:ext>
          </a:extLst>
        </xdr:cNvPr>
        <xdr:cNvCxnSpPr/>
      </xdr:nvCxnSpPr>
      <xdr:spPr>
        <a:xfrm flipV="1">
          <a:off x="9346163" y="6010677"/>
          <a:ext cx="1113503"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76561</xdr:colOff>
      <xdr:row>33</xdr:row>
      <xdr:rowOff>162327</xdr:rowOff>
    </xdr:from>
    <xdr:to>
      <xdr:col>18</xdr:col>
      <xdr:colOff>580463</xdr:colOff>
      <xdr:row>33</xdr:row>
      <xdr:rowOff>163484</xdr:rowOff>
    </xdr:to>
    <xdr:cxnSp macro="">
      <xdr:nvCxnSpPr>
        <xdr:cNvPr id="632" name="Straight Connector 631">
          <a:extLst>
            <a:ext uri="{FF2B5EF4-FFF2-40B4-BE49-F238E27FC236}">
              <a16:creationId xmlns:a16="http://schemas.microsoft.com/office/drawing/2014/main" id="{D0BEC9B3-5179-4C08-838D-6920A85AFB6C}"/>
            </a:ext>
          </a:extLst>
        </xdr:cNvPr>
        <xdr:cNvCxnSpPr/>
      </xdr:nvCxnSpPr>
      <xdr:spPr>
        <a:xfrm flipV="1">
          <a:off x="10554061" y="6010677"/>
          <a:ext cx="1113502"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61427</xdr:colOff>
      <xdr:row>33</xdr:row>
      <xdr:rowOff>162327</xdr:rowOff>
    </xdr:from>
    <xdr:to>
      <xdr:col>20</xdr:col>
      <xdr:colOff>565330</xdr:colOff>
      <xdr:row>33</xdr:row>
      <xdr:rowOff>163484</xdr:rowOff>
    </xdr:to>
    <xdr:cxnSp macro="">
      <xdr:nvCxnSpPr>
        <xdr:cNvPr id="633" name="Straight Connector 632">
          <a:extLst>
            <a:ext uri="{FF2B5EF4-FFF2-40B4-BE49-F238E27FC236}">
              <a16:creationId xmlns:a16="http://schemas.microsoft.com/office/drawing/2014/main" id="{1B972758-32D1-4B7D-A644-BC63304A04DE}"/>
            </a:ext>
          </a:extLst>
        </xdr:cNvPr>
        <xdr:cNvCxnSpPr/>
      </xdr:nvCxnSpPr>
      <xdr:spPr>
        <a:xfrm flipV="1">
          <a:off x="11758127" y="6010677"/>
          <a:ext cx="1113503"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76881</xdr:colOff>
      <xdr:row>40</xdr:row>
      <xdr:rowOff>159727</xdr:rowOff>
    </xdr:from>
    <xdr:to>
      <xdr:col>10</xdr:col>
      <xdr:colOff>580828</xdr:colOff>
      <xdr:row>40</xdr:row>
      <xdr:rowOff>160884</xdr:rowOff>
    </xdr:to>
    <xdr:cxnSp macro="">
      <xdr:nvCxnSpPr>
        <xdr:cNvPr id="634" name="Straight Connector 633">
          <a:extLst>
            <a:ext uri="{FF2B5EF4-FFF2-40B4-BE49-F238E27FC236}">
              <a16:creationId xmlns:a16="http://schemas.microsoft.com/office/drawing/2014/main" id="{5E02B637-01B0-4F26-9005-0BD99B94AB5F}"/>
            </a:ext>
          </a:extLst>
        </xdr:cNvPr>
        <xdr:cNvCxnSpPr/>
      </xdr:nvCxnSpPr>
      <xdr:spPr>
        <a:xfrm flipV="1">
          <a:off x="5677581" y="715742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78935</xdr:colOff>
      <xdr:row>40</xdr:row>
      <xdr:rowOff>159727</xdr:rowOff>
    </xdr:from>
    <xdr:to>
      <xdr:col>12</xdr:col>
      <xdr:colOff>583758</xdr:colOff>
      <xdr:row>40</xdr:row>
      <xdr:rowOff>160884</xdr:rowOff>
    </xdr:to>
    <xdr:cxnSp macro="">
      <xdr:nvCxnSpPr>
        <xdr:cNvPr id="635" name="Straight Connector 634">
          <a:extLst>
            <a:ext uri="{FF2B5EF4-FFF2-40B4-BE49-F238E27FC236}">
              <a16:creationId xmlns:a16="http://schemas.microsoft.com/office/drawing/2014/main" id="{09449A9A-C981-4A44-8A73-46EB99A697EC}"/>
            </a:ext>
          </a:extLst>
        </xdr:cNvPr>
        <xdr:cNvCxnSpPr/>
      </xdr:nvCxnSpPr>
      <xdr:spPr>
        <a:xfrm flipV="1">
          <a:off x="6898835" y="7157427"/>
          <a:ext cx="1114423"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77260</xdr:colOff>
      <xdr:row>40</xdr:row>
      <xdr:rowOff>159727</xdr:rowOff>
    </xdr:from>
    <xdr:to>
      <xdr:col>14</xdr:col>
      <xdr:colOff>582082</xdr:colOff>
      <xdr:row>40</xdr:row>
      <xdr:rowOff>160884</xdr:rowOff>
    </xdr:to>
    <xdr:cxnSp macro="">
      <xdr:nvCxnSpPr>
        <xdr:cNvPr id="636" name="Straight Connector 635">
          <a:extLst>
            <a:ext uri="{FF2B5EF4-FFF2-40B4-BE49-F238E27FC236}">
              <a16:creationId xmlns:a16="http://schemas.microsoft.com/office/drawing/2014/main" id="{0F6ADAEA-9A80-47E7-99C6-0756EC99333B}"/>
            </a:ext>
          </a:extLst>
        </xdr:cNvPr>
        <xdr:cNvCxnSpPr/>
      </xdr:nvCxnSpPr>
      <xdr:spPr>
        <a:xfrm flipV="1">
          <a:off x="8116360" y="7157427"/>
          <a:ext cx="1114422"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87863</xdr:colOff>
      <xdr:row>40</xdr:row>
      <xdr:rowOff>159727</xdr:rowOff>
    </xdr:from>
    <xdr:to>
      <xdr:col>16</xdr:col>
      <xdr:colOff>591766</xdr:colOff>
      <xdr:row>40</xdr:row>
      <xdr:rowOff>160884</xdr:rowOff>
    </xdr:to>
    <xdr:cxnSp macro="">
      <xdr:nvCxnSpPr>
        <xdr:cNvPr id="637" name="Straight Connector 636">
          <a:extLst>
            <a:ext uri="{FF2B5EF4-FFF2-40B4-BE49-F238E27FC236}">
              <a16:creationId xmlns:a16="http://schemas.microsoft.com/office/drawing/2014/main" id="{46C620F8-7618-461E-AA4A-25DC3470944A}"/>
            </a:ext>
          </a:extLst>
        </xdr:cNvPr>
        <xdr:cNvCxnSpPr/>
      </xdr:nvCxnSpPr>
      <xdr:spPr>
        <a:xfrm flipV="1">
          <a:off x="9346163" y="7157427"/>
          <a:ext cx="1113503"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76561</xdr:colOff>
      <xdr:row>40</xdr:row>
      <xdr:rowOff>159727</xdr:rowOff>
    </xdr:from>
    <xdr:to>
      <xdr:col>18</xdr:col>
      <xdr:colOff>580463</xdr:colOff>
      <xdr:row>40</xdr:row>
      <xdr:rowOff>160884</xdr:rowOff>
    </xdr:to>
    <xdr:cxnSp macro="">
      <xdr:nvCxnSpPr>
        <xdr:cNvPr id="638" name="Straight Connector 637">
          <a:extLst>
            <a:ext uri="{FF2B5EF4-FFF2-40B4-BE49-F238E27FC236}">
              <a16:creationId xmlns:a16="http://schemas.microsoft.com/office/drawing/2014/main" id="{7504B755-835C-4056-ADF1-5CA8A9D43CE1}"/>
            </a:ext>
          </a:extLst>
        </xdr:cNvPr>
        <xdr:cNvCxnSpPr/>
      </xdr:nvCxnSpPr>
      <xdr:spPr>
        <a:xfrm flipV="1">
          <a:off x="10554061" y="7157427"/>
          <a:ext cx="1113502"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61427</xdr:colOff>
      <xdr:row>40</xdr:row>
      <xdr:rowOff>159727</xdr:rowOff>
    </xdr:from>
    <xdr:to>
      <xdr:col>20</xdr:col>
      <xdr:colOff>565330</xdr:colOff>
      <xdr:row>40</xdr:row>
      <xdr:rowOff>160884</xdr:rowOff>
    </xdr:to>
    <xdr:cxnSp macro="">
      <xdr:nvCxnSpPr>
        <xdr:cNvPr id="639" name="Straight Connector 638">
          <a:extLst>
            <a:ext uri="{FF2B5EF4-FFF2-40B4-BE49-F238E27FC236}">
              <a16:creationId xmlns:a16="http://schemas.microsoft.com/office/drawing/2014/main" id="{E1E1CFAD-2C73-4E62-A08F-4ABB4BDBC16E}"/>
            </a:ext>
          </a:extLst>
        </xdr:cNvPr>
        <xdr:cNvCxnSpPr/>
      </xdr:nvCxnSpPr>
      <xdr:spPr>
        <a:xfrm flipV="1">
          <a:off x="11758127" y="7157427"/>
          <a:ext cx="1113503"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58081</xdr:colOff>
      <xdr:row>44</xdr:row>
      <xdr:rowOff>162046</xdr:rowOff>
    </xdr:from>
    <xdr:to>
      <xdr:col>10</xdr:col>
      <xdr:colOff>562028</xdr:colOff>
      <xdr:row>44</xdr:row>
      <xdr:rowOff>163364</xdr:rowOff>
    </xdr:to>
    <xdr:cxnSp macro="">
      <xdr:nvCxnSpPr>
        <xdr:cNvPr id="640" name="Straight Connector 639">
          <a:extLst>
            <a:ext uri="{FF2B5EF4-FFF2-40B4-BE49-F238E27FC236}">
              <a16:creationId xmlns:a16="http://schemas.microsoft.com/office/drawing/2014/main" id="{8A26E9B1-5A36-4FB6-B10C-BF31C6F896B8}"/>
            </a:ext>
          </a:extLst>
        </xdr:cNvPr>
        <xdr:cNvCxnSpPr/>
      </xdr:nvCxnSpPr>
      <xdr:spPr>
        <a:xfrm flipV="1">
          <a:off x="5658781" y="78963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60135</xdr:colOff>
      <xdr:row>44</xdr:row>
      <xdr:rowOff>162046</xdr:rowOff>
    </xdr:from>
    <xdr:to>
      <xdr:col>12</xdr:col>
      <xdr:colOff>564958</xdr:colOff>
      <xdr:row>44</xdr:row>
      <xdr:rowOff>163364</xdr:rowOff>
    </xdr:to>
    <xdr:cxnSp macro="">
      <xdr:nvCxnSpPr>
        <xdr:cNvPr id="641" name="Straight Connector 640">
          <a:extLst>
            <a:ext uri="{FF2B5EF4-FFF2-40B4-BE49-F238E27FC236}">
              <a16:creationId xmlns:a16="http://schemas.microsoft.com/office/drawing/2014/main" id="{ACB37D56-E004-4C48-BA38-7793F9E36F9A}"/>
            </a:ext>
          </a:extLst>
        </xdr:cNvPr>
        <xdr:cNvCxnSpPr/>
      </xdr:nvCxnSpPr>
      <xdr:spPr>
        <a:xfrm flipV="1">
          <a:off x="6880035" y="7896346"/>
          <a:ext cx="1114423"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58460</xdr:colOff>
      <xdr:row>44</xdr:row>
      <xdr:rowOff>162046</xdr:rowOff>
    </xdr:from>
    <xdr:to>
      <xdr:col>14</xdr:col>
      <xdr:colOff>563282</xdr:colOff>
      <xdr:row>44</xdr:row>
      <xdr:rowOff>163364</xdr:rowOff>
    </xdr:to>
    <xdr:cxnSp macro="">
      <xdr:nvCxnSpPr>
        <xdr:cNvPr id="642" name="Straight Connector 641">
          <a:extLst>
            <a:ext uri="{FF2B5EF4-FFF2-40B4-BE49-F238E27FC236}">
              <a16:creationId xmlns:a16="http://schemas.microsoft.com/office/drawing/2014/main" id="{17E9545C-70DB-439E-A6C5-962B80BF385F}"/>
            </a:ext>
          </a:extLst>
        </xdr:cNvPr>
        <xdr:cNvCxnSpPr/>
      </xdr:nvCxnSpPr>
      <xdr:spPr>
        <a:xfrm flipV="1">
          <a:off x="8097560" y="7896346"/>
          <a:ext cx="1114422"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69063</xdr:colOff>
      <xdr:row>44</xdr:row>
      <xdr:rowOff>162046</xdr:rowOff>
    </xdr:from>
    <xdr:to>
      <xdr:col>16</xdr:col>
      <xdr:colOff>572966</xdr:colOff>
      <xdr:row>44</xdr:row>
      <xdr:rowOff>163364</xdr:rowOff>
    </xdr:to>
    <xdr:cxnSp macro="">
      <xdr:nvCxnSpPr>
        <xdr:cNvPr id="643" name="Straight Connector 642">
          <a:extLst>
            <a:ext uri="{FF2B5EF4-FFF2-40B4-BE49-F238E27FC236}">
              <a16:creationId xmlns:a16="http://schemas.microsoft.com/office/drawing/2014/main" id="{4099AE73-5D6B-4200-8383-D2A8F8EDEE39}"/>
            </a:ext>
          </a:extLst>
        </xdr:cNvPr>
        <xdr:cNvCxnSpPr/>
      </xdr:nvCxnSpPr>
      <xdr:spPr>
        <a:xfrm flipV="1">
          <a:off x="9327363" y="7896346"/>
          <a:ext cx="1113503"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57761</xdr:colOff>
      <xdr:row>44</xdr:row>
      <xdr:rowOff>162046</xdr:rowOff>
    </xdr:from>
    <xdr:to>
      <xdr:col>18</xdr:col>
      <xdr:colOff>561663</xdr:colOff>
      <xdr:row>44</xdr:row>
      <xdr:rowOff>163364</xdr:rowOff>
    </xdr:to>
    <xdr:cxnSp macro="">
      <xdr:nvCxnSpPr>
        <xdr:cNvPr id="644" name="Straight Connector 643">
          <a:extLst>
            <a:ext uri="{FF2B5EF4-FFF2-40B4-BE49-F238E27FC236}">
              <a16:creationId xmlns:a16="http://schemas.microsoft.com/office/drawing/2014/main" id="{FC83F9AC-CE39-408A-856C-80F59D7E6CC7}"/>
            </a:ext>
          </a:extLst>
        </xdr:cNvPr>
        <xdr:cNvCxnSpPr/>
      </xdr:nvCxnSpPr>
      <xdr:spPr>
        <a:xfrm flipV="1">
          <a:off x="10535261" y="7896346"/>
          <a:ext cx="1113502"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42627</xdr:colOff>
      <xdr:row>44</xdr:row>
      <xdr:rowOff>162046</xdr:rowOff>
    </xdr:from>
    <xdr:to>
      <xdr:col>20</xdr:col>
      <xdr:colOff>546530</xdr:colOff>
      <xdr:row>44</xdr:row>
      <xdr:rowOff>163364</xdr:rowOff>
    </xdr:to>
    <xdr:cxnSp macro="">
      <xdr:nvCxnSpPr>
        <xdr:cNvPr id="645" name="Straight Connector 644">
          <a:extLst>
            <a:ext uri="{FF2B5EF4-FFF2-40B4-BE49-F238E27FC236}">
              <a16:creationId xmlns:a16="http://schemas.microsoft.com/office/drawing/2014/main" id="{DB8D00D9-729B-4D2D-8694-F069357E9D8D}"/>
            </a:ext>
          </a:extLst>
        </xdr:cNvPr>
        <xdr:cNvCxnSpPr/>
      </xdr:nvCxnSpPr>
      <xdr:spPr>
        <a:xfrm flipV="1">
          <a:off x="11739327" y="7896346"/>
          <a:ext cx="1113503"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58081</xdr:colOff>
      <xdr:row>53</xdr:row>
      <xdr:rowOff>159446</xdr:rowOff>
    </xdr:from>
    <xdr:to>
      <xdr:col>10</xdr:col>
      <xdr:colOff>562028</xdr:colOff>
      <xdr:row>53</xdr:row>
      <xdr:rowOff>160764</xdr:rowOff>
    </xdr:to>
    <xdr:cxnSp macro="">
      <xdr:nvCxnSpPr>
        <xdr:cNvPr id="646" name="Straight Connector 645">
          <a:extLst>
            <a:ext uri="{FF2B5EF4-FFF2-40B4-BE49-F238E27FC236}">
              <a16:creationId xmlns:a16="http://schemas.microsoft.com/office/drawing/2014/main" id="{43810AA6-31C8-4AF5-B5DF-7174EA41F937}"/>
            </a:ext>
          </a:extLst>
        </xdr:cNvPr>
        <xdr:cNvCxnSpPr/>
      </xdr:nvCxnSpPr>
      <xdr:spPr>
        <a:xfrm flipV="1">
          <a:off x="5658781" y="93986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60135</xdr:colOff>
      <xdr:row>53</xdr:row>
      <xdr:rowOff>159446</xdr:rowOff>
    </xdr:from>
    <xdr:to>
      <xdr:col>12</xdr:col>
      <xdr:colOff>564958</xdr:colOff>
      <xdr:row>53</xdr:row>
      <xdr:rowOff>160764</xdr:rowOff>
    </xdr:to>
    <xdr:cxnSp macro="">
      <xdr:nvCxnSpPr>
        <xdr:cNvPr id="647" name="Straight Connector 646">
          <a:extLst>
            <a:ext uri="{FF2B5EF4-FFF2-40B4-BE49-F238E27FC236}">
              <a16:creationId xmlns:a16="http://schemas.microsoft.com/office/drawing/2014/main" id="{0FBD71BB-848A-4C96-BCB8-7D71632A10EA}"/>
            </a:ext>
          </a:extLst>
        </xdr:cNvPr>
        <xdr:cNvCxnSpPr/>
      </xdr:nvCxnSpPr>
      <xdr:spPr>
        <a:xfrm flipV="1">
          <a:off x="6880035" y="9398696"/>
          <a:ext cx="1114423"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58460</xdr:colOff>
      <xdr:row>53</xdr:row>
      <xdr:rowOff>159446</xdr:rowOff>
    </xdr:from>
    <xdr:to>
      <xdr:col>14</xdr:col>
      <xdr:colOff>563282</xdr:colOff>
      <xdr:row>53</xdr:row>
      <xdr:rowOff>160764</xdr:rowOff>
    </xdr:to>
    <xdr:cxnSp macro="">
      <xdr:nvCxnSpPr>
        <xdr:cNvPr id="648" name="Straight Connector 647">
          <a:extLst>
            <a:ext uri="{FF2B5EF4-FFF2-40B4-BE49-F238E27FC236}">
              <a16:creationId xmlns:a16="http://schemas.microsoft.com/office/drawing/2014/main" id="{BE52625E-5705-4002-BF15-C412248731AC}"/>
            </a:ext>
          </a:extLst>
        </xdr:cNvPr>
        <xdr:cNvCxnSpPr/>
      </xdr:nvCxnSpPr>
      <xdr:spPr>
        <a:xfrm flipV="1">
          <a:off x="8097560" y="9398696"/>
          <a:ext cx="1114422"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69063</xdr:colOff>
      <xdr:row>53</xdr:row>
      <xdr:rowOff>159446</xdr:rowOff>
    </xdr:from>
    <xdr:to>
      <xdr:col>16</xdr:col>
      <xdr:colOff>572966</xdr:colOff>
      <xdr:row>53</xdr:row>
      <xdr:rowOff>160764</xdr:rowOff>
    </xdr:to>
    <xdr:cxnSp macro="">
      <xdr:nvCxnSpPr>
        <xdr:cNvPr id="649" name="Straight Connector 648">
          <a:extLst>
            <a:ext uri="{FF2B5EF4-FFF2-40B4-BE49-F238E27FC236}">
              <a16:creationId xmlns:a16="http://schemas.microsoft.com/office/drawing/2014/main" id="{0E47432A-C859-4777-A17E-D732267DC1ED}"/>
            </a:ext>
          </a:extLst>
        </xdr:cNvPr>
        <xdr:cNvCxnSpPr/>
      </xdr:nvCxnSpPr>
      <xdr:spPr>
        <a:xfrm flipV="1">
          <a:off x="9327363" y="9398696"/>
          <a:ext cx="1113503"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57761</xdr:colOff>
      <xdr:row>53</xdr:row>
      <xdr:rowOff>159446</xdr:rowOff>
    </xdr:from>
    <xdr:to>
      <xdr:col>18</xdr:col>
      <xdr:colOff>561663</xdr:colOff>
      <xdr:row>53</xdr:row>
      <xdr:rowOff>160764</xdr:rowOff>
    </xdr:to>
    <xdr:cxnSp macro="">
      <xdr:nvCxnSpPr>
        <xdr:cNvPr id="650" name="Straight Connector 649">
          <a:extLst>
            <a:ext uri="{FF2B5EF4-FFF2-40B4-BE49-F238E27FC236}">
              <a16:creationId xmlns:a16="http://schemas.microsoft.com/office/drawing/2014/main" id="{757154AE-64FF-403F-8727-CD63B42C91D9}"/>
            </a:ext>
          </a:extLst>
        </xdr:cNvPr>
        <xdr:cNvCxnSpPr/>
      </xdr:nvCxnSpPr>
      <xdr:spPr>
        <a:xfrm flipV="1">
          <a:off x="10535261" y="9398696"/>
          <a:ext cx="1113502"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42627</xdr:colOff>
      <xdr:row>53</xdr:row>
      <xdr:rowOff>159446</xdr:rowOff>
    </xdr:from>
    <xdr:to>
      <xdr:col>20</xdr:col>
      <xdr:colOff>546530</xdr:colOff>
      <xdr:row>53</xdr:row>
      <xdr:rowOff>160764</xdr:rowOff>
    </xdr:to>
    <xdr:cxnSp macro="">
      <xdr:nvCxnSpPr>
        <xdr:cNvPr id="651" name="Straight Connector 650">
          <a:extLst>
            <a:ext uri="{FF2B5EF4-FFF2-40B4-BE49-F238E27FC236}">
              <a16:creationId xmlns:a16="http://schemas.microsoft.com/office/drawing/2014/main" id="{1661759C-06E3-4DF5-AFEE-96502A4C5FAD}"/>
            </a:ext>
          </a:extLst>
        </xdr:cNvPr>
        <xdr:cNvCxnSpPr/>
      </xdr:nvCxnSpPr>
      <xdr:spPr>
        <a:xfrm flipV="1">
          <a:off x="11739327" y="9398696"/>
          <a:ext cx="1113503"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58081</xdr:colOff>
      <xdr:row>54</xdr:row>
      <xdr:rowOff>161846</xdr:rowOff>
    </xdr:from>
    <xdr:to>
      <xdr:col>10</xdr:col>
      <xdr:colOff>562028</xdr:colOff>
      <xdr:row>54</xdr:row>
      <xdr:rowOff>163164</xdr:rowOff>
    </xdr:to>
    <xdr:cxnSp macro="">
      <xdr:nvCxnSpPr>
        <xdr:cNvPr id="652" name="Straight Connector 651">
          <a:extLst>
            <a:ext uri="{FF2B5EF4-FFF2-40B4-BE49-F238E27FC236}">
              <a16:creationId xmlns:a16="http://schemas.microsoft.com/office/drawing/2014/main" id="{E0822889-1C40-4162-ADE9-6050F73321DE}"/>
            </a:ext>
          </a:extLst>
        </xdr:cNvPr>
        <xdr:cNvCxnSpPr/>
      </xdr:nvCxnSpPr>
      <xdr:spPr>
        <a:xfrm flipV="1">
          <a:off x="5658781" y="95852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60135</xdr:colOff>
      <xdr:row>54</xdr:row>
      <xdr:rowOff>161846</xdr:rowOff>
    </xdr:from>
    <xdr:to>
      <xdr:col>12</xdr:col>
      <xdr:colOff>564958</xdr:colOff>
      <xdr:row>54</xdr:row>
      <xdr:rowOff>163164</xdr:rowOff>
    </xdr:to>
    <xdr:cxnSp macro="">
      <xdr:nvCxnSpPr>
        <xdr:cNvPr id="653" name="Straight Connector 652">
          <a:extLst>
            <a:ext uri="{FF2B5EF4-FFF2-40B4-BE49-F238E27FC236}">
              <a16:creationId xmlns:a16="http://schemas.microsoft.com/office/drawing/2014/main" id="{7D86179C-164C-49FC-83FD-1424218E7FF5}"/>
            </a:ext>
          </a:extLst>
        </xdr:cNvPr>
        <xdr:cNvCxnSpPr/>
      </xdr:nvCxnSpPr>
      <xdr:spPr>
        <a:xfrm flipV="1">
          <a:off x="6880035" y="9585246"/>
          <a:ext cx="1114423"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58460</xdr:colOff>
      <xdr:row>54</xdr:row>
      <xdr:rowOff>161846</xdr:rowOff>
    </xdr:from>
    <xdr:to>
      <xdr:col>14</xdr:col>
      <xdr:colOff>563282</xdr:colOff>
      <xdr:row>54</xdr:row>
      <xdr:rowOff>163164</xdr:rowOff>
    </xdr:to>
    <xdr:cxnSp macro="">
      <xdr:nvCxnSpPr>
        <xdr:cNvPr id="654" name="Straight Connector 653">
          <a:extLst>
            <a:ext uri="{FF2B5EF4-FFF2-40B4-BE49-F238E27FC236}">
              <a16:creationId xmlns:a16="http://schemas.microsoft.com/office/drawing/2014/main" id="{8A4AB83B-3D2E-4065-B25F-A87658F2C6E2}"/>
            </a:ext>
          </a:extLst>
        </xdr:cNvPr>
        <xdr:cNvCxnSpPr/>
      </xdr:nvCxnSpPr>
      <xdr:spPr>
        <a:xfrm flipV="1">
          <a:off x="8097560" y="9585246"/>
          <a:ext cx="1114422"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69063</xdr:colOff>
      <xdr:row>54</xdr:row>
      <xdr:rowOff>161846</xdr:rowOff>
    </xdr:from>
    <xdr:to>
      <xdr:col>16</xdr:col>
      <xdr:colOff>572966</xdr:colOff>
      <xdr:row>54</xdr:row>
      <xdr:rowOff>163164</xdr:rowOff>
    </xdr:to>
    <xdr:cxnSp macro="">
      <xdr:nvCxnSpPr>
        <xdr:cNvPr id="655" name="Straight Connector 654">
          <a:extLst>
            <a:ext uri="{FF2B5EF4-FFF2-40B4-BE49-F238E27FC236}">
              <a16:creationId xmlns:a16="http://schemas.microsoft.com/office/drawing/2014/main" id="{27680CA9-EA2B-4836-B07D-2F840A656001}"/>
            </a:ext>
          </a:extLst>
        </xdr:cNvPr>
        <xdr:cNvCxnSpPr/>
      </xdr:nvCxnSpPr>
      <xdr:spPr>
        <a:xfrm flipV="1">
          <a:off x="9327363" y="9585246"/>
          <a:ext cx="1113503"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57761</xdr:colOff>
      <xdr:row>54</xdr:row>
      <xdr:rowOff>161846</xdr:rowOff>
    </xdr:from>
    <xdr:to>
      <xdr:col>18</xdr:col>
      <xdr:colOff>561663</xdr:colOff>
      <xdr:row>54</xdr:row>
      <xdr:rowOff>163164</xdr:rowOff>
    </xdr:to>
    <xdr:cxnSp macro="">
      <xdr:nvCxnSpPr>
        <xdr:cNvPr id="656" name="Straight Connector 655">
          <a:extLst>
            <a:ext uri="{FF2B5EF4-FFF2-40B4-BE49-F238E27FC236}">
              <a16:creationId xmlns:a16="http://schemas.microsoft.com/office/drawing/2014/main" id="{64596428-4E84-4E35-8CD1-AB56D183941A}"/>
            </a:ext>
          </a:extLst>
        </xdr:cNvPr>
        <xdr:cNvCxnSpPr/>
      </xdr:nvCxnSpPr>
      <xdr:spPr>
        <a:xfrm flipV="1">
          <a:off x="10535261" y="9585246"/>
          <a:ext cx="1113502"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42627</xdr:colOff>
      <xdr:row>54</xdr:row>
      <xdr:rowOff>161846</xdr:rowOff>
    </xdr:from>
    <xdr:to>
      <xdr:col>20</xdr:col>
      <xdr:colOff>546530</xdr:colOff>
      <xdr:row>54</xdr:row>
      <xdr:rowOff>163164</xdr:rowOff>
    </xdr:to>
    <xdr:cxnSp macro="">
      <xdr:nvCxnSpPr>
        <xdr:cNvPr id="657" name="Straight Connector 656">
          <a:extLst>
            <a:ext uri="{FF2B5EF4-FFF2-40B4-BE49-F238E27FC236}">
              <a16:creationId xmlns:a16="http://schemas.microsoft.com/office/drawing/2014/main" id="{0621BAF3-9A6D-42AD-8D08-FABC8EB0DA51}"/>
            </a:ext>
          </a:extLst>
        </xdr:cNvPr>
        <xdr:cNvCxnSpPr/>
      </xdr:nvCxnSpPr>
      <xdr:spPr>
        <a:xfrm flipV="1">
          <a:off x="11739327" y="9585246"/>
          <a:ext cx="1113503"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58081</xdr:colOff>
      <xdr:row>55</xdr:row>
      <xdr:rowOff>4246</xdr:rowOff>
    </xdr:from>
    <xdr:to>
      <xdr:col>10</xdr:col>
      <xdr:colOff>562028</xdr:colOff>
      <xdr:row>55</xdr:row>
      <xdr:rowOff>5564</xdr:rowOff>
    </xdr:to>
    <xdr:cxnSp macro="">
      <xdr:nvCxnSpPr>
        <xdr:cNvPr id="658" name="Straight Connector 657">
          <a:extLst>
            <a:ext uri="{FF2B5EF4-FFF2-40B4-BE49-F238E27FC236}">
              <a16:creationId xmlns:a16="http://schemas.microsoft.com/office/drawing/2014/main" id="{E643FA6F-C737-4084-AD8E-DDA13521B59E}"/>
            </a:ext>
          </a:extLst>
        </xdr:cNvPr>
        <xdr:cNvCxnSpPr/>
      </xdr:nvCxnSpPr>
      <xdr:spPr>
        <a:xfrm flipV="1">
          <a:off x="5658781" y="96117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60135</xdr:colOff>
      <xdr:row>55</xdr:row>
      <xdr:rowOff>4246</xdr:rowOff>
    </xdr:from>
    <xdr:to>
      <xdr:col>12</xdr:col>
      <xdr:colOff>564958</xdr:colOff>
      <xdr:row>55</xdr:row>
      <xdr:rowOff>5564</xdr:rowOff>
    </xdr:to>
    <xdr:cxnSp macro="">
      <xdr:nvCxnSpPr>
        <xdr:cNvPr id="659" name="Straight Connector 658">
          <a:extLst>
            <a:ext uri="{FF2B5EF4-FFF2-40B4-BE49-F238E27FC236}">
              <a16:creationId xmlns:a16="http://schemas.microsoft.com/office/drawing/2014/main" id="{B78DB0EF-6668-4070-B2AF-C4915FC9EB93}"/>
            </a:ext>
          </a:extLst>
        </xdr:cNvPr>
        <xdr:cNvCxnSpPr/>
      </xdr:nvCxnSpPr>
      <xdr:spPr>
        <a:xfrm flipV="1">
          <a:off x="6880035" y="9611796"/>
          <a:ext cx="1114423"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58460</xdr:colOff>
      <xdr:row>55</xdr:row>
      <xdr:rowOff>4246</xdr:rowOff>
    </xdr:from>
    <xdr:to>
      <xdr:col>14</xdr:col>
      <xdr:colOff>563282</xdr:colOff>
      <xdr:row>55</xdr:row>
      <xdr:rowOff>5564</xdr:rowOff>
    </xdr:to>
    <xdr:cxnSp macro="">
      <xdr:nvCxnSpPr>
        <xdr:cNvPr id="660" name="Straight Connector 659">
          <a:extLst>
            <a:ext uri="{FF2B5EF4-FFF2-40B4-BE49-F238E27FC236}">
              <a16:creationId xmlns:a16="http://schemas.microsoft.com/office/drawing/2014/main" id="{AAFF3CBC-D1EC-4A37-BB28-BDD0EB54B40D}"/>
            </a:ext>
          </a:extLst>
        </xdr:cNvPr>
        <xdr:cNvCxnSpPr/>
      </xdr:nvCxnSpPr>
      <xdr:spPr>
        <a:xfrm flipV="1">
          <a:off x="8097560" y="9611796"/>
          <a:ext cx="1114422"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69063</xdr:colOff>
      <xdr:row>55</xdr:row>
      <xdr:rowOff>4246</xdr:rowOff>
    </xdr:from>
    <xdr:to>
      <xdr:col>16</xdr:col>
      <xdr:colOff>572966</xdr:colOff>
      <xdr:row>55</xdr:row>
      <xdr:rowOff>5564</xdr:rowOff>
    </xdr:to>
    <xdr:cxnSp macro="">
      <xdr:nvCxnSpPr>
        <xdr:cNvPr id="661" name="Straight Connector 660">
          <a:extLst>
            <a:ext uri="{FF2B5EF4-FFF2-40B4-BE49-F238E27FC236}">
              <a16:creationId xmlns:a16="http://schemas.microsoft.com/office/drawing/2014/main" id="{C9E62AFF-5B4B-4A21-B92B-109E68F11846}"/>
            </a:ext>
          </a:extLst>
        </xdr:cNvPr>
        <xdr:cNvCxnSpPr/>
      </xdr:nvCxnSpPr>
      <xdr:spPr>
        <a:xfrm flipV="1">
          <a:off x="9327363" y="9611796"/>
          <a:ext cx="1113503"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57761</xdr:colOff>
      <xdr:row>55</xdr:row>
      <xdr:rowOff>4246</xdr:rowOff>
    </xdr:from>
    <xdr:to>
      <xdr:col>18</xdr:col>
      <xdr:colOff>561663</xdr:colOff>
      <xdr:row>55</xdr:row>
      <xdr:rowOff>5564</xdr:rowOff>
    </xdr:to>
    <xdr:cxnSp macro="">
      <xdr:nvCxnSpPr>
        <xdr:cNvPr id="662" name="Straight Connector 661">
          <a:extLst>
            <a:ext uri="{FF2B5EF4-FFF2-40B4-BE49-F238E27FC236}">
              <a16:creationId xmlns:a16="http://schemas.microsoft.com/office/drawing/2014/main" id="{51E8D863-E9E2-45C7-A21A-1A1B6C21B63A}"/>
            </a:ext>
          </a:extLst>
        </xdr:cNvPr>
        <xdr:cNvCxnSpPr/>
      </xdr:nvCxnSpPr>
      <xdr:spPr>
        <a:xfrm flipV="1">
          <a:off x="10535261" y="9611796"/>
          <a:ext cx="1113502"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42627</xdr:colOff>
      <xdr:row>55</xdr:row>
      <xdr:rowOff>4246</xdr:rowOff>
    </xdr:from>
    <xdr:to>
      <xdr:col>20</xdr:col>
      <xdr:colOff>546530</xdr:colOff>
      <xdr:row>55</xdr:row>
      <xdr:rowOff>5564</xdr:rowOff>
    </xdr:to>
    <xdr:cxnSp macro="">
      <xdr:nvCxnSpPr>
        <xdr:cNvPr id="663" name="Straight Connector 662">
          <a:extLst>
            <a:ext uri="{FF2B5EF4-FFF2-40B4-BE49-F238E27FC236}">
              <a16:creationId xmlns:a16="http://schemas.microsoft.com/office/drawing/2014/main" id="{B9F62164-C454-4351-91FC-EC0EE96427C4}"/>
            </a:ext>
          </a:extLst>
        </xdr:cNvPr>
        <xdr:cNvCxnSpPr/>
      </xdr:nvCxnSpPr>
      <xdr:spPr>
        <a:xfrm flipV="1">
          <a:off x="11739327" y="9611796"/>
          <a:ext cx="1113503"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81638</xdr:colOff>
      <xdr:row>11</xdr:row>
      <xdr:rowOff>169534</xdr:rowOff>
    </xdr:from>
    <xdr:to>
      <xdr:col>20</xdr:col>
      <xdr:colOff>585586</xdr:colOff>
      <xdr:row>11</xdr:row>
      <xdr:rowOff>170691</xdr:rowOff>
    </xdr:to>
    <xdr:cxnSp macro="">
      <xdr:nvCxnSpPr>
        <xdr:cNvPr id="664" name="Straight Connector 663">
          <a:extLst>
            <a:ext uri="{FF2B5EF4-FFF2-40B4-BE49-F238E27FC236}">
              <a16:creationId xmlns:a16="http://schemas.microsoft.com/office/drawing/2014/main" id="{54578022-8C3D-4AD9-9800-F024ED3124CA}"/>
            </a:ext>
          </a:extLst>
        </xdr:cNvPr>
        <xdr:cNvCxnSpPr/>
      </xdr:nvCxnSpPr>
      <xdr:spPr>
        <a:xfrm flipV="1">
          <a:off x="11778338" y="208088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81981</xdr:colOff>
      <xdr:row>16</xdr:row>
      <xdr:rowOff>154837</xdr:rowOff>
    </xdr:from>
    <xdr:to>
      <xdr:col>10</xdr:col>
      <xdr:colOff>585928</xdr:colOff>
      <xdr:row>16</xdr:row>
      <xdr:rowOff>155994</xdr:rowOff>
    </xdr:to>
    <xdr:cxnSp macro="">
      <xdr:nvCxnSpPr>
        <xdr:cNvPr id="665" name="Straight Connector 664">
          <a:extLst>
            <a:ext uri="{FF2B5EF4-FFF2-40B4-BE49-F238E27FC236}">
              <a16:creationId xmlns:a16="http://schemas.microsoft.com/office/drawing/2014/main" id="{CDFB8B4F-ACB2-4F9A-9F19-0B4570A3CA2C}"/>
            </a:ext>
          </a:extLst>
        </xdr:cNvPr>
        <xdr:cNvCxnSpPr/>
      </xdr:nvCxnSpPr>
      <xdr:spPr>
        <a:xfrm flipV="1">
          <a:off x="5682681" y="299328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84473</xdr:colOff>
      <xdr:row>16</xdr:row>
      <xdr:rowOff>154837</xdr:rowOff>
    </xdr:from>
    <xdr:to>
      <xdr:col>12</xdr:col>
      <xdr:colOff>588420</xdr:colOff>
      <xdr:row>16</xdr:row>
      <xdr:rowOff>155994</xdr:rowOff>
    </xdr:to>
    <xdr:cxnSp macro="">
      <xdr:nvCxnSpPr>
        <xdr:cNvPr id="666" name="Straight Connector 665">
          <a:extLst>
            <a:ext uri="{FF2B5EF4-FFF2-40B4-BE49-F238E27FC236}">
              <a16:creationId xmlns:a16="http://schemas.microsoft.com/office/drawing/2014/main" id="{90FF2F1E-6E00-4059-98C0-4AC82E6A01E3}"/>
            </a:ext>
          </a:extLst>
        </xdr:cNvPr>
        <xdr:cNvCxnSpPr/>
      </xdr:nvCxnSpPr>
      <xdr:spPr>
        <a:xfrm flipV="1">
          <a:off x="6904373" y="299328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82797</xdr:colOff>
      <xdr:row>16</xdr:row>
      <xdr:rowOff>154837</xdr:rowOff>
    </xdr:from>
    <xdr:to>
      <xdr:col>14</xdr:col>
      <xdr:colOff>586744</xdr:colOff>
      <xdr:row>16</xdr:row>
      <xdr:rowOff>155994</xdr:rowOff>
    </xdr:to>
    <xdr:cxnSp macro="">
      <xdr:nvCxnSpPr>
        <xdr:cNvPr id="667" name="Straight Connector 666">
          <a:extLst>
            <a:ext uri="{FF2B5EF4-FFF2-40B4-BE49-F238E27FC236}">
              <a16:creationId xmlns:a16="http://schemas.microsoft.com/office/drawing/2014/main" id="{9038530D-4CBE-4EB1-A249-E6377D696A21}"/>
            </a:ext>
          </a:extLst>
        </xdr:cNvPr>
        <xdr:cNvCxnSpPr/>
      </xdr:nvCxnSpPr>
      <xdr:spPr>
        <a:xfrm flipV="1">
          <a:off x="8121897" y="299328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92541</xdr:colOff>
      <xdr:row>16</xdr:row>
      <xdr:rowOff>154837</xdr:rowOff>
    </xdr:from>
    <xdr:to>
      <xdr:col>16</xdr:col>
      <xdr:colOff>596489</xdr:colOff>
      <xdr:row>16</xdr:row>
      <xdr:rowOff>155994</xdr:rowOff>
    </xdr:to>
    <xdr:cxnSp macro="">
      <xdr:nvCxnSpPr>
        <xdr:cNvPr id="668" name="Straight Connector 667">
          <a:extLst>
            <a:ext uri="{FF2B5EF4-FFF2-40B4-BE49-F238E27FC236}">
              <a16:creationId xmlns:a16="http://schemas.microsoft.com/office/drawing/2014/main" id="{67647F0B-F55F-4F72-B74E-96E3E0515F3F}"/>
            </a:ext>
          </a:extLst>
        </xdr:cNvPr>
        <xdr:cNvCxnSpPr/>
      </xdr:nvCxnSpPr>
      <xdr:spPr>
        <a:xfrm flipV="1">
          <a:off x="9350841" y="2993287"/>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81638</xdr:colOff>
      <xdr:row>16</xdr:row>
      <xdr:rowOff>154837</xdr:rowOff>
    </xdr:from>
    <xdr:to>
      <xdr:col>18</xdr:col>
      <xdr:colOff>585586</xdr:colOff>
      <xdr:row>16</xdr:row>
      <xdr:rowOff>155994</xdr:rowOff>
    </xdr:to>
    <xdr:cxnSp macro="">
      <xdr:nvCxnSpPr>
        <xdr:cNvPr id="669" name="Straight Connector 668">
          <a:extLst>
            <a:ext uri="{FF2B5EF4-FFF2-40B4-BE49-F238E27FC236}">
              <a16:creationId xmlns:a16="http://schemas.microsoft.com/office/drawing/2014/main" id="{5F449C46-C384-4719-9C25-5C486857AF19}"/>
            </a:ext>
          </a:extLst>
        </xdr:cNvPr>
        <xdr:cNvCxnSpPr/>
      </xdr:nvCxnSpPr>
      <xdr:spPr>
        <a:xfrm flipV="1">
          <a:off x="10559138" y="2993287"/>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81638</xdr:colOff>
      <xdr:row>11</xdr:row>
      <xdr:rowOff>169534</xdr:rowOff>
    </xdr:from>
    <xdr:to>
      <xdr:col>20</xdr:col>
      <xdr:colOff>585586</xdr:colOff>
      <xdr:row>11</xdr:row>
      <xdr:rowOff>170691</xdr:rowOff>
    </xdr:to>
    <xdr:cxnSp macro="">
      <xdr:nvCxnSpPr>
        <xdr:cNvPr id="670" name="Straight Connector 669">
          <a:extLst>
            <a:ext uri="{FF2B5EF4-FFF2-40B4-BE49-F238E27FC236}">
              <a16:creationId xmlns:a16="http://schemas.microsoft.com/office/drawing/2014/main" id="{DB88CBDC-1332-49D5-BC54-E90A7F7D0846}"/>
            </a:ext>
          </a:extLst>
        </xdr:cNvPr>
        <xdr:cNvCxnSpPr/>
      </xdr:nvCxnSpPr>
      <xdr:spPr>
        <a:xfrm flipV="1">
          <a:off x="11778338" y="208088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81638</xdr:colOff>
      <xdr:row>13</xdr:row>
      <xdr:rowOff>154837</xdr:rowOff>
    </xdr:from>
    <xdr:to>
      <xdr:col>20</xdr:col>
      <xdr:colOff>585586</xdr:colOff>
      <xdr:row>13</xdr:row>
      <xdr:rowOff>155994</xdr:rowOff>
    </xdr:to>
    <xdr:cxnSp macro="">
      <xdr:nvCxnSpPr>
        <xdr:cNvPr id="671" name="Straight Connector 670">
          <a:extLst>
            <a:ext uri="{FF2B5EF4-FFF2-40B4-BE49-F238E27FC236}">
              <a16:creationId xmlns:a16="http://schemas.microsoft.com/office/drawing/2014/main" id="{1414CF4E-149A-4EC3-868E-1C8FD7854F19}"/>
            </a:ext>
          </a:extLst>
        </xdr:cNvPr>
        <xdr:cNvCxnSpPr/>
      </xdr:nvCxnSpPr>
      <xdr:spPr>
        <a:xfrm flipV="1">
          <a:off x="11778338" y="2440837"/>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81638</xdr:colOff>
      <xdr:row>16</xdr:row>
      <xdr:rowOff>158334</xdr:rowOff>
    </xdr:from>
    <xdr:to>
      <xdr:col>20</xdr:col>
      <xdr:colOff>585586</xdr:colOff>
      <xdr:row>16</xdr:row>
      <xdr:rowOff>159491</xdr:rowOff>
    </xdr:to>
    <xdr:cxnSp macro="">
      <xdr:nvCxnSpPr>
        <xdr:cNvPr id="672" name="Straight Connector 671">
          <a:extLst>
            <a:ext uri="{FF2B5EF4-FFF2-40B4-BE49-F238E27FC236}">
              <a16:creationId xmlns:a16="http://schemas.microsoft.com/office/drawing/2014/main" id="{F0AC659A-FA2A-4A62-92B0-970D36FD91CF}"/>
            </a:ext>
          </a:extLst>
        </xdr:cNvPr>
        <xdr:cNvCxnSpPr/>
      </xdr:nvCxnSpPr>
      <xdr:spPr>
        <a:xfrm flipV="1">
          <a:off x="11778338" y="299678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81638</xdr:colOff>
      <xdr:row>18</xdr:row>
      <xdr:rowOff>166215</xdr:rowOff>
    </xdr:from>
    <xdr:to>
      <xdr:col>20</xdr:col>
      <xdr:colOff>585586</xdr:colOff>
      <xdr:row>18</xdr:row>
      <xdr:rowOff>167372</xdr:rowOff>
    </xdr:to>
    <xdr:cxnSp macro="">
      <xdr:nvCxnSpPr>
        <xdr:cNvPr id="673" name="Straight Connector 672">
          <a:extLst>
            <a:ext uri="{FF2B5EF4-FFF2-40B4-BE49-F238E27FC236}">
              <a16:creationId xmlns:a16="http://schemas.microsoft.com/office/drawing/2014/main" id="{85DB4647-E821-4D6A-8C85-8BEFE7C18AD3}"/>
            </a:ext>
          </a:extLst>
        </xdr:cNvPr>
        <xdr:cNvCxnSpPr/>
      </xdr:nvCxnSpPr>
      <xdr:spPr>
        <a:xfrm flipV="1">
          <a:off x="11778338" y="3372965"/>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96661</xdr:colOff>
      <xdr:row>23</xdr:row>
      <xdr:rowOff>152197</xdr:rowOff>
    </xdr:from>
    <xdr:to>
      <xdr:col>20</xdr:col>
      <xdr:colOff>600563</xdr:colOff>
      <xdr:row>23</xdr:row>
      <xdr:rowOff>153354</xdr:rowOff>
    </xdr:to>
    <xdr:cxnSp macro="">
      <xdr:nvCxnSpPr>
        <xdr:cNvPr id="674" name="Straight Connector 673">
          <a:extLst>
            <a:ext uri="{FF2B5EF4-FFF2-40B4-BE49-F238E27FC236}">
              <a16:creationId xmlns:a16="http://schemas.microsoft.com/office/drawing/2014/main" id="{2A7E4721-8734-406C-BE27-62FF4108BBD7}"/>
            </a:ext>
          </a:extLst>
        </xdr:cNvPr>
        <xdr:cNvCxnSpPr/>
      </xdr:nvCxnSpPr>
      <xdr:spPr>
        <a:xfrm flipV="1">
          <a:off x="11793361" y="4146347"/>
          <a:ext cx="1113502"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81638</xdr:colOff>
      <xdr:row>24</xdr:row>
      <xdr:rowOff>191437</xdr:rowOff>
    </xdr:from>
    <xdr:to>
      <xdr:col>20</xdr:col>
      <xdr:colOff>585586</xdr:colOff>
      <xdr:row>24</xdr:row>
      <xdr:rowOff>192594</xdr:rowOff>
    </xdr:to>
    <xdr:cxnSp macro="">
      <xdr:nvCxnSpPr>
        <xdr:cNvPr id="675" name="Straight Connector 674">
          <a:extLst>
            <a:ext uri="{FF2B5EF4-FFF2-40B4-BE49-F238E27FC236}">
              <a16:creationId xmlns:a16="http://schemas.microsoft.com/office/drawing/2014/main" id="{6EBECB5A-6100-4565-9E5A-DDCBEB3D78FD}"/>
            </a:ext>
          </a:extLst>
        </xdr:cNvPr>
        <xdr:cNvCxnSpPr/>
      </xdr:nvCxnSpPr>
      <xdr:spPr>
        <a:xfrm flipV="1">
          <a:off x="11778338" y="4363387"/>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81638</xdr:colOff>
      <xdr:row>25</xdr:row>
      <xdr:rowOff>5545</xdr:rowOff>
    </xdr:from>
    <xdr:to>
      <xdr:col>20</xdr:col>
      <xdr:colOff>585586</xdr:colOff>
      <xdr:row>25</xdr:row>
      <xdr:rowOff>6702</xdr:rowOff>
    </xdr:to>
    <xdr:cxnSp macro="">
      <xdr:nvCxnSpPr>
        <xdr:cNvPr id="676" name="Straight Connector 675">
          <a:extLst>
            <a:ext uri="{FF2B5EF4-FFF2-40B4-BE49-F238E27FC236}">
              <a16:creationId xmlns:a16="http://schemas.microsoft.com/office/drawing/2014/main" id="{BC2D4848-A8A0-4264-A192-F20BF4D19354}"/>
            </a:ext>
          </a:extLst>
        </xdr:cNvPr>
        <xdr:cNvCxnSpPr/>
      </xdr:nvCxnSpPr>
      <xdr:spPr>
        <a:xfrm flipV="1">
          <a:off x="11778338" y="4367995"/>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76561</xdr:colOff>
      <xdr:row>33</xdr:row>
      <xdr:rowOff>162327</xdr:rowOff>
    </xdr:from>
    <xdr:to>
      <xdr:col>20</xdr:col>
      <xdr:colOff>580463</xdr:colOff>
      <xdr:row>33</xdr:row>
      <xdr:rowOff>163484</xdr:rowOff>
    </xdr:to>
    <xdr:cxnSp macro="">
      <xdr:nvCxnSpPr>
        <xdr:cNvPr id="677" name="Straight Connector 676">
          <a:extLst>
            <a:ext uri="{FF2B5EF4-FFF2-40B4-BE49-F238E27FC236}">
              <a16:creationId xmlns:a16="http://schemas.microsoft.com/office/drawing/2014/main" id="{EE5DF6B5-ED22-4DC7-A96D-A25FFCEDC16F}"/>
            </a:ext>
          </a:extLst>
        </xdr:cNvPr>
        <xdr:cNvCxnSpPr/>
      </xdr:nvCxnSpPr>
      <xdr:spPr>
        <a:xfrm flipV="1">
          <a:off x="11773261" y="6010677"/>
          <a:ext cx="1113502"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76561</xdr:colOff>
      <xdr:row>40</xdr:row>
      <xdr:rowOff>159727</xdr:rowOff>
    </xdr:from>
    <xdr:to>
      <xdr:col>20</xdr:col>
      <xdr:colOff>580463</xdr:colOff>
      <xdr:row>40</xdr:row>
      <xdr:rowOff>160884</xdr:rowOff>
    </xdr:to>
    <xdr:cxnSp macro="">
      <xdr:nvCxnSpPr>
        <xdr:cNvPr id="678" name="Straight Connector 677">
          <a:extLst>
            <a:ext uri="{FF2B5EF4-FFF2-40B4-BE49-F238E27FC236}">
              <a16:creationId xmlns:a16="http://schemas.microsoft.com/office/drawing/2014/main" id="{902AFC46-B26D-41B7-BC58-CC92103FB18B}"/>
            </a:ext>
          </a:extLst>
        </xdr:cNvPr>
        <xdr:cNvCxnSpPr/>
      </xdr:nvCxnSpPr>
      <xdr:spPr>
        <a:xfrm flipV="1">
          <a:off x="11773261" y="7157427"/>
          <a:ext cx="1113502"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57761</xdr:colOff>
      <xdr:row>44</xdr:row>
      <xdr:rowOff>162046</xdr:rowOff>
    </xdr:from>
    <xdr:to>
      <xdr:col>20</xdr:col>
      <xdr:colOff>561663</xdr:colOff>
      <xdr:row>44</xdr:row>
      <xdr:rowOff>163364</xdr:rowOff>
    </xdr:to>
    <xdr:cxnSp macro="">
      <xdr:nvCxnSpPr>
        <xdr:cNvPr id="679" name="Straight Connector 678">
          <a:extLst>
            <a:ext uri="{FF2B5EF4-FFF2-40B4-BE49-F238E27FC236}">
              <a16:creationId xmlns:a16="http://schemas.microsoft.com/office/drawing/2014/main" id="{AF8694FB-2F5E-4D2E-B82E-CE4538511DF6}"/>
            </a:ext>
          </a:extLst>
        </xdr:cNvPr>
        <xdr:cNvCxnSpPr/>
      </xdr:nvCxnSpPr>
      <xdr:spPr>
        <a:xfrm flipV="1">
          <a:off x="11754461" y="7896346"/>
          <a:ext cx="1113502"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57761</xdr:colOff>
      <xdr:row>53</xdr:row>
      <xdr:rowOff>159446</xdr:rowOff>
    </xdr:from>
    <xdr:to>
      <xdr:col>20</xdr:col>
      <xdr:colOff>561663</xdr:colOff>
      <xdr:row>53</xdr:row>
      <xdr:rowOff>160764</xdr:rowOff>
    </xdr:to>
    <xdr:cxnSp macro="">
      <xdr:nvCxnSpPr>
        <xdr:cNvPr id="680" name="Straight Connector 679">
          <a:extLst>
            <a:ext uri="{FF2B5EF4-FFF2-40B4-BE49-F238E27FC236}">
              <a16:creationId xmlns:a16="http://schemas.microsoft.com/office/drawing/2014/main" id="{78DD734E-3458-44A1-97CB-9C63CCC1B3AE}"/>
            </a:ext>
          </a:extLst>
        </xdr:cNvPr>
        <xdr:cNvCxnSpPr/>
      </xdr:nvCxnSpPr>
      <xdr:spPr>
        <a:xfrm flipV="1">
          <a:off x="11754461" y="9398696"/>
          <a:ext cx="1113502"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57761</xdr:colOff>
      <xdr:row>54</xdr:row>
      <xdr:rowOff>161846</xdr:rowOff>
    </xdr:from>
    <xdr:to>
      <xdr:col>20</xdr:col>
      <xdr:colOff>561663</xdr:colOff>
      <xdr:row>54</xdr:row>
      <xdr:rowOff>163164</xdr:rowOff>
    </xdr:to>
    <xdr:cxnSp macro="">
      <xdr:nvCxnSpPr>
        <xdr:cNvPr id="681" name="Straight Connector 680">
          <a:extLst>
            <a:ext uri="{FF2B5EF4-FFF2-40B4-BE49-F238E27FC236}">
              <a16:creationId xmlns:a16="http://schemas.microsoft.com/office/drawing/2014/main" id="{3F6E7701-9373-4821-8B37-EE70368F0FEF}"/>
            </a:ext>
          </a:extLst>
        </xdr:cNvPr>
        <xdr:cNvCxnSpPr/>
      </xdr:nvCxnSpPr>
      <xdr:spPr>
        <a:xfrm flipV="1">
          <a:off x="11754461" y="9585246"/>
          <a:ext cx="1113502"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57761</xdr:colOff>
      <xdr:row>55</xdr:row>
      <xdr:rowOff>4246</xdr:rowOff>
    </xdr:from>
    <xdr:to>
      <xdr:col>20</xdr:col>
      <xdr:colOff>561663</xdr:colOff>
      <xdr:row>55</xdr:row>
      <xdr:rowOff>5564</xdr:rowOff>
    </xdr:to>
    <xdr:cxnSp macro="">
      <xdr:nvCxnSpPr>
        <xdr:cNvPr id="682" name="Straight Connector 681">
          <a:extLst>
            <a:ext uri="{FF2B5EF4-FFF2-40B4-BE49-F238E27FC236}">
              <a16:creationId xmlns:a16="http://schemas.microsoft.com/office/drawing/2014/main" id="{0A010341-FE0C-4C41-ACD2-4F13581196F5}"/>
            </a:ext>
          </a:extLst>
        </xdr:cNvPr>
        <xdr:cNvCxnSpPr/>
      </xdr:nvCxnSpPr>
      <xdr:spPr>
        <a:xfrm flipV="1">
          <a:off x="11754461" y="9611796"/>
          <a:ext cx="1113502"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81638</xdr:colOff>
      <xdr:row>16</xdr:row>
      <xdr:rowOff>154837</xdr:rowOff>
    </xdr:from>
    <xdr:to>
      <xdr:col>20</xdr:col>
      <xdr:colOff>585586</xdr:colOff>
      <xdr:row>16</xdr:row>
      <xdr:rowOff>155994</xdr:rowOff>
    </xdr:to>
    <xdr:cxnSp macro="">
      <xdr:nvCxnSpPr>
        <xdr:cNvPr id="683" name="Straight Connector 682">
          <a:extLst>
            <a:ext uri="{FF2B5EF4-FFF2-40B4-BE49-F238E27FC236}">
              <a16:creationId xmlns:a16="http://schemas.microsoft.com/office/drawing/2014/main" id="{A721111E-16BD-4FF4-9292-83FEBCB8E9B5}"/>
            </a:ext>
          </a:extLst>
        </xdr:cNvPr>
        <xdr:cNvCxnSpPr/>
      </xdr:nvCxnSpPr>
      <xdr:spPr>
        <a:xfrm flipV="1">
          <a:off x="11778338" y="2993287"/>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81981</xdr:colOff>
      <xdr:row>24</xdr:row>
      <xdr:rowOff>191437</xdr:rowOff>
    </xdr:from>
    <xdr:to>
      <xdr:col>12</xdr:col>
      <xdr:colOff>585928</xdr:colOff>
      <xdr:row>24</xdr:row>
      <xdr:rowOff>192594</xdr:rowOff>
    </xdr:to>
    <xdr:cxnSp macro="">
      <xdr:nvCxnSpPr>
        <xdr:cNvPr id="684" name="Straight Connector 683">
          <a:extLst>
            <a:ext uri="{FF2B5EF4-FFF2-40B4-BE49-F238E27FC236}">
              <a16:creationId xmlns:a16="http://schemas.microsoft.com/office/drawing/2014/main" id="{B3B6225E-C00B-45EA-BDA4-1F83C5B35D66}"/>
            </a:ext>
          </a:extLst>
        </xdr:cNvPr>
        <xdr:cNvCxnSpPr/>
      </xdr:nvCxnSpPr>
      <xdr:spPr>
        <a:xfrm flipV="1">
          <a:off x="6901881" y="436338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81981</xdr:colOff>
      <xdr:row>25</xdr:row>
      <xdr:rowOff>5545</xdr:rowOff>
    </xdr:from>
    <xdr:to>
      <xdr:col>12</xdr:col>
      <xdr:colOff>585928</xdr:colOff>
      <xdr:row>25</xdr:row>
      <xdr:rowOff>6702</xdr:rowOff>
    </xdr:to>
    <xdr:cxnSp macro="">
      <xdr:nvCxnSpPr>
        <xdr:cNvPr id="685" name="Straight Connector 684">
          <a:extLst>
            <a:ext uri="{FF2B5EF4-FFF2-40B4-BE49-F238E27FC236}">
              <a16:creationId xmlns:a16="http://schemas.microsoft.com/office/drawing/2014/main" id="{0155A0B6-D77C-47FA-9F4A-A4FE1F9B0E2A}"/>
            </a:ext>
          </a:extLst>
        </xdr:cNvPr>
        <xdr:cNvCxnSpPr/>
      </xdr:nvCxnSpPr>
      <xdr:spPr>
        <a:xfrm flipV="1">
          <a:off x="6901881" y="436799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81981</xdr:colOff>
      <xdr:row>24</xdr:row>
      <xdr:rowOff>191437</xdr:rowOff>
    </xdr:from>
    <xdr:to>
      <xdr:col>14</xdr:col>
      <xdr:colOff>585928</xdr:colOff>
      <xdr:row>24</xdr:row>
      <xdr:rowOff>192594</xdr:rowOff>
    </xdr:to>
    <xdr:cxnSp macro="">
      <xdr:nvCxnSpPr>
        <xdr:cNvPr id="686" name="Straight Connector 685">
          <a:extLst>
            <a:ext uri="{FF2B5EF4-FFF2-40B4-BE49-F238E27FC236}">
              <a16:creationId xmlns:a16="http://schemas.microsoft.com/office/drawing/2014/main" id="{E4A6B6E4-8A9B-434C-B4AF-4D6E294C6609}"/>
            </a:ext>
          </a:extLst>
        </xdr:cNvPr>
        <xdr:cNvCxnSpPr/>
      </xdr:nvCxnSpPr>
      <xdr:spPr>
        <a:xfrm flipV="1">
          <a:off x="8121081" y="436338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81981</xdr:colOff>
      <xdr:row>25</xdr:row>
      <xdr:rowOff>5545</xdr:rowOff>
    </xdr:from>
    <xdr:to>
      <xdr:col>14</xdr:col>
      <xdr:colOff>585928</xdr:colOff>
      <xdr:row>25</xdr:row>
      <xdr:rowOff>6702</xdr:rowOff>
    </xdr:to>
    <xdr:cxnSp macro="">
      <xdr:nvCxnSpPr>
        <xdr:cNvPr id="687" name="Straight Connector 686">
          <a:extLst>
            <a:ext uri="{FF2B5EF4-FFF2-40B4-BE49-F238E27FC236}">
              <a16:creationId xmlns:a16="http://schemas.microsoft.com/office/drawing/2014/main" id="{EDC8B98D-FA76-413B-83FC-5FCC7F2F19A9}"/>
            </a:ext>
          </a:extLst>
        </xdr:cNvPr>
        <xdr:cNvCxnSpPr/>
      </xdr:nvCxnSpPr>
      <xdr:spPr>
        <a:xfrm flipV="1">
          <a:off x="8121081" y="436799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81981</xdr:colOff>
      <xdr:row>24</xdr:row>
      <xdr:rowOff>191437</xdr:rowOff>
    </xdr:from>
    <xdr:to>
      <xdr:col>16</xdr:col>
      <xdr:colOff>585928</xdr:colOff>
      <xdr:row>24</xdr:row>
      <xdr:rowOff>192594</xdr:rowOff>
    </xdr:to>
    <xdr:cxnSp macro="">
      <xdr:nvCxnSpPr>
        <xdr:cNvPr id="688" name="Straight Connector 687">
          <a:extLst>
            <a:ext uri="{FF2B5EF4-FFF2-40B4-BE49-F238E27FC236}">
              <a16:creationId xmlns:a16="http://schemas.microsoft.com/office/drawing/2014/main" id="{919809BF-2A11-4BAA-B8E0-EC72A4079646}"/>
            </a:ext>
          </a:extLst>
        </xdr:cNvPr>
        <xdr:cNvCxnSpPr/>
      </xdr:nvCxnSpPr>
      <xdr:spPr>
        <a:xfrm flipV="1">
          <a:off x="9340281" y="436338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81981</xdr:colOff>
      <xdr:row>25</xdr:row>
      <xdr:rowOff>5545</xdr:rowOff>
    </xdr:from>
    <xdr:to>
      <xdr:col>16</xdr:col>
      <xdr:colOff>585928</xdr:colOff>
      <xdr:row>25</xdr:row>
      <xdr:rowOff>6702</xdr:rowOff>
    </xdr:to>
    <xdr:cxnSp macro="">
      <xdr:nvCxnSpPr>
        <xdr:cNvPr id="689" name="Straight Connector 688">
          <a:extLst>
            <a:ext uri="{FF2B5EF4-FFF2-40B4-BE49-F238E27FC236}">
              <a16:creationId xmlns:a16="http://schemas.microsoft.com/office/drawing/2014/main" id="{5326FF76-056C-42E6-962A-4DCBF58291B2}"/>
            </a:ext>
          </a:extLst>
        </xdr:cNvPr>
        <xdr:cNvCxnSpPr/>
      </xdr:nvCxnSpPr>
      <xdr:spPr>
        <a:xfrm flipV="1">
          <a:off x="9340281" y="436799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81981</xdr:colOff>
      <xdr:row>24</xdr:row>
      <xdr:rowOff>191437</xdr:rowOff>
    </xdr:from>
    <xdr:to>
      <xdr:col>18</xdr:col>
      <xdr:colOff>585928</xdr:colOff>
      <xdr:row>24</xdr:row>
      <xdr:rowOff>192594</xdr:rowOff>
    </xdr:to>
    <xdr:cxnSp macro="">
      <xdr:nvCxnSpPr>
        <xdr:cNvPr id="690" name="Straight Connector 689">
          <a:extLst>
            <a:ext uri="{FF2B5EF4-FFF2-40B4-BE49-F238E27FC236}">
              <a16:creationId xmlns:a16="http://schemas.microsoft.com/office/drawing/2014/main" id="{42222089-3ED6-4859-B390-AA28E77BC5C0}"/>
            </a:ext>
          </a:extLst>
        </xdr:cNvPr>
        <xdr:cNvCxnSpPr/>
      </xdr:nvCxnSpPr>
      <xdr:spPr>
        <a:xfrm flipV="1">
          <a:off x="10559481" y="436338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81981</xdr:colOff>
      <xdr:row>25</xdr:row>
      <xdr:rowOff>5545</xdr:rowOff>
    </xdr:from>
    <xdr:to>
      <xdr:col>18</xdr:col>
      <xdr:colOff>585928</xdr:colOff>
      <xdr:row>25</xdr:row>
      <xdr:rowOff>6702</xdr:rowOff>
    </xdr:to>
    <xdr:cxnSp macro="">
      <xdr:nvCxnSpPr>
        <xdr:cNvPr id="691" name="Straight Connector 690">
          <a:extLst>
            <a:ext uri="{FF2B5EF4-FFF2-40B4-BE49-F238E27FC236}">
              <a16:creationId xmlns:a16="http://schemas.microsoft.com/office/drawing/2014/main" id="{8FAA6A9B-C382-460A-97ED-E9EFD88B2DC7}"/>
            </a:ext>
          </a:extLst>
        </xdr:cNvPr>
        <xdr:cNvCxnSpPr/>
      </xdr:nvCxnSpPr>
      <xdr:spPr>
        <a:xfrm flipV="1">
          <a:off x="10559481" y="436799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81981</xdr:colOff>
      <xdr:row>24</xdr:row>
      <xdr:rowOff>191437</xdr:rowOff>
    </xdr:from>
    <xdr:to>
      <xdr:col>20</xdr:col>
      <xdr:colOff>585928</xdr:colOff>
      <xdr:row>24</xdr:row>
      <xdr:rowOff>192594</xdr:rowOff>
    </xdr:to>
    <xdr:cxnSp macro="">
      <xdr:nvCxnSpPr>
        <xdr:cNvPr id="692" name="Straight Connector 691">
          <a:extLst>
            <a:ext uri="{FF2B5EF4-FFF2-40B4-BE49-F238E27FC236}">
              <a16:creationId xmlns:a16="http://schemas.microsoft.com/office/drawing/2014/main" id="{215DA411-26C6-49C1-A6D4-E30793C241B3}"/>
            </a:ext>
          </a:extLst>
        </xdr:cNvPr>
        <xdr:cNvCxnSpPr/>
      </xdr:nvCxnSpPr>
      <xdr:spPr>
        <a:xfrm flipV="1">
          <a:off x="11778681" y="436338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81981</xdr:colOff>
      <xdr:row>25</xdr:row>
      <xdr:rowOff>5545</xdr:rowOff>
    </xdr:from>
    <xdr:to>
      <xdr:col>20</xdr:col>
      <xdr:colOff>585928</xdr:colOff>
      <xdr:row>25</xdr:row>
      <xdr:rowOff>6702</xdr:rowOff>
    </xdr:to>
    <xdr:cxnSp macro="">
      <xdr:nvCxnSpPr>
        <xdr:cNvPr id="693" name="Straight Connector 692">
          <a:extLst>
            <a:ext uri="{FF2B5EF4-FFF2-40B4-BE49-F238E27FC236}">
              <a16:creationId xmlns:a16="http://schemas.microsoft.com/office/drawing/2014/main" id="{6ECA4F1B-FB3D-4698-8170-DAB008CE8C54}"/>
            </a:ext>
          </a:extLst>
        </xdr:cNvPr>
        <xdr:cNvCxnSpPr/>
      </xdr:nvCxnSpPr>
      <xdr:spPr>
        <a:xfrm flipV="1">
          <a:off x="11778681" y="436799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81981</xdr:colOff>
      <xdr:row>27</xdr:row>
      <xdr:rowOff>191437</xdr:rowOff>
    </xdr:from>
    <xdr:to>
      <xdr:col>10</xdr:col>
      <xdr:colOff>585928</xdr:colOff>
      <xdr:row>27</xdr:row>
      <xdr:rowOff>192594</xdr:rowOff>
    </xdr:to>
    <xdr:cxnSp macro="">
      <xdr:nvCxnSpPr>
        <xdr:cNvPr id="694" name="Straight Connector 693">
          <a:extLst>
            <a:ext uri="{FF2B5EF4-FFF2-40B4-BE49-F238E27FC236}">
              <a16:creationId xmlns:a16="http://schemas.microsoft.com/office/drawing/2014/main" id="{477B71BA-5BEE-47F0-906F-74525F67EAEC}"/>
            </a:ext>
          </a:extLst>
        </xdr:cNvPr>
        <xdr:cNvCxnSpPr/>
      </xdr:nvCxnSpPr>
      <xdr:spPr>
        <a:xfrm flipV="1">
          <a:off x="5682681" y="491583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81981</xdr:colOff>
      <xdr:row>28</xdr:row>
      <xdr:rowOff>5545</xdr:rowOff>
    </xdr:from>
    <xdr:to>
      <xdr:col>10</xdr:col>
      <xdr:colOff>585928</xdr:colOff>
      <xdr:row>28</xdr:row>
      <xdr:rowOff>6702</xdr:rowOff>
    </xdr:to>
    <xdr:cxnSp macro="">
      <xdr:nvCxnSpPr>
        <xdr:cNvPr id="695" name="Straight Connector 694">
          <a:extLst>
            <a:ext uri="{FF2B5EF4-FFF2-40B4-BE49-F238E27FC236}">
              <a16:creationId xmlns:a16="http://schemas.microsoft.com/office/drawing/2014/main" id="{ED5750DC-045B-459C-8AE4-B372BF75CFD5}"/>
            </a:ext>
          </a:extLst>
        </xdr:cNvPr>
        <xdr:cNvCxnSpPr/>
      </xdr:nvCxnSpPr>
      <xdr:spPr>
        <a:xfrm flipV="1">
          <a:off x="5682681" y="492044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81981</xdr:colOff>
      <xdr:row>27</xdr:row>
      <xdr:rowOff>191437</xdr:rowOff>
    </xdr:from>
    <xdr:to>
      <xdr:col>12</xdr:col>
      <xdr:colOff>585928</xdr:colOff>
      <xdr:row>27</xdr:row>
      <xdr:rowOff>192594</xdr:rowOff>
    </xdr:to>
    <xdr:cxnSp macro="">
      <xdr:nvCxnSpPr>
        <xdr:cNvPr id="696" name="Straight Connector 695">
          <a:extLst>
            <a:ext uri="{FF2B5EF4-FFF2-40B4-BE49-F238E27FC236}">
              <a16:creationId xmlns:a16="http://schemas.microsoft.com/office/drawing/2014/main" id="{326B87FB-9D73-4AA1-8C56-7F50A19889B8}"/>
            </a:ext>
          </a:extLst>
        </xdr:cNvPr>
        <xdr:cNvCxnSpPr/>
      </xdr:nvCxnSpPr>
      <xdr:spPr>
        <a:xfrm flipV="1">
          <a:off x="6901881" y="491583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81981</xdr:colOff>
      <xdr:row>28</xdr:row>
      <xdr:rowOff>5545</xdr:rowOff>
    </xdr:from>
    <xdr:to>
      <xdr:col>12</xdr:col>
      <xdr:colOff>585928</xdr:colOff>
      <xdr:row>28</xdr:row>
      <xdr:rowOff>6702</xdr:rowOff>
    </xdr:to>
    <xdr:cxnSp macro="">
      <xdr:nvCxnSpPr>
        <xdr:cNvPr id="697" name="Straight Connector 696">
          <a:extLst>
            <a:ext uri="{FF2B5EF4-FFF2-40B4-BE49-F238E27FC236}">
              <a16:creationId xmlns:a16="http://schemas.microsoft.com/office/drawing/2014/main" id="{A6BD0008-7A0A-4569-8DCC-127DFB9DB6D5}"/>
            </a:ext>
          </a:extLst>
        </xdr:cNvPr>
        <xdr:cNvCxnSpPr/>
      </xdr:nvCxnSpPr>
      <xdr:spPr>
        <a:xfrm flipV="1">
          <a:off x="6901881" y="492044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81981</xdr:colOff>
      <xdr:row>27</xdr:row>
      <xdr:rowOff>191437</xdr:rowOff>
    </xdr:from>
    <xdr:to>
      <xdr:col>14</xdr:col>
      <xdr:colOff>585928</xdr:colOff>
      <xdr:row>27</xdr:row>
      <xdr:rowOff>192594</xdr:rowOff>
    </xdr:to>
    <xdr:cxnSp macro="">
      <xdr:nvCxnSpPr>
        <xdr:cNvPr id="698" name="Straight Connector 697">
          <a:extLst>
            <a:ext uri="{FF2B5EF4-FFF2-40B4-BE49-F238E27FC236}">
              <a16:creationId xmlns:a16="http://schemas.microsoft.com/office/drawing/2014/main" id="{EDF083E6-264C-4900-92FE-46B1088B6EE9}"/>
            </a:ext>
          </a:extLst>
        </xdr:cNvPr>
        <xdr:cNvCxnSpPr/>
      </xdr:nvCxnSpPr>
      <xdr:spPr>
        <a:xfrm flipV="1">
          <a:off x="8121081" y="491583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81981</xdr:colOff>
      <xdr:row>28</xdr:row>
      <xdr:rowOff>5545</xdr:rowOff>
    </xdr:from>
    <xdr:to>
      <xdr:col>14</xdr:col>
      <xdr:colOff>585928</xdr:colOff>
      <xdr:row>28</xdr:row>
      <xdr:rowOff>6702</xdr:rowOff>
    </xdr:to>
    <xdr:cxnSp macro="">
      <xdr:nvCxnSpPr>
        <xdr:cNvPr id="699" name="Straight Connector 698">
          <a:extLst>
            <a:ext uri="{FF2B5EF4-FFF2-40B4-BE49-F238E27FC236}">
              <a16:creationId xmlns:a16="http://schemas.microsoft.com/office/drawing/2014/main" id="{8E29DF04-792A-4121-BC5A-BB64E7725763}"/>
            </a:ext>
          </a:extLst>
        </xdr:cNvPr>
        <xdr:cNvCxnSpPr/>
      </xdr:nvCxnSpPr>
      <xdr:spPr>
        <a:xfrm flipV="1">
          <a:off x="8121081" y="492044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81981</xdr:colOff>
      <xdr:row>27</xdr:row>
      <xdr:rowOff>191437</xdr:rowOff>
    </xdr:from>
    <xdr:to>
      <xdr:col>16</xdr:col>
      <xdr:colOff>585928</xdr:colOff>
      <xdr:row>27</xdr:row>
      <xdr:rowOff>192594</xdr:rowOff>
    </xdr:to>
    <xdr:cxnSp macro="">
      <xdr:nvCxnSpPr>
        <xdr:cNvPr id="700" name="Straight Connector 699">
          <a:extLst>
            <a:ext uri="{FF2B5EF4-FFF2-40B4-BE49-F238E27FC236}">
              <a16:creationId xmlns:a16="http://schemas.microsoft.com/office/drawing/2014/main" id="{5AEC4D35-484D-495F-8656-9CEA3B310738}"/>
            </a:ext>
          </a:extLst>
        </xdr:cNvPr>
        <xdr:cNvCxnSpPr/>
      </xdr:nvCxnSpPr>
      <xdr:spPr>
        <a:xfrm flipV="1">
          <a:off x="9340281" y="491583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81981</xdr:colOff>
      <xdr:row>28</xdr:row>
      <xdr:rowOff>5545</xdr:rowOff>
    </xdr:from>
    <xdr:to>
      <xdr:col>16</xdr:col>
      <xdr:colOff>585928</xdr:colOff>
      <xdr:row>28</xdr:row>
      <xdr:rowOff>6702</xdr:rowOff>
    </xdr:to>
    <xdr:cxnSp macro="">
      <xdr:nvCxnSpPr>
        <xdr:cNvPr id="701" name="Straight Connector 700">
          <a:extLst>
            <a:ext uri="{FF2B5EF4-FFF2-40B4-BE49-F238E27FC236}">
              <a16:creationId xmlns:a16="http://schemas.microsoft.com/office/drawing/2014/main" id="{510F393A-B1E2-40A3-87DF-60CBE182EAA4}"/>
            </a:ext>
          </a:extLst>
        </xdr:cNvPr>
        <xdr:cNvCxnSpPr/>
      </xdr:nvCxnSpPr>
      <xdr:spPr>
        <a:xfrm flipV="1">
          <a:off x="9340281" y="492044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81981</xdr:colOff>
      <xdr:row>27</xdr:row>
      <xdr:rowOff>191437</xdr:rowOff>
    </xdr:from>
    <xdr:to>
      <xdr:col>18</xdr:col>
      <xdr:colOff>585928</xdr:colOff>
      <xdr:row>27</xdr:row>
      <xdr:rowOff>192594</xdr:rowOff>
    </xdr:to>
    <xdr:cxnSp macro="">
      <xdr:nvCxnSpPr>
        <xdr:cNvPr id="702" name="Straight Connector 701">
          <a:extLst>
            <a:ext uri="{FF2B5EF4-FFF2-40B4-BE49-F238E27FC236}">
              <a16:creationId xmlns:a16="http://schemas.microsoft.com/office/drawing/2014/main" id="{9BA9B646-3265-4529-8263-D96B6B5A4CBB}"/>
            </a:ext>
          </a:extLst>
        </xdr:cNvPr>
        <xdr:cNvCxnSpPr/>
      </xdr:nvCxnSpPr>
      <xdr:spPr>
        <a:xfrm flipV="1">
          <a:off x="10559481" y="491583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81981</xdr:colOff>
      <xdr:row>28</xdr:row>
      <xdr:rowOff>5545</xdr:rowOff>
    </xdr:from>
    <xdr:to>
      <xdr:col>18</xdr:col>
      <xdr:colOff>585928</xdr:colOff>
      <xdr:row>28</xdr:row>
      <xdr:rowOff>6702</xdr:rowOff>
    </xdr:to>
    <xdr:cxnSp macro="">
      <xdr:nvCxnSpPr>
        <xdr:cNvPr id="703" name="Straight Connector 702">
          <a:extLst>
            <a:ext uri="{FF2B5EF4-FFF2-40B4-BE49-F238E27FC236}">
              <a16:creationId xmlns:a16="http://schemas.microsoft.com/office/drawing/2014/main" id="{F39CCE25-3D6D-4AA3-900F-F2F00CA9A9B5}"/>
            </a:ext>
          </a:extLst>
        </xdr:cNvPr>
        <xdr:cNvCxnSpPr/>
      </xdr:nvCxnSpPr>
      <xdr:spPr>
        <a:xfrm flipV="1">
          <a:off x="10559481" y="492044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81981</xdr:colOff>
      <xdr:row>27</xdr:row>
      <xdr:rowOff>191437</xdr:rowOff>
    </xdr:from>
    <xdr:to>
      <xdr:col>20</xdr:col>
      <xdr:colOff>585928</xdr:colOff>
      <xdr:row>27</xdr:row>
      <xdr:rowOff>192594</xdr:rowOff>
    </xdr:to>
    <xdr:cxnSp macro="">
      <xdr:nvCxnSpPr>
        <xdr:cNvPr id="704" name="Straight Connector 703">
          <a:extLst>
            <a:ext uri="{FF2B5EF4-FFF2-40B4-BE49-F238E27FC236}">
              <a16:creationId xmlns:a16="http://schemas.microsoft.com/office/drawing/2014/main" id="{8259EDB0-ED42-468F-A1D7-47B0A0928C63}"/>
            </a:ext>
          </a:extLst>
        </xdr:cNvPr>
        <xdr:cNvCxnSpPr/>
      </xdr:nvCxnSpPr>
      <xdr:spPr>
        <a:xfrm flipV="1">
          <a:off x="11778681" y="491583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81981</xdr:colOff>
      <xdr:row>28</xdr:row>
      <xdr:rowOff>5545</xdr:rowOff>
    </xdr:from>
    <xdr:to>
      <xdr:col>20</xdr:col>
      <xdr:colOff>585928</xdr:colOff>
      <xdr:row>28</xdr:row>
      <xdr:rowOff>6702</xdr:rowOff>
    </xdr:to>
    <xdr:cxnSp macro="">
      <xdr:nvCxnSpPr>
        <xdr:cNvPr id="705" name="Straight Connector 704">
          <a:extLst>
            <a:ext uri="{FF2B5EF4-FFF2-40B4-BE49-F238E27FC236}">
              <a16:creationId xmlns:a16="http://schemas.microsoft.com/office/drawing/2014/main" id="{25753298-F64C-4BA6-B427-E663A7F63674}"/>
            </a:ext>
          </a:extLst>
        </xdr:cNvPr>
        <xdr:cNvCxnSpPr/>
      </xdr:nvCxnSpPr>
      <xdr:spPr>
        <a:xfrm flipV="1">
          <a:off x="11778681" y="492044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58081</xdr:colOff>
      <xdr:row>44</xdr:row>
      <xdr:rowOff>162046</xdr:rowOff>
    </xdr:from>
    <xdr:to>
      <xdr:col>12</xdr:col>
      <xdr:colOff>562028</xdr:colOff>
      <xdr:row>44</xdr:row>
      <xdr:rowOff>163364</xdr:rowOff>
    </xdr:to>
    <xdr:cxnSp macro="">
      <xdr:nvCxnSpPr>
        <xdr:cNvPr id="706" name="Straight Connector 705">
          <a:extLst>
            <a:ext uri="{FF2B5EF4-FFF2-40B4-BE49-F238E27FC236}">
              <a16:creationId xmlns:a16="http://schemas.microsoft.com/office/drawing/2014/main" id="{516EDB1B-0DD2-49D0-88BE-D958B759AAAA}"/>
            </a:ext>
          </a:extLst>
        </xdr:cNvPr>
        <xdr:cNvCxnSpPr/>
      </xdr:nvCxnSpPr>
      <xdr:spPr>
        <a:xfrm flipV="1">
          <a:off x="6877981" y="78963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58081</xdr:colOff>
      <xdr:row>44</xdr:row>
      <xdr:rowOff>162046</xdr:rowOff>
    </xdr:from>
    <xdr:to>
      <xdr:col>14</xdr:col>
      <xdr:colOff>562028</xdr:colOff>
      <xdr:row>44</xdr:row>
      <xdr:rowOff>163364</xdr:rowOff>
    </xdr:to>
    <xdr:cxnSp macro="">
      <xdr:nvCxnSpPr>
        <xdr:cNvPr id="707" name="Straight Connector 706">
          <a:extLst>
            <a:ext uri="{FF2B5EF4-FFF2-40B4-BE49-F238E27FC236}">
              <a16:creationId xmlns:a16="http://schemas.microsoft.com/office/drawing/2014/main" id="{B6165228-1FE9-40A1-A8B5-67B2BCE3FB18}"/>
            </a:ext>
          </a:extLst>
        </xdr:cNvPr>
        <xdr:cNvCxnSpPr/>
      </xdr:nvCxnSpPr>
      <xdr:spPr>
        <a:xfrm flipV="1">
          <a:off x="8097181" y="78963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58081</xdr:colOff>
      <xdr:row>44</xdr:row>
      <xdr:rowOff>162046</xdr:rowOff>
    </xdr:from>
    <xdr:to>
      <xdr:col>16</xdr:col>
      <xdr:colOff>562028</xdr:colOff>
      <xdr:row>44</xdr:row>
      <xdr:rowOff>163364</xdr:rowOff>
    </xdr:to>
    <xdr:cxnSp macro="">
      <xdr:nvCxnSpPr>
        <xdr:cNvPr id="708" name="Straight Connector 707">
          <a:extLst>
            <a:ext uri="{FF2B5EF4-FFF2-40B4-BE49-F238E27FC236}">
              <a16:creationId xmlns:a16="http://schemas.microsoft.com/office/drawing/2014/main" id="{E6AEA023-D023-4D68-9717-8B48D7CBE911}"/>
            </a:ext>
          </a:extLst>
        </xdr:cNvPr>
        <xdr:cNvCxnSpPr/>
      </xdr:nvCxnSpPr>
      <xdr:spPr>
        <a:xfrm flipV="1">
          <a:off x="9316381" y="78963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58081</xdr:colOff>
      <xdr:row>44</xdr:row>
      <xdr:rowOff>162046</xdr:rowOff>
    </xdr:from>
    <xdr:to>
      <xdr:col>18</xdr:col>
      <xdr:colOff>562028</xdr:colOff>
      <xdr:row>44</xdr:row>
      <xdr:rowOff>163364</xdr:rowOff>
    </xdr:to>
    <xdr:cxnSp macro="">
      <xdr:nvCxnSpPr>
        <xdr:cNvPr id="709" name="Straight Connector 708">
          <a:extLst>
            <a:ext uri="{FF2B5EF4-FFF2-40B4-BE49-F238E27FC236}">
              <a16:creationId xmlns:a16="http://schemas.microsoft.com/office/drawing/2014/main" id="{1BD6C7F9-30E0-404A-B440-C07316FC7593}"/>
            </a:ext>
          </a:extLst>
        </xdr:cNvPr>
        <xdr:cNvCxnSpPr/>
      </xdr:nvCxnSpPr>
      <xdr:spPr>
        <a:xfrm flipV="1">
          <a:off x="10535581" y="78963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58081</xdr:colOff>
      <xdr:row>44</xdr:row>
      <xdr:rowOff>162046</xdr:rowOff>
    </xdr:from>
    <xdr:to>
      <xdr:col>20</xdr:col>
      <xdr:colOff>562028</xdr:colOff>
      <xdr:row>44</xdr:row>
      <xdr:rowOff>163364</xdr:rowOff>
    </xdr:to>
    <xdr:cxnSp macro="">
      <xdr:nvCxnSpPr>
        <xdr:cNvPr id="710" name="Straight Connector 709">
          <a:extLst>
            <a:ext uri="{FF2B5EF4-FFF2-40B4-BE49-F238E27FC236}">
              <a16:creationId xmlns:a16="http://schemas.microsoft.com/office/drawing/2014/main" id="{2E273803-B0CB-4944-995F-9083236DEBF4}"/>
            </a:ext>
          </a:extLst>
        </xdr:cNvPr>
        <xdr:cNvCxnSpPr/>
      </xdr:nvCxnSpPr>
      <xdr:spPr>
        <a:xfrm flipV="1">
          <a:off x="11754781" y="78963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58081</xdr:colOff>
      <xdr:row>53</xdr:row>
      <xdr:rowOff>159446</xdr:rowOff>
    </xdr:from>
    <xdr:to>
      <xdr:col>12</xdr:col>
      <xdr:colOff>562028</xdr:colOff>
      <xdr:row>53</xdr:row>
      <xdr:rowOff>160764</xdr:rowOff>
    </xdr:to>
    <xdr:cxnSp macro="">
      <xdr:nvCxnSpPr>
        <xdr:cNvPr id="711" name="Straight Connector 710">
          <a:extLst>
            <a:ext uri="{FF2B5EF4-FFF2-40B4-BE49-F238E27FC236}">
              <a16:creationId xmlns:a16="http://schemas.microsoft.com/office/drawing/2014/main" id="{0B7F1A58-AFA8-4CA8-8C82-67A6B7A4D98D}"/>
            </a:ext>
          </a:extLst>
        </xdr:cNvPr>
        <xdr:cNvCxnSpPr/>
      </xdr:nvCxnSpPr>
      <xdr:spPr>
        <a:xfrm flipV="1">
          <a:off x="6877981" y="93986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58081</xdr:colOff>
      <xdr:row>53</xdr:row>
      <xdr:rowOff>159446</xdr:rowOff>
    </xdr:from>
    <xdr:to>
      <xdr:col>14</xdr:col>
      <xdr:colOff>562028</xdr:colOff>
      <xdr:row>53</xdr:row>
      <xdr:rowOff>160764</xdr:rowOff>
    </xdr:to>
    <xdr:cxnSp macro="">
      <xdr:nvCxnSpPr>
        <xdr:cNvPr id="712" name="Straight Connector 711">
          <a:extLst>
            <a:ext uri="{FF2B5EF4-FFF2-40B4-BE49-F238E27FC236}">
              <a16:creationId xmlns:a16="http://schemas.microsoft.com/office/drawing/2014/main" id="{0EFD0619-8B33-4047-B7F9-C08EA1215644}"/>
            </a:ext>
          </a:extLst>
        </xdr:cNvPr>
        <xdr:cNvCxnSpPr/>
      </xdr:nvCxnSpPr>
      <xdr:spPr>
        <a:xfrm flipV="1">
          <a:off x="8097181" y="93986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58081</xdr:colOff>
      <xdr:row>53</xdr:row>
      <xdr:rowOff>159446</xdr:rowOff>
    </xdr:from>
    <xdr:to>
      <xdr:col>16</xdr:col>
      <xdr:colOff>562028</xdr:colOff>
      <xdr:row>53</xdr:row>
      <xdr:rowOff>160764</xdr:rowOff>
    </xdr:to>
    <xdr:cxnSp macro="">
      <xdr:nvCxnSpPr>
        <xdr:cNvPr id="713" name="Straight Connector 712">
          <a:extLst>
            <a:ext uri="{FF2B5EF4-FFF2-40B4-BE49-F238E27FC236}">
              <a16:creationId xmlns:a16="http://schemas.microsoft.com/office/drawing/2014/main" id="{9C83A785-FD98-4C5F-B639-0C9D98FE65C9}"/>
            </a:ext>
          </a:extLst>
        </xdr:cNvPr>
        <xdr:cNvCxnSpPr/>
      </xdr:nvCxnSpPr>
      <xdr:spPr>
        <a:xfrm flipV="1">
          <a:off x="9316381" y="93986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58081</xdr:colOff>
      <xdr:row>53</xdr:row>
      <xdr:rowOff>159446</xdr:rowOff>
    </xdr:from>
    <xdr:to>
      <xdr:col>18</xdr:col>
      <xdr:colOff>562028</xdr:colOff>
      <xdr:row>53</xdr:row>
      <xdr:rowOff>160764</xdr:rowOff>
    </xdr:to>
    <xdr:cxnSp macro="">
      <xdr:nvCxnSpPr>
        <xdr:cNvPr id="714" name="Straight Connector 713">
          <a:extLst>
            <a:ext uri="{FF2B5EF4-FFF2-40B4-BE49-F238E27FC236}">
              <a16:creationId xmlns:a16="http://schemas.microsoft.com/office/drawing/2014/main" id="{FE37B35B-8548-4048-9D81-8878FD3D8983}"/>
            </a:ext>
          </a:extLst>
        </xdr:cNvPr>
        <xdr:cNvCxnSpPr/>
      </xdr:nvCxnSpPr>
      <xdr:spPr>
        <a:xfrm flipV="1">
          <a:off x="10535581" y="93986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58081</xdr:colOff>
      <xdr:row>53</xdr:row>
      <xdr:rowOff>159446</xdr:rowOff>
    </xdr:from>
    <xdr:to>
      <xdr:col>20</xdr:col>
      <xdr:colOff>562028</xdr:colOff>
      <xdr:row>53</xdr:row>
      <xdr:rowOff>160764</xdr:rowOff>
    </xdr:to>
    <xdr:cxnSp macro="">
      <xdr:nvCxnSpPr>
        <xdr:cNvPr id="715" name="Straight Connector 714">
          <a:extLst>
            <a:ext uri="{FF2B5EF4-FFF2-40B4-BE49-F238E27FC236}">
              <a16:creationId xmlns:a16="http://schemas.microsoft.com/office/drawing/2014/main" id="{E80D5AD9-BC08-4709-8B46-6189F9A75C8D}"/>
            </a:ext>
          </a:extLst>
        </xdr:cNvPr>
        <xdr:cNvCxnSpPr/>
      </xdr:nvCxnSpPr>
      <xdr:spPr>
        <a:xfrm flipV="1">
          <a:off x="11754781" y="93986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58081</xdr:colOff>
      <xdr:row>54</xdr:row>
      <xdr:rowOff>159446</xdr:rowOff>
    </xdr:from>
    <xdr:to>
      <xdr:col>10</xdr:col>
      <xdr:colOff>562028</xdr:colOff>
      <xdr:row>54</xdr:row>
      <xdr:rowOff>160764</xdr:rowOff>
    </xdr:to>
    <xdr:cxnSp macro="">
      <xdr:nvCxnSpPr>
        <xdr:cNvPr id="716" name="Straight Connector 715">
          <a:extLst>
            <a:ext uri="{FF2B5EF4-FFF2-40B4-BE49-F238E27FC236}">
              <a16:creationId xmlns:a16="http://schemas.microsoft.com/office/drawing/2014/main" id="{906B0C91-ECDF-4E4C-85D6-B2A40A7224AB}"/>
            </a:ext>
          </a:extLst>
        </xdr:cNvPr>
        <xdr:cNvCxnSpPr/>
      </xdr:nvCxnSpPr>
      <xdr:spPr>
        <a:xfrm flipV="1">
          <a:off x="5658781" y="95828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58081</xdr:colOff>
      <xdr:row>54</xdr:row>
      <xdr:rowOff>161846</xdr:rowOff>
    </xdr:from>
    <xdr:to>
      <xdr:col>12</xdr:col>
      <xdr:colOff>562028</xdr:colOff>
      <xdr:row>54</xdr:row>
      <xdr:rowOff>163164</xdr:rowOff>
    </xdr:to>
    <xdr:cxnSp macro="">
      <xdr:nvCxnSpPr>
        <xdr:cNvPr id="717" name="Straight Connector 716">
          <a:extLst>
            <a:ext uri="{FF2B5EF4-FFF2-40B4-BE49-F238E27FC236}">
              <a16:creationId xmlns:a16="http://schemas.microsoft.com/office/drawing/2014/main" id="{2FC7DF11-2433-4110-872F-47E45DDE7F88}"/>
            </a:ext>
          </a:extLst>
        </xdr:cNvPr>
        <xdr:cNvCxnSpPr/>
      </xdr:nvCxnSpPr>
      <xdr:spPr>
        <a:xfrm flipV="1">
          <a:off x="6877981" y="95852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58081</xdr:colOff>
      <xdr:row>54</xdr:row>
      <xdr:rowOff>159446</xdr:rowOff>
    </xdr:from>
    <xdr:to>
      <xdr:col>12</xdr:col>
      <xdr:colOff>562028</xdr:colOff>
      <xdr:row>54</xdr:row>
      <xdr:rowOff>160764</xdr:rowOff>
    </xdr:to>
    <xdr:cxnSp macro="">
      <xdr:nvCxnSpPr>
        <xdr:cNvPr id="718" name="Straight Connector 717">
          <a:extLst>
            <a:ext uri="{FF2B5EF4-FFF2-40B4-BE49-F238E27FC236}">
              <a16:creationId xmlns:a16="http://schemas.microsoft.com/office/drawing/2014/main" id="{4250E878-2BEE-4C2D-B437-719CD09ED4F5}"/>
            </a:ext>
          </a:extLst>
        </xdr:cNvPr>
        <xdr:cNvCxnSpPr/>
      </xdr:nvCxnSpPr>
      <xdr:spPr>
        <a:xfrm flipV="1">
          <a:off x="6877981" y="95828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58081</xdr:colOff>
      <xdr:row>54</xdr:row>
      <xdr:rowOff>161846</xdr:rowOff>
    </xdr:from>
    <xdr:to>
      <xdr:col>14</xdr:col>
      <xdr:colOff>562028</xdr:colOff>
      <xdr:row>54</xdr:row>
      <xdr:rowOff>163164</xdr:rowOff>
    </xdr:to>
    <xdr:cxnSp macro="">
      <xdr:nvCxnSpPr>
        <xdr:cNvPr id="719" name="Straight Connector 718">
          <a:extLst>
            <a:ext uri="{FF2B5EF4-FFF2-40B4-BE49-F238E27FC236}">
              <a16:creationId xmlns:a16="http://schemas.microsoft.com/office/drawing/2014/main" id="{AF2D9010-0E2A-40D6-A188-7ED61749FFC5}"/>
            </a:ext>
          </a:extLst>
        </xdr:cNvPr>
        <xdr:cNvCxnSpPr/>
      </xdr:nvCxnSpPr>
      <xdr:spPr>
        <a:xfrm flipV="1">
          <a:off x="8097181" y="95852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58081</xdr:colOff>
      <xdr:row>54</xdr:row>
      <xdr:rowOff>159446</xdr:rowOff>
    </xdr:from>
    <xdr:to>
      <xdr:col>14</xdr:col>
      <xdr:colOff>562028</xdr:colOff>
      <xdr:row>54</xdr:row>
      <xdr:rowOff>160764</xdr:rowOff>
    </xdr:to>
    <xdr:cxnSp macro="">
      <xdr:nvCxnSpPr>
        <xdr:cNvPr id="720" name="Straight Connector 719">
          <a:extLst>
            <a:ext uri="{FF2B5EF4-FFF2-40B4-BE49-F238E27FC236}">
              <a16:creationId xmlns:a16="http://schemas.microsoft.com/office/drawing/2014/main" id="{2418FB26-24C2-47F0-8B8F-91B4FAB99629}"/>
            </a:ext>
          </a:extLst>
        </xdr:cNvPr>
        <xdr:cNvCxnSpPr/>
      </xdr:nvCxnSpPr>
      <xdr:spPr>
        <a:xfrm flipV="1">
          <a:off x="8097181" y="95828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58081</xdr:colOff>
      <xdr:row>54</xdr:row>
      <xdr:rowOff>161846</xdr:rowOff>
    </xdr:from>
    <xdr:to>
      <xdr:col>16</xdr:col>
      <xdr:colOff>562028</xdr:colOff>
      <xdr:row>54</xdr:row>
      <xdr:rowOff>163164</xdr:rowOff>
    </xdr:to>
    <xdr:cxnSp macro="">
      <xdr:nvCxnSpPr>
        <xdr:cNvPr id="721" name="Straight Connector 720">
          <a:extLst>
            <a:ext uri="{FF2B5EF4-FFF2-40B4-BE49-F238E27FC236}">
              <a16:creationId xmlns:a16="http://schemas.microsoft.com/office/drawing/2014/main" id="{5792A075-757E-4063-BFE8-3287A05AE408}"/>
            </a:ext>
          </a:extLst>
        </xdr:cNvPr>
        <xdr:cNvCxnSpPr/>
      </xdr:nvCxnSpPr>
      <xdr:spPr>
        <a:xfrm flipV="1">
          <a:off x="9316381" y="95852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58081</xdr:colOff>
      <xdr:row>54</xdr:row>
      <xdr:rowOff>159446</xdr:rowOff>
    </xdr:from>
    <xdr:to>
      <xdr:col>16</xdr:col>
      <xdr:colOff>562028</xdr:colOff>
      <xdr:row>54</xdr:row>
      <xdr:rowOff>160764</xdr:rowOff>
    </xdr:to>
    <xdr:cxnSp macro="">
      <xdr:nvCxnSpPr>
        <xdr:cNvPr id="722" name="Straight Connector 721">
          <a:extLst>
            <a:ext uri="{FF2B5EF4-FFF2-40B4-BE49-F238E27FC236}">
              <a16:creationId xmlns:a16="http://schemas.microsoft.com/office/drawing/2014/main" id="{D640849D-DFA8-4281-8B40-D5ABF8540A05}"/>
            </a:ext>
          </a:extLst>
        </xdr:cNvPr>
        <xdr:cNvCxnSpPr/>
      </xdr:nvCxnSpPr>
      <xdr:spPr>
        <a:xfrm flipV="1">
          <a:off x="9316381" y="95828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58081</xdr:colOff>
      <xdr:row>54</xdr:row>
      <xdr:rowOff>161846</xdr:rowOff>
    </xdr:from>
    <xdr:to>
      <xdr:col>18</xdr:col>
      <xdr:colOff>562028</xdr:colOff>
      <xdr:row>54</xdr:row>
      <xdr:rowOff>163164</xdr:rowOff>
    </xdr:to>
    <xdr:cxnSp macro="">
      <xdr:nvCxnSpPr>
        <xdr:cNvPr id="723" name="Straight Connector 722">
          <a:extLst>
            <a:ext uri="{FF2B5EF4-FFF2-40B4-BE49-F238E27FC236}">
              <a16:creationId xmlns:a16="http://schemas.microsoft.com/office/drawing/2014/main" id="{C5D0E226-5006-4B4A-A9A8-F769FF636779}"/>
            </a:ext>
          </a:extLst>
        </xdr:cNvPr>
        <xdr:cNvCxnSpPr/>
      </xdr:nvCxnSpPr>
      <xdr:spPr>
        <a:xfrm flipV="1">
          <a:off x="10535581" y="95852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58081</xdr:colOff>
      <xdr:row>54</xdr:row>
      <xdr:rowOff>159446</xdr:rowOff>
    </xdr:from>
    <xdr:to>
      <xdr:col>18</xdr:col>
      <xdr:colOff>562028</xdr:colOff>
      <xdr:row>54</xdr:row>
      <xdr:rowOff>160764</xdr:rowOff>
    </xdr:to>
    <xdr:cxnSp macro="">
      <xdr:nvCxnSpPr>
        <xdr:cNvPr id="724" name="Straight Connector 723">
          <a:extLst>
            <a:ext uri="{FF2B5EF4-FFF2-40B4-BE49-F238E27FC236}">
              <a16:creationId xmlns:a16="http://schemas.microsoft.com/office/drawing/2014/main" id="{639081F9-7BAC-4D55-A60F-F7C5860C3492}"/>
            </a:ext>
          </a:extLst>
        </xdr:cNvPr>
        <xdr:cNvCxnSpPr/>
      </xdr:nvCxnSpPr>
      <xdr:spPr>
        <a:xfrm flipV="1">
          <a:off x="10535581" y="95828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58081</xdr:colOff>
      <xdr:row>54</xdr:row>
      <xdr:rowOff>161846</xdr:rowOff>
    </xdr:from>
    <xdr:to>
      <xdr:col>20</xdr:col>
      <xdr:colOff>562028</xdr:colOff>
      <xdr:row>54</xdr:row>
      <xdr:rowOff>163164</xdr:rowOff>
    </xdr:to>
    <xdr:cxnSp macro="">
      <xdr:nvCxnSpPr>
        <xdr:cNvPr id="725" name="Straight Connector 724">
          <a:extLst>
            <a:ext uri="{FF2B5EF4-FFF2-40B4-BE49-F238E27FC236}">
              <a16:creationId xmlns:a16="http://schemas.microsoft.com/office/drawing/2014/main" id="{833A4F92-2384-4EC9-9055-68CE73B28118}"/>
            </a:ext>
          </a:extLst>
        </xdr:cNvPr>
        <xdr:cNvCxnSpPr/>
      </xdr:nvCxnSpPr>
      <xdr:spPr>
        <a:xfrm flipV="1">
          <a:off x="11754781" y="95852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58081</xdr:colOff>
      <xdr:row>54</xdr:row>
      <xdr:rowOff>159446</xdr:rowOff>
    </xdr:from>
    <xdr:to>
      <xdr:col>20</xdr:col>
      <xdr:colOff>562028</xdr:colOff>
      <xdr:row>54</xdr:row>
      <xdr:rowOff>160764</xdr:rowOff>
    </xdr:to>
    <xdr:cxnSp macro="">
      <xdr:nvCxnSpPr>
        <xdr:cNvPr id="726" name="Straight Connector 725">
          <a:extLst>
            <a:ext uri="{FF2B5EF4-FFF2-40B4-BE49-F238E27FC236}">
              <a16:creationId xmlns:a16="http://schemas.microsoft.com/office/drawing/2014/main" id="{6294D007-F1CA-416E-ACB7-8FA5060051F0}"/>
            </a:ext>
          </a:extLst>
        </xdr:cNvPr>
        <xdr:cNvCxnSpPr/>
      </xdr:nvCxnSpPr>
      <xdr:spPr>
        <a:xfrm flipV="1">
          <a:off x="11754781" y="95828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58081</xdr:colOff>
      <xdr:row>55</xdr:row>
      <xdr:rowOff>4246</xdr:rowOff>
    </xdr:from>
    <xdr:to>
      <xdr:col>12</xdr:col>
      <xdr:colOff>562028</xdr:colOff>
      <xdr:row>55</xdr:row>
      <xdr:rowOff>5564</xdr:rowOff>
    </xdr:to>
    <xdr:cxnSp macro="">
      <xdr:nvCxnSpPr>
        <xdr:cNvPr id="727" name="Straight Connector 726">
          <a:extLst>
            <a:ext uri="{FF2B5EF4-FFF2-40B4-BE49-F238E27FC236}">
              <a16:creationId xmlns:a16="http://schemas.microsoft.com/office/drawing/2014/main" id="{5902DDAE-1363-4FFC-9A3B-4791E79523AA}"/>
            </a:ext>
          </a:extLst>
        </xdr:cNvPr>
        <xdr:cNvCxnSpPr/>
      </xdr:nvCxnSpPr>
      <xdr:spPr>
        <a:xfrm flipV="1">
          <a:off x="6877981" y="96117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58081</xdr:colOff>
      <xdr:row>55</xdr:row>
      <xdr:rowOff>4246</xdr:rowOff>
    </xdr:from>
    <xdr:to>
      <xdr:col>14</xdr:col>
      <xdr:colOff>562028</xdr:colOff>
      <xdr:row>55</xdr:row>
      <xdr:rowOff>5564</xdr:rowOff>
    </xdr:to>
    <xdr:cxnSp macro="">
      <xdr:nvCxnSpPr>
        <xdr:cNvPr id="728" name="Straight Connector 727">
          <a:extLst>
            <a:ext uri="{FF2B5EF4-FFF2-40B4-BE49-F238E27FC236}">
              <a16:creationId xmlns:a16="http://schemas.microsoft.com/office/drawing/2014/main" id="{23A8C7FD-BD1B-4D63-86C2-E84F06539B3A}"/>
            </a:ext>
          </a:extLst>
        </xdr:cNvPr>
        <xdr:cNvCxnSpPr/>
      </xdr:nvCxnSpPr>
      <xdr:spPr>
        <a:xfrm flipV="1">
          <a:off x="8097181" y="96117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58081</xdr:colOff>
      <xdr:row>55</xdr:row>
      <xdr:rowOff>4246</xdr:rowOff>
    </xdr:from>
    <xdr:to>
      <xdr:col>16</xdr:col>
      <xdr:colOff>562028</xdr:colOff>
      <xdr:row>55</xdr:row>
      <xdr:rowOff>5564</xdr:rowOff>
    </xdr:to>
    <xdr:cxnSp macro="">
      <xdr:nvCxnSpPr>
        <xdr:cNvPr id="729" name="Straight Connector 728">
          <a:extLst>
            <a:ext uri="{FF2B5EF4-FFF2-40B4-BE49-F238E27FC236}">
              <a16:creationId xmlns:a16="http://schemas.microsoft.com/office/drawing/2014/main" id="{D60BD8AA-AE14-4666-AE18-FDC93ADB8A15}"/>
            </a:ext>
          </a:extLst>
        </xdr:cNvPr>
        <xdr:cNvCxnSpPr/>
      </xdr:nvCxnSpPr>
      <xdr:spPr>
        <a:xfrm flipV="1">
          <a:off x="9316381" y="96117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58081</xdr:colOff>
      <xdr:row>55</xdr:row>
      <xdr:rowOff>4246</xdr:rowOff>
    </xdr:from>
    <xdr:to>
      <xdr:col>18</xdr:col>
      <xdr:colOff>562028</xdr:colOff>
      <xdr:row>55</xdr:row>
      <xdr:rowOff>5564</xdr:rowOff>
    </xdr:to>
    <xdr:cxnSp macro="">
      <xdr:nvCxnSpPr>
        <xdr:cNvPr id="730" name="Straight Connector 729">
          <a:extLst>
            <a:ext uri="{FF2B5EF4-FFF2-40B4-BE49-F238E27FC236}">
              <a16:creationId xmlns:a16="http://schemas.microsoft.com/office/drawing/2014/main" id="{C7F77AC8-E973-45A3-B79A-DE9E95D9C2AF}"/>
            </a:ext>
          </a:extLst>
        </xdr:cNvPr>
        <xdr:cNvCxnSpPr/>
      </xdr:nvCxnSpPr>
      <xdr:spPr>
        <a:xfrm flipV="1">
          <a:off x="10535581" y="96117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58081</xdr:colOff>
      <xdr:row>55</xdr:row>
      <xdr:rowOff>4246</xdr:rowOff>
    </xdr:from>
    <xdr:to>
      <xdr:col>20</xdr:col>
      <xdr:colOff>562028</xdr:colOff>
      <xdr:row>55</xdr:row>
      <xdr:rowOff>5564</xdr:rowOff>
    </xdr:to>
    <xdr:cxnSp macro="">
      <xdr:nvCxnSpPr>
        <xdr:cNvPr id="731" name="Straight Connector 730">
          <a:extLst>
            <a:ext uri="{FF2B5EF4-FFF2-40B4-BE49-F238E27FC236}">
              <a16:creationId xmlns:a16="http://schemas.microsoft.com/office/drawing/2014/main" id="{1D80E26E-0EE5-4EA2-A112-F3A55D666873}"/>
            </a:ext>
          </a:extLst>
        </xdr:cNvPr>
        <xdr:cNvCxnSpPr/>
      </xdr:nvCxnSpPr>
      <xdr:spPr>
        <a:xfrm flipV="1">
          <a:off x="11754781" y="96117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81638</xdr:colOff>
      <xdr:row>11</xdr:row>
      <xdr:rowOff>169534</xdr:rowOff>
    </xdr:from>
    <xdr:to>
      <xdr:col>20</xdr:col>
      <xdr:colOff>585586</xdr:colOff>
      <xdr:row>11</xdr:row>
      <xdr:rowOff>170691</xdr:rowOff>
    </xdr:to>
    <xdr:cxnSp macro="">
      <xdr:nvCxnSpPr>
        <xdr:cNvPr id="732" name="Straight Connector 731">
          <a:extLst>
            <a:ext uri="{FF2B5EF4-FFF2-40B4-BE49-F238E27FC236}">
              <a16:creationId xmlns:a16="http://schemas.microsoft.com/office/drawing/2014/main" id="{EBAF3679-EF90-4D27-87AE-BCBB06B88244}"/>
            </a:ext>
          </a:extLst>
        </xdr:cNvPr>
        <xdr:cNvCxnSpPr/>
      </xdr:nvCxnSpPr>
      <xdr:spPr>
        <a:xfrm flipV="1">
          <a:off x="11778338" y="208088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wsDr>
</file>

<file path=xl/drawings/drawing9.xml><?xml version="1.0" encoding="utf-8"?>
<xdr:wsDr xmlns:xdr="http://schemas.openxmlformats.org/drawingml/2006/spreadsheetDrawing" xmlns:a="http://schemas.openxmlformats.org/drawingml/2006/main">
  <xdr:twoCellAnchor>
    <xdr:from>
      <xdr:col>4</xdr:col>
      <xdr:colOff>55843</xdr:colOff>
      <xdr:row>26</xdr:row>
      <xdr:rowOff>139492</xdr:rowOff>
    </xdr:from>
    <xdr:to>
      <xdr:col>4</xdr:col>
      <xdr:colOff>541946</xdr:colOff>
      <xdr:row>26</xdr:row>
      <xdr:rowOff>139492</xdr:rowOff>
    </xdr:to>
    <xdr:cxnSp macro="">
      <xdr:nvCxnSpPr>
        <xdr:cNvPr id="2" name="Straight Connector 1">
          <a:extLst>
            <a:ext uri="{FF2B5EF4-FFF2-40B4-BE49-F238E27FC236}">
              <a16:creationId xmlns:a16="http://schemas.microsoft.com/office/drawing/2014/main" id="{561A9F77-A312-4F66-ABB0-4EAE3C0D3709}"/>
            </a:ext>
          </a:extLst>
        </xdr:cNvPr>
        <xdr:cNvCxnSpPr/>
      </xdr:nvCxnSpPr>
      <xdr:spPr>
        <a:xfrm>
          <a:off x="2678393" y="4686092"/>
          <a:ext cx="486103"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55843</xdr:colOff>
      <xdr:row>32</xdr:row>
      <xdr:rowOff>169413</xdr:rowOff>
    </xdr:from>
    <xdr:to>
      <xdr:col>4</xdr:col>
      <xdr:colOff>541946</xdr:colOff>
      <xdr:row>32</xdr:row>
      <xdr:rowOff>169413</xdr:rowOff>
    </xdr:to>
    <xdr:cxnSp macro="">
      <xdr:nvCxnSpPr>
        <xdr:cNvPr id="3" name="Straight Connector 2">
          <a:extLst>
            <a:ext uri="{FF2B5EF4-FFF2-40B4-BE49-F238E27FC236}">
              <a16:creationId xmlns:a16="http://schemas.microsoft.com/office/drawing/2014/main" id="{663578A9-9793-46E8-B3F8-B020A1C53C04}"/>
            </a:ext>
          </a:extLst>
        </xdr:cNvPr>
        <xdr:cNvCxnSpPr/>
      </xdr:nvCxnSpPr>
      <xdr:spPr>
        <a:xfrm>
          <a:off x="2678393" y="5833613"/>
          <a:ext cx="486103"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55843</xdr:colOff>
      <xdr:row>33</xdr:row>
      <xdr:rowOff>167269</xdr:rowOff>
    </xdr:from>
    <xdr:to>
      <xdr:col>4</xdr:col>
      <xdr:colOff>541946</xdr:colOff>
      <xdr:row>33</xdr:row>
      <xdr:rowOff>167269</xdr:rowOff>
    </xdr:to>
    <xdr:cxnSp macro="">
      <xdr:nvCxnSpPr>
        <xdr:cNvPr id="4" name="Straight Connector 3">
          <a:extLst>
            <a:ext uri="{FF2B5EF4-FFF2-40B4-BE49-F238E27FC236}">
              <a16:creationId xmlns:a16="http://schemas.microsoft.com/office/drawing/2014/main" id="{3CBE42CD-8B1F-4551-9D20-091655939ADF}"/>
            </a:ext>
          </a:extLst>
        </xdr:cNvPr>
        <xdr:cNvCxnSpPr/>
      </xdr:nvCxnSpPr>
      <xdr:spPr>
        <a:xfrm>
          <a:off x="2678393" y="6015619"/>
          <a:ext cx="486103"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25099</xdr:colOff>
      <xdr:row>38</xdr:row>
      <xdr:rowOff>175830</xdr:rowOff>
    </xdr:from>
    <xdr:to>
      <xdr:col>2</xdr:col>
      <xdr:colOff>665179</xdr:colOff>
      <xdr:row>38</xdr:row>
      <xdr:rowOff>175830</xdr:rowOff>
    </xdr:to>
    <xdr:cxnSp macro="">
      <xdr:nvCxnSpPr>
        <xdr:cNvPr id="5" name="Straight Connector 4">
          <a:extLst>
            <a:ext uri="{FF2B5EF4-FFF2-40B4-BE49-F238E27FC236}">
              <a16:creationId xmlns:a16="http://schemas.microsoft.com/office/drawing/2014/main" id="{8D4A2D3C-5C9E-4E76-B011-D99525573C86}"/>
            </a:ext>
          </a:extLst>
        </xdr:cNvPr>
        <xdr:cNvCxnSpPr/>
      </xdr:nvCxnSpPr>
      <xdr:spPr>
        <a:xfrm>
          <a:off x="1244299" y="6805230"/>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26112</xdr:colOff>
      <xdr:row>38</xdr:row>
      <xdr:rowOff>170983</xdr:rowOff>
    </xdr:from>
    <xdr:to>
      <xdr:col>3</xdr:col>
      <xdr:colOff>593040</xdr:colOff>
      <xdr:row>38</xdr:row>
      <xdr:rowOff>170983</xdr:rowOff>
    </xdr:to>
    <xdr:cxnSp macro="">
      <xdr:nvCxnSpPr>
        <xdr:cNvPr id="6" name="Straight Connector 5">
          <a:extLst>
            <a:ext uri="{FF2B5EF4-FFF2-40B4-BE49-F238E27FC236}">
              <a16:creationId xmlns:a16="http://schemas.microsoft.com/office/drawing/2014/main" id="{8DB9D27F-A51A-49F8-8414-0E972D775CB2}"/>
            </a:ext>
          </a:extLst>
        </xdr:cNvPr>
        <xdr:cNvCxnSpPr/>
      </xdr:nvCxnSpPr>
      <xdr:spPr>
        <a:xfrm>
          <a:off x="1975562" y="6800383"/>
          <a:ext cx="566928"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22202</xdr:colOff>
      <xdr:row>38</xdr:row>
      <xdr:rowOff>170983</xdr:rowOff>
    </xdr:from>
    <xdr:to>
      <xdr:col>4</xdr:col>
      <xdr:colOff>589130</xdr:colOff>
      <xdr:row>38</xdr:row>
      <xdr:rowOff>170983</xdr:rowOff>
    </xdr:to>
    <xdr:cxnSp macro="">
      <xdr:nvCxnSpPr>
        <xdr:cNvPr id="7" name="Straight Connector 6">
          <a:extLst>
            <a:ext uri="{FF2B5EF4-FFF2-40B4-BE49-F238E27FC236}">
              <a16:creationId xmlns:a16="http://schemas.microsoft.com/office/drawing/2014/main" id="{C91D4B26-4B2D-46F2-A32B-4C9FD48B2836}"/>
            </a:ext>
          </a:extLst>
        </xdr:cNvPr>
        <xdr:cNvCxnSpPr/>
      </xdr:nvCxnSpPr>
      <xdr:spPr>
        <a:xfrm>
          <a:off x="2644752" y="6800383"/>
          <a:ext cx="516128"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30719</xdr:colOff>
      <xdr:row>65</xdr:row>
      <xdr:rowOff>145082</xdr:rowOff>
    </xdr:from>
    <xdr:to>
      <xdr:col>2</xdr:col>
      <xdr:colOff>670799</xdr:colOff>
      <xdr:row>65</xdr:row>
      <xdr:rowOff>145082</xdr:rowOff>
    </xdr:to>
    <xdr:cxnSp macro="">
      <xdr:nvCxnSpPr>
        <xdr:cNvPr id="8" name="Straight Connector 7">
          <a:extLst>
            <a:ext uri="{FF2B5EF4-FFF2-40B4-BE49-F238E27FC236}">
              <a16:creationId xmlns:a16="http://schemas.microsoft.com/office/drawing/2014/main" id="{84A9E7D7-269B-4E63-A190-2804CDA281D8}"/>
            </a:ext>
          </a:extLst>
        </xdr:cNvPr>
        <xdr:cNvCxnSpPr/>
      </xdr:nvCxnSpPr>
      <xdr:spPr>
        <a:xfrm>
          <a:off x="1249919" y="11473482"/>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26112</xdr:colOff>
      <xdr:row>65</xdr:row>
      <xdr:rowOff>145082</xdr:rowOff>
    </xdr:from>
    <xdr:to>
      <xdr:col>3</xdr:col>
      <xdr:colOff>593040</xdr:colOff>
      <xdr:row>65</xdr:row>
      <xdr:rowOff>145082</xdr:rowOff>
    </xdr:to>
    <xdr:cxnSp macro="">
      <xdr:nvCxnSpPr>
        <xdr:cNvPr id="9" name="Straight Connector 8">
          <a:extLst>
            <a:ext uri="{FF2B5EF4-FFF2-40B4-BE49-F238E27FC236}">
              <a16:creationId xmlns:a16="http://schemas.microsoft.com/office/drawing/2014/main" id="{13F5C4E1-A098-43D3-B9FD-448C0BF4C0F2}"/>
            </a:ext>
          </a:extLst>
        </xdr:cNvPr>
        <xdr:cNvCxnSpPr/>
      </xdr:nvCxnSpPr>
      <xdr:spPr>
        <a:xfrm>
          <a:off x="1975562" y="11473482"/>
          <a:ext cx="566928"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22202</xdr:colOff>
      <xdr:row>65</xdr:row>
      <xdr:rowOff>145082</xdr:rowOff>
    </xdr:from>
    <xdr:to>
      <xdr:col>4</xdr:col>
      <xdr:colOff>589130</xdr:colOff>
      <xdr:row>65</xdr:row>
      <xdr:rowOff>145082</xdr:rowOff>
    </xdr:to>
    <xdr:cxnSp macro="">
      <xdr:nvCxnSpPr>
        <xdr:cNvPr id="10" name="Straight Connector 9">
          <a:extLst>
            <a:ext uri="{FF2B5EF4-FFF2-40B4-BE49-F238E27FC236}">
              <a16:creationId xmlns:a16="http://schemas.microsoft.com/office/drawing/2014/main" id="{E7CE1D99-DC35-4600-87EB-981D50F8EE42}"/>
            </a:ext>
          </a:extLst>
        </xdr:cNvPr>
        <xdr:cNvCxnSpPr/>
      </xdr:nvCxnSpPr>
      <xdr:spPr>
        <a:xfrm>
          <a:off x="2644752" y="11473482"/>
          <a:ext cx="516128"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81981</xdr:colOff>
      <xdr:row>11</xdr:row>
      <xdr:rowOff>169534</xdr:rowOff>
    </xdr:from>
    <xdr:to>
      <xdr:col>10</xdr:col>
      <xdr:colOff>585928</xdr:colOff>
      <xdr:row>11</xdr:row>
      <xdr:rowOff>170691</xdr:rowOff>
    </xdr:to>
    <xdr:cxnSp macro="">
      <xdr:nvCxnSpPr>
        <xdr:cNvPr id="11" name="Straight Connector 10">
          <a:extLst>
            <a:ext uri="{FF2B5EF4-FFF2-40B4-BE49-F238E27FC236}">
              <a16:creationId xmlns:a16="http://schemas.microsoft.com/office/drawing/2014/main" id="{51EDE363-E195-4F61-9DFA-19373E7D9476}"/>
            </a:ext>
          </a:extLst>
        </xdr:cNvPr>
        <xdr:cNvCxnSpPr/>
      </xdr:nvCxnSpPr>
      <xdr:spPr>
        <a:xfrm flipV="1">
          <a:off x="5682681" y="2080884"/>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84473</xdr:colOff>
      <xdr:row>11</xdr:row>
      <xdr:rowOff>169534</xdr:rowOff>
    </xdr:from>
    <xdr:to>
      <xdr:col>12</xdr:col>
      <xdr:colOff>588420</xdr:colOff>
      <xdr:row>11</xdr:row>
      <xdr:rowOff>170691</xdr:rowOff>
    </xdr:to>
    <xdr:cxnSp macro="">
      <xdr:nvCxnSpPr>
        <xdr:cNvPr id="12" name="Straight Connector 11">
          <a:extLst>
            <a:ext uri="{FF2B5EF4-FFF2-40B4-BE49-F238E27FC236}">
              <a16:creationId xmlns:a16="http://schemas.microsoft.com/office/drawing/2014/main" id="{BDB4EEF9-889B-4B9B-9AAB-A1A59C8B820E}"/>
            </a:ext>
          </a:extLst>
        </xdr:cNvPr>
        <xdr:cNvCxnSpPr/>
      </xdr:nvCxnSpPr>
      <xdr:spPr>
        <a:xfrm flipV="1">
          <a:off x="6904373" y="2080884"/>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82797</xdr:colOff>
      <xdr:row>11</xdr:row>
      <xdr:rowOff>169534</xdr:rowOff>
    </xdr:from>
    <xdr:to>
      <xdr:col>14</xdr:col>
      <xdr:colOff>586744</xdr:colOff>
      <xdr:row>11</xdr:row>
      <xdr:rowOff>170691</xdr:rowOff>
    </xdr:to>
    <xdr:cxnSp macro="">
      <xdr:nvCxnSpPr>
        <xdr:cNvPr id="13" name="Straight Connector 12">
          <a:extLst>
            <a:ext uri="{FF2B5EF4-FFF2-40B4-BE49-F238E27FC236}">
              <a16:creationId xmlns:a16="http://schemas.microsoft.com/office/drawing/2014/main" id="{F630188F-D355-42FB-B628-BC9140AD0DA5}"/>
            </a:ext>
          </a:extLst>
        </xdr:cNvPr>
        <xdr:cNvCxnSpPr/>
      </xdr:nvCxnSpPr>
      <xdr:spPr>
        <a:xfrm flipV="1">
          <a:off x="8121897" y="2080884"/>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77421</xdr:colOff>
      <xdr:row>11</xdr:row>
      <xdr:rowOff>169534</xdr:rowOff>
    </xdr:from>
    <xdr:to>
      <xdr:col>16</xdr:col>
      <xdr:colOff>581369</xdr:colOff>
      <xdr:row>11</xdr:row>
      <xdr:rowOff>170691</xdr:rowOff>
    </xdr:to>
    <xdr:cxnSp macro="">
      <xdr:nvCxnSpPr>
        <xdr:cNvPr id="14" name="Straight Connector 13">
          <a:extLst>
            <a:ext uri="{FF2B5EF4-FFF2-40B4-BE49-F238E27FC236}">
              <a16:creationId xmlns:a16="http://schemas.microsoft.com/office/drawing/2014/main" id="{8AE065F6-DB7B-4DCD-AB07-A3A1D7FED170}"/>
            </a:ext>
          </a:extLst>
        </xdr:cNvPr>
        <xdr:cNvCxnSpPr/>
      </xdr:nvCxnSpPr>
      <xdr:spPr>
        <a:xfrm flipV="1">
          <a:off x="9335721" y="208088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81638</xdr:colOff>
      <xdr:row>11</xdr:row>
      <xdr:rowOff>169534</xdr:rowOff>
    </xdr:from>
    <xdr:to>
      <xdr:col>18</xdr:col>
      <xdr:colOff>585586</xdr:colOff>
      <xdr:row>11</xdr:row>
      <xdr:rowOff>170691</xdr:rowOff>
    </xdr:to>
    <xdr:cxnSp macro="">
      <xdr:nvCxnSpPr>
        <xdr:cNvPr id="15" name="Straight Connector 14">
          <a:extLst>
            <a:ext uri="{FF2B5EF4-FFF2-40B4-BE49-F238E27FC236}">
              <a16:creationId xmlns:a16="http://schemas.microsoft.com/office/drawing/2014/main" id="{9CE52838-1253-4ED5-BBF6-9F9D0FAB6FBF}"/>
            </a:ext>
          </a:extLst>
        </xdr:cNvPr>
        <xdr:cNvCxnSpPr/>
      </xdr:nvCxnSpPr>
      <xdr:spPr>
        <a:xfrm flipV="1">
          <a:off x="10559138" y="208088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81505</xdr:colOff>
      <xdr:row>11</xdr:row>
      <xdr:rowOff>169534</xdr:rowOff>
    </xdr:from>
    <xdr:to>
      <xdr:col>20</xdr:col>
      <xdr:colOff>585453</xdr:colOff>
      <xdr:row>11</xdr:row>
      <xdr:rowOff>170691</xdr:rowOff>
    </xdr:to>
    <xdr:cxnSp macro="">
      <xdr:nvCxnSpPr>
        <xdr:cNvPr id="16" name="Straight Connector 15">
          <a:extLst>
            <a:ext uri="{FF2B5EF4-FFF2-40B4-BE49-F238E27FC236}">
              <a16:creationId xmlns:a16="http://schemas.microsoft.com/office/drawing/2014/main" id="{7E178C9B-D2B3-427F-B9FF-350EE8D78851}"/>
            </a:ext>
          </a:extLst>
        </xdr:cNvPr>
        <xdr:cNvCxnSpPr/>
      </xdr:nvCxnSpPr>
      <xdr:spPr>
        <a:xfrm flipV="1">
          <a:off x="11778205" y="208088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81981</xdr:colOff>
      <xdr:row>13</xdr:row>
      <xdr:rowOff>154837</xdr:rowOff>
    </xdr:from>
    <xdr:to>
      <xdr:col>10</xdr:col>
      <xdr:colOff>585928</xdr:colOff>
      <xdr:row>13</xdr:row>
      <xdr:rowOff>155994</xdr:rowOff>
    </xdr:to>
    <xdr:cxnSp macro="">
      <xdr:nvCxnSpPr>
        <xdr:cNvPr id="17" name="Straight Connector 16">
          <a:extLst>
            <a:ext uri="{FF2B5EF4-FFF2-40B4-BE49-F238E27FC236}">
              <a16:creationId xmlns:a16="http://schemas.microsoft.com/office/drawing/2014/main" id="{31F5D7CE-F74A-43A9-8AB4-A343F71839D2}"/>
            </a:ext>
          </a:extLst>
        </xdr:cNvPr>
        <xdr:cNvCxnSpPr/>
      </xdr:nvCxnSpPr>
      <xdr:spPr>
        <a:xfrm flipV="1">
          <a:off x="5682681" y="244083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84473</xdr:colOff>
      <xdr:row>13</xdr:row>
      <xdr:rowOff>154837</xdr:rowOff>
    </xdr:from>
    <xdr:to>
      <xdr:col>12</xdr:col>
      <xdr:colOff>588420</xdr:colOff>
      <xdr:row>13</xdr:row>
      <xdr:rowOff>155994</xdr:rowOff>
    </xdr:to>
    <xdr:cxnSp macro="">
      <xdr:nvCxnSpPr>
        <xdr:cNvPr id="18" name="Straight Connector 17">
          <a:extLst>
            <a:ext uri="{FF2B5EF4-FFF2-40B4-BE49-F238E27FC236}">
              <a16:creationId xmlns:a16="http://schemas.microsoft.com/office/drawing/2014/main" id="{DC1892C6-9599-4DC2-B861-F198E2C2A83B}"/>
            </a:ext>
          </a:extLst>
        </xdr:cNvPr>
        <xdr:cNvCxnSpPr/>
      </xdr:nvCxnSpPr>
      <xdr:spPr>
        <a:xfrm flipV="1">
          <a:off x="6904373" y="244083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82797</xdr:colOff>
      <xdr:row>13</xdr:row>
      <xdr:rowOff>154837</xdr:rowOff>
    </xdr:from>
    <xdr:to>
      <xdr:col>14</xdr:col>
      <xdr:colOff>586744</xdr:colOff>
      <xdr:row>13</xdr:row>
      <xdr:rowOff>155994</xdr:rowOff>
    </xdr:to>
    <xdr:cxnSp macro="">
      <xdr:nvCxnSpPr>
        <xdr:cNvPr id="19" name="Straight Connector 18">
          <a:extLst>
            <a:ext uri="{FF2B5EF4-FFF2-40B4-BE49-F238E27FC236}">
              <a16:creationId xmlns:a16="http://schemas.microsoft.com/office/drawing/2014/main" id="{88815437-818A-4FC3-B598-5FE9A3D9C53D}"/>
            </a:ext>
          </a:extLst>
        </xdr:cNvPr>
        <xdr:cNvCxnSpPr/>
      </xdr:nvCxnSpPr>
      <xdr:spPr>
        <a:xfrm flipV="1">
          <a:off x="8121897" y="244083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92541</xdr:colOff>
      <xdr:row>13</xdr:row>
      <xdr:rowOff>154837</xdr:rowOff>
    </xdr:from>
    <xdr:to>
      <xdr:col>16</xdr:col>
      <xdr:colOff>596489</xdr:colOff>
      <xdr:row>13</xdr:row>
      <xdr:rowOff>155994</xdr:rowOff>
    </xdr:to>
    <xdr:cxnSp macro="">
      <xdr:nvCxnSpPr>
        <xdr:cNvPr id="20" name="Straight Connector 19">
          <a:extLst>
            <a:ext uri="{FF2B5EF4-FFF2-40B4-BE49-F238E27FC236}">
              <a16:creationId xmlns:a16="http://schemas.microsoft.com/office/drawing/2014/main" id="{D693B8EB-E291-4F32-A679-BA53317D5405}"/>
            </a:ext>
          </a:extLst>
        </xdr:cNvPr>
        <xdr:cNvCxnSpPr/>
      </xdr:nvCxnSpPr>
      <xdr:spPr>
        <a:xfrm flipV="1">
          <a:off x="9350841" y="2440837"/>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81638</xdr:colOff>
      <xdr:row>13</xdr:row>
      <xdr:rowOff>154837</xdr:rowOff>
    </xdr:from>
    <xdr:to>
      <xdr:col>18</xdr:col>
      <xdr:colOff>585586</xdr:colOff>
      <xdr:row>13</xdr:row>
      <xdr:rowOff>155994</xdr:rowOff>
    </xdr:to>
    <xdr:cxnSp macro="">
      <xdr:nvCxnSpPr>
        <xdr:cNvPr id="21" name="Straight Connector 20">
          <a:extLst>
            <a:ext uri="{FF2B5EF4-FFF2-40B4-BE49-F238E27FC236}">
              <a16:creationId xmlns:a16="http://schemas.microsoft.com/office/drawing/2014/main" id="{71BD560D-1349-4D65-A7AB-9362FFF2728C}"/>
            </a:ext>
          </a:extLst>
        </xdr:cNvPr>
        <xdr:cNvCxnSpPr/>
      </xdr:nvCxnSpPr>
      <xdr:spPr>
        <a:xfrm flipV="1">
          <a:off x="10559138" y="2440837"/>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81505</xdr:colOff>
      <xdr:row>13</xdr:row>
      <xdr:rowOff>154837</xdr:rowOff>
    </xdr:from>
    <xdr:to>
      <xdr:col>20</xdr:col>
      <xdr:colOff>585453</xdr:colOff>
      <xdr:row>13</xdr:row>
      <xdr:rowOff>155994</xdr:rowOff>
    </xdr:to>
    <xdr:cxnSp macro="">
      <xdr:nvCxnSpPr>
        <xdr:cNvPr id="22" name="Straight Connector 21">
          <a:extLst>
            <a:ext uri="{FF2B5EF4-FFF2-40B4-BE49-F238E27FC236}">
              <a16:creationId xmlns:a16="http://schemas.microsoft.com/office/drawing/2014/main" id="{A96ED40C-068D-4182-B138-F4B78A7F1C13}"/>
            </a:ext>
          </a:extLst>
        </xdr:cNvPr>
        <xdr:cNvCxnSpPr/>
      </xdr:nvCxnSpPr>
      <xdr:spPr>
        <a:xfrm flipV="1">
          <a:off x="11778205" y="2440837"/>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81981</xdr:colOff>
      <xdr:row>16</xdr:row>
      <xdr:rowOff>158334</xdr:rowOff>
    </xdr:from>
    <xdr:to>
      <xdr:col>10</xdr:col>
      <xdr:colOff>585928</xdr:colOff>
      <xdr:row>16</xdr:row>
      <xdr:rowOff>159491</xdr:rowOff>
    </xdr:to>
    <xdr:cxnSp macro="">
      <xdr:nvCxnSpPr>
        <xdr:cNvPr id="23" name="Straight Connector 22">
          <a:extLst>
            <a:ext uri="{FF2B5EF4-FFF2-40B4-BE49-F238E27FC236}">
              <a16:creationId xmlns:a16="http://schemas.microsoft.com/office/drawing/2014/main" id="{4320DF49-D011-483B-9E35-77C023B9130C}"/>
            </a:ext>
          </a:extLst>
        </xdr:cNvPr>
        <xdr:cNvCxnSpPr/>
      </xdr:nvCxnSpPr>
      <xdr:spPr>
        <a:xfrm flipV="1">
          <a:off x="5682681" y="2996784"/>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84473</xdr:colOff>
      <xdr:row>16</xdr:row>
      <xdr:rowOff>158334</xdr:rowOff>
    </xdr:from>
    <xdr:to>
      <xdr:col>12</xdr:col>
      <xdr:colOff>588420</xdr:colOff>
      <xdr:row>16</xdr:row>
      <xdr:rowOff>159491</xdr:rowOff>
    </xdr:to>
    <xdr:cxnSp macro="">
      <xdr:nvCxnSpPr>
        <xdr:cNvPr id="24" name="Straight Connector 23">
          <a:extLst>
            <a:ext uri="{FF2B5EF4-FFF2-40B4-BE49-F238E27FC236}">
              <a16:creationId xmlns:a16="http://schemas.microsoft.com/office/drawing/2014/main" id="{42047B67-FF40-4A56-B032-270DFE8D6D5F}"/>
            </a:ext>
          </a:extLst>
        </xdr:cNvPr>
        <xdr:cNvCxnSpPr/>
      </xdr:nvCxnSpPr>
      <xdr:spPr>
        <a:xfrm flipV="1">
          <a:off x="6904373" y="2996784"/>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82797</xdr:colOff>
      <xdr:row>16</xdr:row>
      <xdr:rowOff>158334</xdr:rowOff>
    </xdr:from>
    <xdr:to>
      <xdr:col>14</xdr:col>
      <xdr:colOff>586744</xdr:colOff>
      <xdr:row>16</xdr:row>
      <xdr:rowOff>159491</xdr:rowOff>
    </xdr:to>
    <xdr:cxnSp macro="">
      <xdr:nvCxnSpPr>
        <xdr:cNvPr id="25" name="Straight Connector 24">
          <a:extLst>
            <a:ext uri="{FF2B5EF4-FFF2-40B4-BE49-F238E27FC236}">
              <a16:creationId xmlns:a16="http://schemas.microsoft.com/office/drawing/2014/main" id="{98B96827-881E-4351-B19F-85C5EFB0DEFC}"/>
            </a:ext>
          </a:extLst>
        </xdr:cNvPr>
        <xdr:cNvCxnSpPr/>
      </xdr:nvCxnSpPr>
      <xdr:spPr>
        <a:xfrm flipV="1">
          <a:off x="8121897" y="2996784"/>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75886</xdr:colOff>
      <xdr:row>16</xdr:row>
      <xdr:rowOff>158334</xdr:rowOff>
    </xdr:from>
    <xdr:to>
      <xdr:col>16</xdr:col>
      <xdr:colOff>579834</xdr:colOff>
      <xdr:row>16</xdr:row>
      <xdr:rowOff>159491</xdr:rowOff>
    </xdr:to>
    <xdr:cxnSp macro="">
      <xdr:nvCxnSpPr>
        <xdr:cNvPr id="26" name="Straight Connector 25">
          <a:extLst>
            <a:ext uri="{FF2B5EF4-FFF2-40B4-BE49-F238E27FC236}">
              <a16:creationId xmlns:a16="http://schemas.microsoft.com/office/drawing/2014/main" id="{D868251B-F7EE-46CF-B4CB-9242BE22517B}"/>
            </a:ext>
          </a:extLst>
        </xdr:cNvPr>
        <xdr:cNvCxnSpPr/>
      </xdr:nvCxnSpPr>
      <xdr:spPr>
        <a:xfrm flipV="1">
          <a:off x="9334186" y="299678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81638</xdr:colOff>
      <xdr:row>16</xdr:row>
      <xdr:rowOff>158334</xdr:rowOff>
    </xdr:from>
    <xdr:to>
      <xdr:col>18</xdr:col>
      <xdr:colOff>585586</xdr:colOff>
      <xdr:row>16</xdr:row>
      <xdr:rowOff>159491</xdr:rowOff>
    </xdr:to>
    <xdr:cxnSp macro="">
      <xdr:nvCxnSpPr>
        <xdr:cNvPr id="27" name="Straight Connector 26">
          <a:extLst>
            <a:ext uri="{FF2B5EF4-FFF2-40B4-BE49-F238E27FC236}">
              <a16:creationId xmlns:a16="http://schemas.microsoft.com/office/drawing/2014/main" id="{F22808CB-70A5-497D-8805-D57CF77D3D1A}"/>
            </a:ext>
          </a:extLst>
        </xdr:cNvPr>
        <xdr:cNvCxnSpPr/>
      </xdr:nvCxnSpPr>
      <xdr:spPr>
        <a:xfrm flipV="1">
          <a:off x="10559138" y="299678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81505</xdr:colOff>
      <xdr:row>16</xdr:row>
      <xdr:rowOff>158334</xdr:rowOff>
    </xdr:from>
    <xdr:to>
      <xdr:col>20</xdr:col>
      <xdr:colOff>585453</xdr:colOff>
      <xdr:row>16</xdr:row>
      <xdr:rowOff>159491</xdr:rowOff>
    </xdr:to>
    <xdr:cxnSp macro="">
      <xdr:nvCxnSpPr>
        <xdr:cNvPr id="28" name="Straight Connector 27">
          <a:extLst>
            <a:ext uri="{FF2B5EF4-FFF2-40B4-BE49-F238E27FC236}">
              <a16:creationId xmlns:a16="http://schemas.microsoft.com/office/drawing/2014/main" id="{A72A7F93-7AAD-4E61-A139-D4B86BFD0F27}"/>
            </a:ext>
          </a:extLst>
        </xdr:cNvPr>
        <xdr:cNvCxnSpPr/>
      </xdr:nvCxnSpPr>
      <xdr:spPr>
        <a:xfrm flipV="1">
          <a:off x="11778205" y="299678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81981</xdr:colOff>
      <xdr:row>18</xdr:row>
      <xdr:rowOff>166215</xdr:rowOff>
    </xdr:from>
    <xdr:to>
      <xdr:col>10</xdr:col>
      <xdr:colOff>585928</xdr:colOff>
      <xdr:row>18</xdr:row>
      <xdr:rowOff>167372</xdr:rowOff>
    </xdr:to>
    <xdr:cxnSp macro="">
      <xdr:nvCxnSpPr>
        <xdr:cNvPr id="29" name="Straight Connector 28">
          <a:extLst>
            <a:ext uri="{FF2B5EF4-FFF2-40B4-BE49-F238E27FC236}">
              <a16:creationId xmlns:a16="http://schemas.microsoft.com/office/drawing/2014/main" id="{5EDDD44B-BA73-4F35-A0E3-EB310FB41019}"/>
            </a:ext>
          </a:extLst>
        </xdr:cNvPr>
        <xdr:cNvCxnSpPr/>
      </xdr:nvCxnSpPr>
      <xdr:spPr>
        <a:xfrm flipV="1">
          <a:off x="5682681" y="337296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84473</xdr:colOff>
      <xdr:row>18</xdr:row>
      <xdr:rowOff>166215</xdr:rowOff>
    </xdr:from>
    <xdr:to>
      <xdr:col>12</xdr:col>
      <xdr:colOff>588420</xdr:colOff>
      <xdr:row>18</xdr:row>
      <xdr:rowOff>167372</xdr:rowOff>
    </xdr:to>
    <xdr:cxnSp macro="">
      <xdr:nvCxnSpPr>
        <xdr:cNvPr id="30" name="Straight Connector 29">
          <a:extLst>
            <a:ext uri="{FF2B5EF4-FFF2-40B4-BE49-F238E27FC236}">
              <a16:creationId xmlns:a16="http://schemas.microsoft.com/office/drawing/2014/main" id="{11168210-D3DF-4C95-8895-F00AF7358F99}"/>
            </a:ext>
          </a:extLst>
        </xdr:cNvPr>
        <xdr:cNvCxnSpPr/>
      </xdr:nvCxnSpPr>
      <xdr:spPr>
        <a:xfrm flipV="1">
          <a:off x="6904373" y="337296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82797</xdr:colOff>
      <xdr:row>18</xdr:row>
      <xdr:rowOff>166215</xdr:rowOff>
    </xdr:from>
    <xdr:to>
      <xdr:col>14</xdr:col>
      <xdr:colOff>586744</xdr:colOff>
      <xdr:row>18</xdr:row>
      <xdr:rowOff>167372</xdr:rowOff>
    </xdr:to>
    <xdr:cxnSp macro="">
      <xdr:nvCxnSpPr>
        <xdr:cNvPr id="31" name="Straight Connector 30">
          <a:extLst>
            <a:ext uri="{FF2B5EF4-FFF2-40B4-BE49-F238E27FC236}">
              <a16:creationId xmlns:a16="http://schemas.microsoft.com/office/drawing/2014/main" id="{40E022C0-7F6D-49E0-B536-53C591C0C4E7}"/>
            </a:ext>
          </a:extLst>
        </xdr:cNvPr>
        <xdr:cNvCxnSpPr/>
      </xdr:nvCxnSpPr>
      <xdr:spPr>
        <a:xfrm flipV="1">
          <a:off x="8121897" y="337296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92941</xdr:colOff>
      <xdr:row>18</xdr:row>
      <xdr:rowOff>166215</xdr:rowOff>
    </xdr:from>
    <xdr:to>
      <xdr:col>16</xdr:col>
      <xdr:colOff>596889</xdr:colOff>
      <xdr:row>18</xdr:row>
      <xdr:rowOff>167372</xdr:rowOff>
    </xdr:to>
    <xdr:cxnSp macro="">
      <xdr:nvCxnSpPr>
        <xdr:cNvPr id="32" name="Straight Connector 31">
          <a:extLst>
            <a:ext uri="{FF2B5EF4-FFF2-40B4-BE49-F238E27FC236}">
              <a16:creationId xmlns:a16="http://schemas.microsoft.com/office/drawing/2014/main" id="{278BC0B8-66FA-4000-BDFB-5B814EFA3BC6}"/>
            </a:ext>
          </a:extLst>
        </xdr:cNvPr>
        <xdr:cNvCxnSpPr/>
      </xdr:nvCxnSpPr>
      <xdr:spPr>
        <a:xfrm flipV="1">
          <a:off x="9351241" y="3372965"/>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81638</xdr:colOff>
      <xdr:row>18</xdr:row>
      <xdr:rowOff>166215</xdr:rowOff>
    </xdr:from>
    <xdr:to>
      <xdr:col>18</xdr:col>
      <xdr:colOff>585586</xdr:colOff>
      <xdr:row>18</xdr:row>
      <xdr:rowOff>167372</xdr:rowOff>
    </xdr:to>
    <xdr:cxnSp macro="">
      <xdr:nvCxnSpPr>
        <xdr:cNvPr id="33" name="Straight Connector 32">
          <a:extLst>
            <a:ext uri="{FF2B5EF4-FFF2-40B4-BE49-F238E27FC236}">
              <a16:creationId xmlns:a16="http://schemas.microsoft.com/office/drawing/2014/main" id="{27035A64-B46E-4ACA-B3A6-AABE3B83B767}"/>
            </a:ext>
          </a:extLst>
        </xdr:cNvPr>
        <xdr:cNvCxnSpPr/>
      </xdr:nvCxnSpPr>
      <xdr:spPr>
        <a:xfrm flipV="1">
          <a:off x="10559138" y="3372965"/>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81505</xdr:colOff>
      <xdr:row>18</xdr:row>
      <xdr:rowOff>166215</xdr:rowOff>
    </xdr:from>
    <xdr:to>
      <xdr:col>20</xdr:col>
      <xdr:colOff>585453</xdr:colOff>
      <xdr:row>18</xdr:row>
      <xdr:rowOff>167372</xdr:rowOff>
    </xdr:to>
    <xdr:cxnSp macro="">
      <xdr:nvCxnSpPr>
        <xdr:cNvPr id="34" name="Straight Connector 33">
          <a:extLst>
            <a:ext uri="{FF2B5EF4-FFF2-40B4-BE49-F238E27FC236}">
              <a16:creationId xmlns:a16="http://schemas.microsoft.com/office/drawing/2014/main" id="{A55F180D-F189-4F5A-AC86-18E5BD772521}"/>
            </a:ext>
          </a:extLst>
        </xdr:cNvPr>
        <xdr:cNvCxnSpPr/>
      </xdr:nvCxnSpPr>
      <xdr:spPr>
        <a:xfrm flipV="1">
          <a:off x="11778205" y="3372965"/>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96981</xdr:colOff>
      <xdr:row>23</xdr:row>
      <xdr:rowOff>152197</xdr:rowOff>
    </xdr:from>
    <xdr:to>
      <xdr:col>10</xdr:col>
      <xdr:colOff>600928</xdr:colOff>
      <xdr:row>23</xdr:row>
      <xdr:rowOff>153354</xdr:rowOff>
    </xdr:to>
    <xdr:cxnSp macro="">
      <xdr:nvCxnSpPr>
        <xdr:cNvPr id="35" name="Straight Connector 34">
          <a:extLst>
            <a:ext uri="{FF2B5EF4-FFF2-40B4-BE49-F238E27FC236}">
              <a16:creationId xmlns:a16="http://schemas.microsoft.com/office/drawing/2014/main" id="{AC15F018-B1BF-43D0-A9AB-0D6924C91752}"/>
            </a:ext>
          </a:extLst>
        </xdr:cNvPr>
        <xdr:cNvCxnSpPr/>
      </xdr:nvCxnSpPr>
      <xdr:spPr>
        <a:xfrm flipV="1">
          <a:off x="5697681" y="414634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99035</xdr:colOff>
      <xdr:row>23</xdr:row>
      <xdr:rowOff>152197</xdr:rowOff>
    </xdr:from>
    <xdr:to>
      <xdr:col>12</xdr:col>
      <xdr:colOff>603858</xdr:colOff>
      <xdr:row>23</xdr:row>
      <xdr:rowOff>153354</xdr:rowOff>
    </xdr:to>
    <xdr:cxnSp macro="">
      <xdr:nvCxnSpPr>
        <xdr:cNvPr id="36" name="Straight Connector 35">
          <a:extLst>
            <a:ext uri="{FF2B5EF4-FFF2-40B4-BE49-F238E27FC236}">
              <a16:creationId xmlns:a16="http://schemas.microsoft.com/office/drawing/2014/main" id="{3C1D8277-D773-4336-A47F-E87413D3CC13}"/>
            </a:ext>
          </a:extLst>
        </xdr:cNvPr>
        <xdr:cNvCxnSpPr/>
      </xdr:nvCxnSpPr>
      <xdr:spPr>
        <a:xfrm flipV="1">
          <a:off x="6918935" y="4146347"/>
          <a:ext cx="1114423"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97360</xdr:colOff>
      <xdr:row>23</xdr:row>
      <xdr:rowOff>152197</xdr:rowOff>
    </xdr:from>
    <xdr:to>
      <xdr:col>14</xdr:col>
      <xdr:colOff>602182</xdr:colOff>
      <xdr:row>23</xdr:row>
      <xdr:rowOff>153354</xdr:rowOff>
    </xdr:to>
    <xdr:cxnSp macro="">
      <xdr:nvCxnSpPr>
        <xdr:cNvPr id="37" name="Straight Connector 36">
          <a:extLst>
            <a:ext uri="{FF2B5EF4-FFF2-40B4-BE49-F238E27FC236}">
              <a16:creationId xmlns:a16="http://schemas.microsoft.com/office/drawing/2014/main" id="{36EA9DF2-4A27-4A5E-9002-F5F6DD3B565D}"/>
            </a:ext>
          </a:extLst>
        </xdr:cNvPr>
        <xdr:cNvCxnSpPr/>
      </xdr:nvCxnSpPr>
      <xdr:spPr>
        <a:xfrm flipV="1">
          <a:off x="8136460" y="4146347"/>
          <a:ext cx="1114422"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107963</xdr:colOff>
      <xdr:row>23</xdr:row>
      <xdr:rowOff>152197</xdr:rowOff>
    </xdr:from>
    <xdr:to>
      <xdr:col>17</xdr:col>
      <xdr:colOff>1866</xdr:colOff>
      <xdr:row>23</xdr:row>
      <xdr:rowOff>153354</xdr:rowOff>
    </xdr:to>
    <xdr:cxnSp macro="">
      <xdr:nvCxnSpPr>
        <xdr:cNvPr id="38" name="Straight Connector 37">
          <a:extLst>
            <a:ext uri="{FF2B5EF4-FFF2-40B4-BE49-F238E27FC236}">
              <a16:creationId xmlns:a16="http://schemas.microsoft.com/office/drawing/2014/main" id="{CAE08ED2-C630-41C0-975E-E3851745A183}"/>
            </a:ext>
          </a:extLst>
        </xdr:cNvPr>
        <xdr:cNvCxnSpPr/>
      </xdr:nvCxnSpPr>
      <xdr:spPr>
        <a:xfrm flipV="1">
          <a:off x="9366263" y="4146347"/>
          <a:ext cx="1113103"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96661</xdr:colOff>
      <xdr:row>23</xdr:row>
      <xdr:rowOff>152197</xdr:rowOff>
    </xdr:from>
    <xdr:to>
      <xdr:col>18</xdr:col>
      <xdr:colOff>600563</xdr:colOff>
      <xdr:row>23</xdr:row>
      <xdr:rowOff>153354</xdr:rowOff>
    </xdr:to>
    <xdr:cxnSp macro="">
      <xdr:nvCxnSpPr>
        <xdr:cNvPr id="39" name="Straight Connector 38">
          <a:extLst>
            <a:ext uri="{FF2B5EF4-FFF2-40B4-BE49-F238E27FC236}">
              <a16:creationId xmlns:a16="http://schemas.microsoft.com/office/drawing/2014/main" id="{1B91AB45-4136-465E-A628-4B5F784EA5F8}"/>
            </a:ext>
          </a:extLst>
        </xdr:cNvPr>
        <xdr:cNvCxnSpPr/>
      </xdr:nvCxnSpPr>
      <xdr:spPr>
        <a:xfrm flipV="1">
          <a:off x="10574161" y="4146347"/>
          <a:ext cx="1113502"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81527</xdr:colOff>
      <xdr:row>23</xdr:row>
      <xdr:rowOff>152197</xdr:rowOff>
    </xdr:from>
    <xdr:to>
      <xdr:col>20</xdr:col>
      <xdr:colOff>585430</xdr:colOff>
      <xdr:row>23</xdr:row>
      <xdr:rowOff>153354</xdr:rowOff>
    </xdr:to>
    <xdr:cxnSp macro="">
      <xdr:nvCxnSpPr>
        <xdr:cNvPr id="40" name="Straight Connector 39">
          <a:extLst>
            <a:ext uri="{FF2B5EF4-FFF2-40B4-BE49-F238E27FC236}">
              <a16:creationId xmlns:a16="http://schemas.microsoft.com/office/drawing/2014/main" id="{CDB14E14-57F7-4987-B6BA-0A38895CDC7E}"/>
            </a:ext>
          </a:extLst>
        </xdr:cNvPr>
        <xdr:cNvCxnSpPr/>
      </xdr:nvCxnSpPr>
      <xdr:spPr>
        <a:xfrm flipV="1">
          <a:off x="11778227" y="4146347"/>
          <a:ext cx="1113503"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81981</xdr:colOff>
      <xdr:row>24</xdr:row>
      <xdr:rowOff>191437</xdr:rowOff>
    </xdr:from>
    <xdr:to>
      <xdr:col>10</xdr:col>
      <xdr:colOff>585928</xdr:colOff>
      <xdr:row>24</xdr:row>
      <xdr:rowOff>192594</xdr:rowOff>
    </xdr:to>
    <xdr:cxnSp macro="">
      <xdr:nvCxnSpPr>
        <xdr:cNvPr id="41" name="Straight Connector 40">
          <a:extLst>
            <a:ext uri="{FF2B5EF4-FFF2-40B4-BE49-F238E27FC236}">
              <a16:creationId xmlns:a16="http://schemas.microsoft.com/office/drawing/2014/main" id="{ADD27536-1AE8-4FBE-8C22-EC05A4CA259D}"/>
            </a:ext>
          </a:extLst>
        </xdr:cNvPr>
        <xdr:cNvCxnSpPr/>
      </xdr:nvCxnSpPr>
      <xdr:spPr>
        <a:xfrm flipV="1">
          <a:off x="5682681" y="436338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84473</xdr:colOff>
      <xdr:row>24</xdr:row>
      <xdr:rowOff>191437</xdr:rowOff>
    </xdr:from>
    <xdr:to>
      <xdr:col>12</xdr:col>
      <xdr:colOff>588420</xdr:colOff>
      <xdr:row>24</xdr:row>
      <xdr:rowOff>192594</xdr:rowOff>
    </xdr:to>
    <xdr:cxnSp macro="">
      <xdr:nvCxnSpPr>
        <xdr:cNvPr id="42" name="Straight Connector 41">
          <a:extLst>
            <a:ext uri="{FF2B5EF4-FFF2-40B4-BE49-F238E27FC236}">
              <a16:creationId xmlns:a16="http://schemas.microsoft.com/office/drawing/2014/main" id="{E0EFAD05-2A48-432B-A9EA-2C2EFB5462F2}"/>
            </a:ext>
          </a:extLst>
        </xdr:cNvPr>
        <xdr:cNvCxnSpPr/>
      </xdr:nvCxnSpPr>
      <xdr:spPr>
        <a:xfrm flipV="1">
          <a:off x="6904373" y="436338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82797</xdr:colOff>
      <xdr:row>24</xdr:row>
      <xdr:rowOff>191437</xdr:rowOff>
    </xdr:from>
    <xdr:to>
      <xdr:col>14</xdr:col>
      <xdr:colOff>586744</xdr:colOff>
      <xdr:row>24</xdr:row>
      <xdr:rowOff>192594</xdr:rowOff>
    </xdr:to>
    <xdr:cxnSp macro="">
      <xdr:nvCxnSpPr>
        <xdr:cNvPr id="43" name="Straight Connector 42">
          <a:extLst>
            <a:ext uri="{FF2B5EF4-FFF2-40B4-BE49-F238E27FC236}">
              <a16:creationId xmlns:a16="http://schemas.microsoft.com/office/drawing/2014/main" id="{6F953728-165A-464B-930C-C07C5B53B22B}"/>
            </a:ext>
          </a:extLst>
        </xdr:cNvPr>
        <xdr:cNvCxnSpPr/>
      </xdr:nvCxnSpPr>
      <xdr:spPr>
        <a:xfrm flipV="1">
          <a:off x="8121897" y="436338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92941</xdr:colOff>
      <xdr:row>24</xdr:row>
      <xdr:rowOff>191437</xdr:rowOff>
    </xdr:from>
    <xdr:to>
      <xdr:col>16</xdr:col>
      <xdr:colOff>596889</xdr:colOff>
      <xdr:row>24</xdr:row>
      <xdr:rowOff>192594</xdr:rowOff>
    </xdr:to>
    <xdr:cxnSp macro="">
      <xdr:nvCxnSpPr>
        <xdr:cNvPr id="44" name="Straight Connector 43">
          <a:extLst>
            <a:ext uri="{FF2B5EF4-FFF2-40B4-BE49-F238E27FC236}">
              <a16:creationId xmlns:a16="http://schemas.microsoft.com/office/drawing/2014/main" id="{09A729A3-D254-449B-AB27-1D94C5D29CFF}"/>
            </a:ext>
          </a:extLst>
        </xdr:cNvPr>
        <xdr:cNvCxnSpPr/>
      </xdr:nvCxnSpPr>
      <xdr:spPr>
        <a:xfrm flipV="1">
          <a:off x="9351241" y="4363387"/>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81638</xdr:colOff>
      <xdr:row>24</xdr:row>
      <xdr:rowOff>191437</xdr:rowOff>
    </xdr:from>
    <xdr:to>
      <xdr:col>18</xdr:col>
      <xdr:colOff>585586</xdr:colOff>
      <xdr:row>24</xdr:row>
      <xdr:rowOff>192594</xdr:rowOff>
    </xdr:to>
    <xdr:cxnSp macro="">
      <xdr:nvCxnSpPr>
        <xdr:cNvPr id="45" name="Straight Connector 44">
          <a:extLst>
            <a:ext uri="{FF2B5EF4-FFF2-40B4-BE49-F238E27FC236}">
              <a16:creationId xmlns:a16="http://schemas.microsoft.com/office/drawing/2014/main" id="{5A11612D-4CCC-4297-AA58-1BCF2A5765FF}"/>
            </a:ext>
          </a:extLst>
        </xdr:cNvPr>
        <xdr:cNvCxnSpPr/>
      </xdr:nvCxnSpPr>
      <xdr:spPr>
        <a:xfrm flipV="1">
          <a:off x="10559138" y="4363387"/>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81505</xdr:colOff>
      <xdr:row>24</xdr:row>
      <xdr:rowOff>191437</xdr:rowOff>
    </xdr:from>
    <xdr:to>
      <xdr:col>20</xdr:col>
      <xdr:colOff>585453</xdr:colOff>
      <xdr:row>24</xdr:row>
      <xdr:rowOff>192594</xdr:rowOff>
    </xdr:to>
    <xdr:cxnSp macro="">
      <xdr:nvCxnSpPr>
        <xdr:cNvPr id="46" name="Straight Connector 45">
          <a:extLst>
            <a:ext uri="{FF2B5EF4-FFF2-40B4-BE49-F238E27FC236}">
              <a16:creationId xmlns:a16="http://schemas.microsoft.com/office/drawing/2014/main" id="{909BD630-2D9E-4979-BD2F-73C89B30169C}"/>
            </a:ext>
          </a:extLst>
        </xdr:cNvPr>
        <xdr:cNvCxnSpPr/>
      </xdr:nvCxnSpPr>
      <xdr:spPr>
        <a:xfrm flipV="1">
          <a:off x="11778205" y="4363387"/>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81981</xdr:colOff>
      <xdr:row>25</xdr:row>
      <xdr:rowOff>5545</xdr:rowOff>
    </xdr:from>
    <xdr:to>
      <xdr:col>10</xdr:col>
      <xdr:colOff>585928</xdr:colOff>
      <xdr:row>25</xdr:row>
      <xdr:rowOff>6702</xdr:rowOff>
    </xdr:to>
    <xdr:cxnSp macro="">
      <xdr:nvCxnSpPr>
        <xdr:cNvPr id="47" name="Straight Connector 46">
          <a:extLst>
            <a:ext uri="{FF2B5EF4-FFF2-40B4-BE49-F238E27FC236}">
              <a16:creationId xmlns:a16="http://schemas.microsoft.com/office/drawing/2014/main" id="{8B57E250-E7FD-40FE-9F35-91CC49F881CF}"/>
            </a:ext>
          </a:extLst>
        </xdr:cNvPr>
        <xdr:cNvCxnSpPr/>
      </xdr:nvCxnSpPr>
      <xdr:spPr>
        <a:xfrm flipV="1">
          <a:off x="5682681" y="436799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84473</xdr:colOff>
      <xdr:row>25</xdr:row>
      <xdr:rowOff>5545</xdr:rowOff>
    </xdr:from>
    <xdr:to>
      <xdr:col>12</xdr:col>
      <xdr:colOff>588420</xdr:colOff>
      <xdr:row>25</xdr:row>
      <xdr:rowOff>6702</xdr:rowOff>
    </xdr:to>
    <xdr:cxnSp macro="">
      <xdr:nvCxnSpPr>
        <xdr:cNvPr id="48" name="Straight Connector 47">
          <a:extLst>
            <a:ext uri="{FF2B5EF4-FFF2-40B4-BE49-F238E27FC236}">
              <a16:creationId xmlns:a16="http://schemas.microsoft.com/office/drawing/2014/main" id="{D8A3D314-8F6A-4C00-9BC0-DDC2D3BFB9EF}"/>
            </a:ext>
          </a:extLst>
        </xdr:cNvPr>
        <xdr:cNvCxnSpPr/>
      </xdr:nvCxnSpPr>
      <xdr:spPr>
        <a:xfrm flipV="1">
          <a:off x="6904373" y="436799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82797</xdr:colOff>
      <xdr:row>25</xdr:row>
      <xdr:rowOff>5545</xdr:rowOff>
    </xdr:from>
    <xdr:to>
      <xdr:col>14</xdr:col>
      <xdr:colOff>586744</xdr:colOff>
      <xdr:row>25</xdr:row>
      <xdr:rowOff>6702</xdr:rowOff>
    </xdr:to>
    <xdr:cxnSp macro="">
      <xdr:nvCxnSpPr>
        <xdr:cNvPr id="49" name="Straight Connector 48">
          <a:extLst>
            <a:ext uri="{FF2B5EF4-FFF2-40B4-BE49-F238E27FC236}">
              <a16:creationId xmlns:a16="http://schemas.microsoft.com/office/drawing/2014/main" id="{3575394C-3BCB-476D-AC7D-0F10E8AF1968}"/>
            </a:ext>
          </a:extLst>
        </xdr:cNvPr>
        <xdr:cNvCxnSpPr/>
      </xdr:nvCxnSpPr>
      <xdr:spPr>
        <a:xfrm flipV="1">
          <a:off x="8121897" y="436799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92941</xdr:colOff>
      <xdr:row>25</xdr:row>
      <xdr:rowOff>5545</xdr:rowOff>
    </xdr:from>
    <xdr:to>
      <xdr:col>16</xdr:col>
      <xdr:colOff>596889</xdr:colOff>
      <xdr:row>25</xdr:row>
      <xdr:rowOff>6702</xdr:rowOff>
    </xdr:to>
    <xdr:cxnSp macro="">
      <xdr:nvCxnSpPr>
        <xdr:cNvPr id="50" name="Straight Connector 49">
          <a:extLst>
            <a:ext uri="{FF2B5EF4-FFF2-40B4-BE49-F238E27FC236}">
              <a16:creationId xmlns:a16="http://schemas.microsoft.com/office/drawing/2014/main" id="{A0A545FE-7BE3-4D28-B8BA-40714CACF1F5}"/>
            </a:ext>
          </a:extLst>
        </xdr:cNvPr>
        <xdr:cNvCxnSpPr/>
      </xdr:nvCxnSpPr>
      <xdr:spPr>
        <a:xfrm flipV="1">
          <a:off x="9351241" y="4367995"/>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81638</xdr:colOff>
      <xdr:row>25</xdr:row>
      <xdr:rowOff>5545</xdr:rowOff>
    </xdr:from>
    <xdr:to>
      <xdr:col>18</xdr:col>
      <xdr:colOff>585586</xdr:colOff>
      <xdr:row>25</xdr:row>
      <xdr:rowOff>6702</xdr:rowOff>
    </xdr:to>
    <xdr:cxnSp macro="">
      <xdr:nvCxnSpPr>
        <xdr:cNvPr id="51" name="Straight Connector 50">
          <a:extLst>
            <a:ext uri="{FF2B5EF4-FFF2-40B4-BE49-F238E27FC236}">
              <a16:creationId xmlns:a16="http://schemas.microsoft.com/office/drawing/2014/main" id="{B8AA7608-93ED-45EF-A236-6DE063961642}"/>
            </a:ext>
          </a:extLst>
        </xdr:cNvPr>
        <xdr:cNvCxnSpPr/>
      </xdr:nvCxnSpPr>
      <xdr:spPr>
        <a:xfrm flipV="1">
          <a:off x="10559138" y="4367995"/>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81505</xdr:colOff>
      <xdr:row>25</xdr:row>
      <xdr:rowOff>5545</xdr:rowOff>
    </xdr:from>
    <xdr:to>
      <xdr:col>20</xdr:col>
      <xdr:colOff>585453</xdr:colOff>
      <xdr:row>25</xdr:row>
      <xdr:rowOff>6702</xdr:rowOff>
    </xdr:to>
    <xdr:cxnSp macro="">
      <xdr:nvCxnSpPr>
        <xdr:cNvPr id="52" name="Straight Connector 51">
          <a:extLst>
            <a:ext uri="{FF2B5EF4-FFF2-40B4-BE49-F238E27FC236}">
              <a16:creationId xmlns:a16="http://schemas.microsoft.com/office/drawing/2014/main" id="{E52130B4-6697-4644-BC7F-42525B5F07FC}"/>
            </a:ext>
          </a:extLst>
        </xdr:cNvPr>
        <xdr:cNvCxnSpPr/>
      </xdr:nvCxnSpPr>
      <xdr:spPr>
        <a:xfrm flipV="1">
          <a:off x="11778205" y="4367995"/>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66609</xdr:colOff>
      <xdr:row>10</xdr:row>
      <xdr:rowOff>179312</xdr:rowOff>
    </xdr:from>
    <xdr:to>
      <xdr:col>14</xdr:col>
      <xdr:colOff>581713</xdr:colOff>
      <xdr:row>10</xdr:row>
      <xdr:rowOff>179312</xdr:rowOff>
    </xdr:to>
    <xdr:cxnSp macro="">
      <xdr:nvCxnSpPr>
        <xdr:cNvPr id="53" name="Straight Connector 52">
          <a:extLst>
            <a:ext uri="{FF2B5EF4-FFF2-40B4-BE49-F238E27FC236}">
              <a16:creationId xmlns:a16="http://schemas.microsoft.com/office/drawing/2014/main" id="{A8B028B4-9D16-4009-8289-735F46A02B67}"/>
            </a:ext>
          </a:extLst>
        </xdr:cNvPr>
        <xdr:cNvCxnSpPr/>
      </xdr:nvCxnSpPr>
      <xdr:spPr>
        <a:xfrm>
          <a:off x="5667309" y="1906512"/>
          <a:ext cx="3563104"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9641</xdr:colOff>
      <xdr:row>31</xdr:row>
      <xdr:rowOff>163361</xdr:rowOff>
    </xdr:from>
    <xdr:to>
      <xdr:col>21</xdr:col>
      <xdr:colOff>41413</xdr:colOff>
      <xdr:row>31</xdr:row>
      <xdr:rowOff>163361</xdr:rowOff>
    </xdr:to>
    <xdr:cxnSp macro="">
      <xdr:nvCxnSpPr>
        <xdr:cNvPr id="54" name="Straight Connector 53">
          <a:extLst>
            <a:ext uri="{FF2B5EF4-FFF2-40B4-BE49-F238E27FC236}">
              <a16:creationId xmlns:a16="http://schemas.microsoft.com/office/drawing/2014/main" id="{3854FF65-8E84-4F0B-BFE1-9CBBB3672603}"/>
            </a:ext>
          </a:extLst>
        </xdr:cNvPr>
        <xdr:cNvCxnSpPr/>
      </xdr:nvCxnSpPr>
      <xdr:spPr>
        <a:xfrm>
          <a:off x="3781541" y="5637061"/>
          <a:ext cx="9175772" cy="0"/>
        </a:xfrm>
        <a:prstGeom prst="line">
          <a:avLst/>
        </a:prstGeom>
        <a:ln w="12700">
          <a:solidFill>
            <a:schemeClr val="bg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76881</xdr:colOff>
      <xdr:row>33</xdr:row>
      <xdr:rowOff>162327</xdr:rowOff>
    </xdr:from>
    <xdr:to>
      <xdr:col>10</xdr:col>
      <xdr:colOff>580828</xdr:colOff>
      <xdr:row>33</xdr:row>
      <xdr:rowOff>163484</xdr:rowOff>
    </xdr:to>
    <xdr:cxnSp macro="">
      <xdr:nvCxnSpPr>
        <xdr:cNvPr id="55" name="Straight Connector 54">
          <a:extLst>
            <a:ext uri="{FF2B5EF4-FFF2-40B4-BE49-F238E27FC236}">
              <a16:creationId xmlns:a16="http://schemas.microsoft.com/office/drawing/2014/main" id="{AF2163FE-949D-4207-83E4-5399F0BEB9B2}"/>
            </a:ext>
          </a:extLst>
        </xdr:cNvPr>
        <xdr:cNvCxnSpPr/>
      </xdr:nvCxnSpPr>
      <xdr:spPr>
        <a:xfrm flipV="1">
          <a:off x="5677581" y="601067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78935</xdr:colOff>
      <xdr:row>33</xdr:row>
      <xdr:rowOff>162327</xdr:rowOff>
    </xdr:from>
    <xdr:to>
      <xdr:col>12</xdr:col>
      <xdr:colOff>583758</xdr:colOff>
      <xdr:row>33</xdr:row>
      <xdr:rowOff>163484</xdr:rowOff>
    </xdr:to>
    <xdr:cxnSp macro="">
      <xdr:nvCxnSpPr>
        <xdr:cNvPr id="56" name="Straight Connector 55">
          <a:extLst>
            <a:ext uri="{FF2B5EF4-FFF2-40B4-BE49-F238E27FC236}">
              <a16:creationId xmlns:a16="http://schemas.microsoft.com/office/drawing/2014/main" id="{D84AB1AC-C861-40C0-8888-3CA59FB1B1F2}"/>
            </a:ext>
          </a:extLst>
        </xdr:cNvPr>
        <xdr:cNvCxnSpPr/>
      </xdr:nvCxnSpPr>
      <xdr:spPr>
        <a:xfrm flipV="1">
          <a:off x="6898835" y="6010677"/>
          <a:ext cx="1114423"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77260</xdr:colOff>
      <xdr:row>33</xdr:row>
      <xdr:rowOff>162327</xdr:rowOff>
    </xdr:from>
    <xdr:to>
      <xdr:col>14</xdr:col>
      <xdr:colOff>582082</xdr:colOff>
      <xdr:row>33</xdr:row>
      <xdr:rowOff>163484</xdr:rowOff>
    </xdr:to>
    <xdr:cxnSp macro="">
      <xdr:nvCxnSpPr>
        <xdr:cNvPr id="57" name="Straight Connector 56">
          <a:extLst>
            <a:ext uri="{FF2B5EF4-FFF2-40B4-BE49-F238E27FC236}">
              <a16:creationId xmlns:a16="http://schemas.microsoft.com/office/drawing/2014/main" id="{63DC802C-7ECF-4889-8BE2-E45665F933D5}"/>
            </a:ext>
          </a:extLst>
        </xdr:cNvPr>
        <xdr:cNvCxnSpPr/>
      </xdr:nvCxnSpPr>
      <xdr:spPr>
        <a:xfrm flipV="1">
          <a:off x="8116360" y="6010677"/>
          <a:ext cx="1114422"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87863</xdr:colOff>
      <xdr:row>33</xdr:row>
      <xdr:rowOff>162327</xdr:rowOff>
    </xdr:from>
    <xdr:to>
      <xdr:col>16</xdr:col>
      <xdr:colOff>591766</xdr:colOff>
      <xdr:row>33</xdr:row>
      <xdr:rowOff>163484</xdr:rowOff>
    </xdr:to>
    <xdr:cxnSp macro="">
      <xdr:nvCxnSpPr>
        <xdr:cNvPr id="58" name="Straight Connector 57">
          <a:extLst>
            <a:ext uri="{FF2B5EF4-FFF2-40B4-BE49-F238E27FC236}">
              <a16:creationId xmlns:a16="http://schemas.microsoft.com/office/drawing/2014/main" id="{6C71E52E-C5E1-4AFD-B4C8-ACF2BDB7DA85}"/>
            </a:ext>
          </a:extLst>
        </xdr:cNvPr>
        <xdr:cNvCxnSpPr/>
      </xdr:nvCxnSpPr>
      <xdr:spPr>
        <a:xfrm flipV="1">
          <a:off x="9346163" y="6010677"/>
          <a:ext cx="1113503"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76561</xdr:colOff>
      <xdr:row>33</xdr:row>
      <xdr:rowOff>162327</xdr:rowOff>
    </xdr:from>
    <xdr:to>
      <xdr:col>18</xdr:col>
      <xdr:colOff>580463</xdr:colOff>
      <xdr:row>33</xdr:row>
      <xdr:rowOff>163484</xdr:rowOff>
    </xdr:to>
    <xdr:cxnSp macro="">
      <xdr:nvCxnSpPr>
        <xdr:cNvPr id="59" name="Straight Connector 58">
          <a:extLst>
            <a:ext uri="{FF2B5EF4-FFF2-40B4-BE49-F238E27FC236}">
              <a16:creationId xmlns:a16="http://schemas.microsoft.com/office/drawing/2014/main" id="{1C89E81B-9177-4587-BD4F-294A5CAAD2EA}"/>
            </a:ext>
          </a:extLst>
        </xdr:cNvPr>
        <xdr:cNvCxnSpPr/>
      </xdr:nvCxnSpPr>
      <xdr:spPr>
        <a:xfrm flipV="1">
          <a:off x="10554061" y="6010677"/>
          <a:ext cx="1113502"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61427</xdr:colOff>
      <xdr:row>33</xdr:row>
      <xdr:rowOff>162327</xdr:rowOff>
    </xdr:from>
    <xdr:to>
      <xdr:col>20</xdr:col>
      <xdr:colOff>565330</xdr:colOff>
      <xdr:row>33</xdr:row>
      <xdr:rowOff>163484</xdr:rowOff>
    </xdr:to>
    <xdr:cxnSp macro="">
      <xdr:nvCxnSpPr>
        <xdr:cNvPr id="60" name="Straight Connector 59">
          <a:extLst>
            <a:ext uri="{FF2B5EF4-FFF2-40B4-BE49-F238E27FC236}">
              <a16:creationId xmlns:a16="http://schemas.microsoft.com/office/drawing/2014/main" id="{867A05EA-4C27-44C5-B610-A02A1FB1839D}"/>
            </a:ext>
          </a:extLst>
        </xdr:cNvPr>
        <xdr:cNvCxnSpPr/>
      </xdr:nvCxnSpPr>
      <xdr:spPr>
        <a:xfrm flipV="1">
          <a:off x="11758127" y="6010677"/>
          <a:ext cx="1113503"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76881</xdr:colOff>
      <xdr:row>40</xdr:row>
      <xdr:rowOff>159727</xdr:rowOff>
    </xdr:from>
    <xdr:to>
      <xdr:col>10</xdr:col>
      <xdr:colOff>580828</xdr:colOff>
      <xdr:row>40</xdr:row>
      <xdr:rowOff>160884</xdr:rowOff>
    </xdr:to>
    <xdr:cxnSp macro="">
      <xdr:nvCxnSpPr>
        <xdr:cNvPr id="61" name="Straight Connector 60">
          <a:extLst>
            <a:ext uri="{FF2B5EF4-FFF2-40B4-BE49-F238E27FC236}">
              <a16:creationId xmlns:a16="http://schemas.microsoft.com/office/drawing/2014/main" id="{0BA01220-3BCD-4856-A434-D7FC646CBD0A}"/>
            </a:ext>
          </a:extLst>
        </xdr:cNvPr>
        <xdr:cNvCxnSpPr/>
      </xdr:nvCxnSpPr>
      <xdr:spPr>
        <a:xfrm flipV="1">
          <a:off x="5677581" y="715742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78935</xdr:colOff>
      <xdr:row>40</xdr:row>
      <xdr:rowOff>159727</xdr:rowOff>
    </xdr:from>
    <xdr:to>
      <xdr:col>12</xdr:col>
      <xdr:colOff>583758</xdr:colOff>
      <xdr:row>40</xdr:row>
      <xdr:rowOff>160884</xdr:rowOff>
    </xdr:to>
    <xdr:cxnSp macro="">
      <xdr:nvCxnSpPr>
        <xdr:cNvPr id="62" name="Straight Connector 61">
          <a:extLst>
            <a:ext uri="{FF2B5EF4-FFF2-40B4-BE49-F238E27FC236}">
              <a16:creationId xmlns:a16="http://schemas.microsoft.com/office/drawing/2014/main" id="{73546394-F316-4AA8-8EE8-0C4B0266AAB8}"/>
            </a:ext>
          </a:extLst>
        </xdr:cNvPr>
        <xdr:cNvCxnSpPr/>
      </xdr:nvCxnSpPr>
      <xdr:spPr>
        <a:xfrm flipV="1">
          <a:off x="6898835" y="7157427"/>
          <a:ext cx="1114423"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77260</xdr:colOff>
      <xdr:row>40</xdr:row>
      <xdr:rowOff>159727</xdr:rowOff>
    </xdr:from>
    <xdr:to>
      <xdr:col>14</xdr:col>
      <xdr:colOff>582082</xdr:colOff>
      <xdr:row>40</xdr:row>
      <xdr:rowOff>160884</xdr:rowOff>
    </xdr:to>
    <xdr:cxnSp macro="">
      <xdr:nvCxnSpPr>
        <xdr:cNvPr id="63" name="Straight Connector 62">
          <a:extLst>
            <a:ext uri="{FF2B5EF4-FFF2-40B4-BE49-F238E27FC236}">
              <a16:creationId xmlns:a16="http://schemas.microsoft.com/office/drawing/2014/main" id="{23B78BD2-6FEA-47FB-B147-FE9AA313DF65}"/>
            </a:ext>
          </a:extLst>
        </xdr:cNvPr>
        <xdr:cNvCxnSpPr/>
      </xdr:nvCxnSpPr>
      <xdr:spPr>
        <a:xfrm flipV="1">
          <a:off x="8116360" y="7157427"/>
          <a:ext cx="1114422"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87863</xdr:colOff>
      <xdr:row>40</xdr:row>
      <xdr:rowOff>159727</xdr:rowOff>
    </xdr:from>
    <xdr:to>
      <xdr:col>16</xdr:col>
      <xdr:colOff>591766</xdr:colOff>
      <xdr:row>40</xdr:row>
      <xdr:rowOff>160884</xdr:rowOff>
    </xdr:to>
    <xdr:cxnSp macro="">
      <xdr:nvCxnSpPr>
        <xdr:cNvPr id="64" name="Straight Connector 63">
          <a:extLst>
            <a:ext uri="{FF2B5EF4-FFF2-40B4-BE49-F238E27FC236}">
              <a16:creationId xmlns:a16="http://schemas.microsoft.com/office/drawing/2014/main" id="{C42C6543-4D6E-43CE-A464-076A9AD5BFCB}"/>
            </a:ext>
          </a:extLst>
        </xdr:cNvPr>
        <xdr:cNvCxnSpPr/>
      </xdr:nvCxnSpPr>
      <xdr:spPr>
        <a:xfrm flipV="1">
          <a:off x="9346163" y="7157427"/>
          <a:ext cx="1113503"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76561</xdr:colOff>
      <xdr:row>40</xdr:row>
      <xdr:rowOff>159727</xdr:rowOff>
    </xdr:from>
    <xdr:to>
      <xdr:col>18</xdr:col>
      <xdr:colOff>580463</xdr:colOff>
      <xdr:row>40</xdr:row>
      <xdr:rowOff>160884</xdr:rowOff>
    </xdr:to>
    <xdr:cxnSp macro="">
      <xdr:nvCxnSpPr>
        <xdr:cNvPr id="65" name="Straight Connector 64">
          <a:extLst>
            <a:ext uri="{FF2B5EF4-FFF2-40B4-BE49-F238E27FC236}">
              <a16:creationId xmlns:a16="http://schemas.microsoft.com/office/drawing/2014/main" id="{C88FA6BA-027B-45E9-A8F5-ECCCC0A6BD3F}"/>
            </a:ext>
          </a:extLst>
        </xdr:cNvPr>
        <xdr:cNvCxnSpPr/>
      </xdr:nvCxnSpPr>
      <xdr:spPr>
        <a:xfrm flipV="1">
          <a:off x="10554061" y="7157427"/>
          <a:ext cx="1113502"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61427</xdr:colOff>
      <xdr:row>40</xdr:row>
      <xdr:rowOff>159727</xdr:rowOff>
    </xdr:from>
    <xdr:to>
      <xdr:col>20</xdr:col>
      <xdr:colOff>565330</xdr:colOff>
      <xdr:row>40</xdr:row>
      <xdr:rowOff>160884</xdr:rowOff>
    </xdr:to>
    <xdr:cxnSp macro="">
      <xdr:nvCxnSpPr>
        <xdr:cNvPr id="66" name="Straight Connector 65">
          <a:extLst>
            <a:ext uri="{FF2B5EF4-FFF2-40B4-BE49-F238E27FC236}">
              <a16:creationId xmlns:a16="http://schemas.microsoft.com/office/drawing/2014/main" id="{D87E747D-74D2-422C-A589-B205FB39087B}"/>
            </a:ext>
          </a:extLst>
        </xdr:cNvPr>
        <xdr:cNvCxnSpPr/>
      </xdr:nvCxnSpPr>
      <xdr:spPr>
        <a:xfrm flipV="1">
          <a:off x="11758127" y="7157427"/>
          <a:ext cx="1113503"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58081</xdr:colOff>
      <xdr:row>44</xdr:row>
      <xdr:rowOff>162046</xdr:rowOff>
    </xdr:from>
    <xdr:to>
      <xdr:col>10</xdr:col>
      <xdr:colOff>562028</xdr:colOff>
      <xdr:row>44</xdr:row>
      <xdr:rowOff>163364</xdr:rowOff>
    </xdr:to>
    <xdr:cxnSp macro="">
      <xdr:nvCxnSpPr>
        <xdr:cNvPr id="67" name="Straight Connector 66">
          <a:extLst>
            <a:ext uri="{FF2B5EF4-FFF2-40B4-BE49-F238E27FC236}">
              <a16:creationId xmlns:a16="http://schemas.microsoft.com/office/drawing/2014/main" id="{B3593B6A-0126-475D-8A9B-8FD8B3AC591D}"/>
            </a:ext>
          </a:extLst>
        </xdr:cNvPr>
        <xdr:cNvCxnSpPr/>
      </xdr:nvCxnSpPr>
      <xdr:spPr>
        <a:xfrm flipV="1">
          <a:off x="5658781" y="78963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60135</xdr:colOff>
      <xdr:row>44</xdr:row>
      <xdr:rowOff>162046</xdr:rowOff>
    </xdr:from>
    <xdr:to>
      <xdr:col>12</xdr:col>
      <xdr:colOff>564958</xdr:colOff>
      <xdr:row>44</xdr:row>
      <xdr:rowOff>163364</xdr:rowOff>
    </xdr:to>
    <xdr:cxnSp macro="">
      <xdr:nvCxnSpPr>
        <xdr:cNvPr id="68" name="Straight Connector 67">
          <a:extLst>
            <a:ext uri="{FF2B5EF4-FFF2-40B4-BE49-F238E27FC236}">
              <a16:creationId xmlns:a16="http://schemas.microsoft.com/office/drawing/2014/main" id="{DE32FB94-0F7E-4D7D-A0FF-25E80B630F46}"/>
            </a:ext>
          </a:extLst>
        </xdr:cNvPr>
        <xdr:cNvCxnSpPr/>
      </xdr:nvCxnSpPr>
      <xdr:spPr>
        <a:xfrm flipV="1">
          <a:off x="6880035" y="7896346"/>
          <a:ext cx="1114423"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58460</xdr:colOff>
      <xdr:row>44</xdr:row>
      <xdr:rowOff>162046</xdr:rowOff>
    </xdr:from>
    <xdr:to>
      <xdr:col>14</xdr:col>
      <xdr:colOff>563282</xdr:colOff>
      <xdr:row>44</xdr:row>
      <xdr:rowOff>163364</xdr:rowOff>
    </xdr:to>
    <xdr:cxnSp macro="">
      <xdr:nvCxnSpPr>
        <xdr:cNvPr id="69" name="Straight Connector 68">
          <a:extLst>
            <a:ext uri="{FF2B5EF4-FFF2-40B4-BE49-F238E27FC236}">
              <a16:creationId xmlns:a16="http://schemas.microsoft.com/office/drawing/2014/main" id="{E351DC64-8547-4082-A187-4B6449896BBE}"/>
            </a:ext>
          </a:extLst>
        </xdr:cNvPr>
        <xdr:cNvCxnSpPr/>
      </xdr:nvCxnSpPr>
      <xdr:spPr>
        <a:xfrm flipV="1">
          <a:off x="8097560" y="7896346"/>
          <a:ext cx="1114422"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69063</xdr:colOff>
      <xdr:row>44</xdr:row>
      <xdr:rowOff>162046</xdr:rowOff>
    </xdr:from>
    <xdr:to>
      <xdr:col>16</xdr:col>
      <xdr:colOff>572966</xdr:colOff>
      <xdr:row>44</xdr:row>
      <xdr:rowOff>163364</xdr:rowOff>
    </xdr:to>
    <xdr:cxnSp macro="">
      <xdr:nvCxnSpPr>
        <xdr:cNvPr id="70" name="Straight Connector 69">
          <a:extLst>
            <a:ext uri="{FF2B5EF4-FFF2-40B4-BE49-F238E27FC236}">
              <a16:creationId xmlns:a16="http://schemas.microsoft.com/office/drawing/2014/main" id="{48EC2856-573D-4CB4-8F6A-A35DDF149E1D}"/>
            </a:ext>
          </a:extLst>
        </xdr:cNvPr>
        <xdr:cNvCxnSpPr/>
      </xdr:nvCxnSpPr>
      <xdr:spPr>
        <a:xfrm flipV="1">
          <a:off x="9327363" y="7896346"/>
          <a:ext cx="1113503"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57761</xdr:colOff>
      <xdr:row>44</xdr:row>
      <xdr:rowOff>162046</xdr:rowOff>
    </xdr:from>
    <xdr:to>
      <xdr:col>18</xdr:col>
      <xdr:colOff>561663</xdr:colOff>
      <xdr:row>44</xdr:row>
      <xdr:rowOff>163364</xdr:rowOff>
    </xdr:to>
    <xdr:cxnSp macro="">
      <xdr:nvCxnSpPr>
        <xdr:cNvPr id="71" name="Straight Connector 70">
          <a:extLst>
            <a:ext uri="{FF2B5EF4-FFF2-40B4-BE49-F238E27FC236}">
              <a16:creationId xmlns:a16="http://schemas.microsoft.com/office/drawing/2014/main" id="{32970612-BC0A-4413-97FD-9EC99CC41D5D}"/>
            </a:ext>
          </a:extLst>
        </xdr:cNvPr>
        <xdr:cNvCxnSpPr/>
      </xdr:nvCxnSpPr>
      <xdr:spPr>
        <a:xfrm flipV="1">
          <a:off x="10535261" y="7896346"/>
          <a:ext cx="1113502"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42627</xdr:colOff>
      <xdr:row>44</xdr:row>
      <xdr:rowOff>162046</xdr:rowOff>
    </xdr:from>
    <xdr:to>
      <xdr:col>20</xdr:col>
      <xdr:colOff>546530</xdr:colOff>
      <xdr:row>44</xdr:row>
      <xdr:rowOff>163364</xdr:rowOff>
    </xdr:to>
    <xdr:cxnSp macro="">
      <xdr:nvCxnSpPr>
        <xdr:cNvPr id="72" name="Straight Connector 71">
          <a:extLst>
            <a:ext uri="{FF2B5EF4-FFF2-40B4-BE49-F238E27FC236}">
              <a16:creationId xmlns:a16="http://schemas.microsoft.com/office/drawing/2014/main" id="{7B08B8A8-5C8F-4627-A56C-0B4A79DFEBC3}"/>
            </a:ext>
          </a:extLst>
        </xdr:cNvPr>
        <xdr:cNvCxnSpPr/>
      </xdr:nvCxnSpPr>
      <xdr:spPr>
        <a:xfrm flipV="1">
          <a:off x="11739327" y="7896346"/>
          <a:ext cx="1113503"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58081</xdr:colOff>
      <xdr:row>53</xdr:row>
      <xdr:rowOff>159446</xdr:rowOff>
    </xdr:from>
    <xdr:to>
      <xdr:col>10</xdr:col>
      <xdr:colOff>562028</xdr:colOff>
      <xdr:row>53</xdr:row>
      <xdr:rowOff>160764</xdr:rowOff>
    </xdr:to>
    <xdr:cxnSp macro="">
      <xdr:nvCxnSpPr>
        <xdr:cNvPr id="73" name="Straight Connector 72">
          <a:extLst>
            <a:ext uri="{FF2B5EF4-FFF2-40B4-BE49-F238E27FC236}">
              <a16:creationId xmlns:a16="http://schemas.microsoft.com/office/drawing/2014/main" id="{FA232BD6-F456-4BD5-AEC2-51E4A69B5759}"/>
            </a:ext>
          </a:extLst>
        </xdr:cNvPr>
        <xdr:cNvCxnSpPr/>
      </xdr:nvCxnSpPr>
      <xdr:spPr>
        <a:xfrm flipV="1">
          <a:off x="5658781" y="93986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60135</xdr:colOff>
      <xdr:row>53</xdr:row>
      <xdr:rowOff>159446</xdr:rowOff>
    </xdr:from>
    <xdr:to>
      <xdr:col>12</xdr:col>
      <xdr:colOff>564958</xdr:colOff>
      <xdr:row>53</xdr:row>
      <xdr:rowOff>160764</xdr:rowOff>
    </xdr:to>
    <xdr:cxnSp macro="">
      <xdr:nvCxnSpPr>
        <xdr:cNvPr id="74" name="Straight Connector 73">
          <a:extLst>
            <a:ext uri="{FF2B5EF4-FFF2-40B4-BE49-F238E27FC236}">
              <a16:creationId xmlns:a16="http://schemas.microsoft.com/office/drawing/2014/main" id="{0B26D887-E37C-40A1-A256-0CBB011CD811}"/>
            </a:ext>
          </a:extLst>
        </xdr:cNvPr>
        <xdr:cNvCxnSpPr/>
      </xdr:nvCxnSpPr>
      <xdr:spPr>
        <a:xfrm flipV="1">
          <a:off x="6880035" y="9398696"/>
          <a:ext cx="1114423"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58460</xdr:colOff>
      <xdr:row>53</xdr:row>
      <xdr:rowOff>159446</xdr:rowOff>
    </xdr:from>
    <xdr:to>
      <xdr:col>14</xdr:col>
      <xdr:colOff>563282</xdr:colOff>
      <xdr:row>53</xdr:row>
      <xdr:rowOff>160764</xdr:rowOff>
    </xdr:to>
    <xdr:cxnSp macro="">
      <xdr:nvCxnSpPr>
        <xdr:cNvPr id="75" name="Straight Connector 74">
          <a:extLst>
            <a:ext uri="{FF2B5EF4-FFF2-40B4-BE49-F238E27FC236}">
              <a16:creationId xmlns:a16="http://schemas.microsoft.com/office/drawing/2014/main" id="{F3898001-66FC-42D3-851C-B01FBA0DD1E5}"/>
            </a:ext>
          </a:extLst>
        </xdr:cNvPr>
        <xdr:cNvCxnSpPr/>
      </xdr:nvCxnSpPr>
      <xdr:spPr>
        <a:xfrm flipV="1">
          <a:off x="8097560" y="9398696"/>
          <a:ext cx="1114422"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69063</xdr:colOff>
      <xdr:row>53</xdr:row>
      <xdr:rowOff>159446</xdr:rowOff>
    </xdr:from>
    <xdr:to>
      <xdr:col>16</xdr:col>
      <xdr:colOff>572966</xdr:colOff>
      <xdr:row>53</xdr:row>
      <xdr:rowOff>160764</xdr:rowOff>
    </xdr:to>
    <xdr:cxnSp macro="">
      <xdr:nvCxnSpPr>
        <xdr:cNvPr id="76" name="Straight Connector 75">
          <a:extLst>
            <a:ext uri="{FF2B5EF4-FFF2-40B4-BE49-F238E27FC236}">
              <a16:creationId xmlns:a16="http://schemas.microsoft.com/office/drawing/2014/main" id="{B3C21D9C-DC32-45D5-AAE3-00C8B1288B08}"/>
            </a:ext>
          </a:extLst>
        </xdr:cNvPr>
        <xdr:cNvCxnSpPr/>
      </xdr:nvCxnSpPr>
      <xdr:spPr>
        <a:xfrm flipV="1">
          <a:off x="9327363" y="9398696"/>
          <a:ext cx="1113503"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57761</xdr:colOff>
      <xdr:row>53</xdr:row>
      <xdr:rowOff>159446</xdr:rowOff>
    </xdr:from>
    <xdr:to>
      <xdr:col>18</xdr:col>
      <xdr:colOff>561663</xdr:colOff>
      <xdr:row>53</xdr:row>
      <xdr:rowOff>160764</xdr:rowOff>
    </xdr:to>
    <xdr:cxnSp macro="">
      <xdr:nvCxnSpPr>
        <xdr:cNvPr id="77" name="Straight Connector 76">
          <a:extLst>
            <a:ext uri="{FF2B5EF4-FFF2-40B4-BE49-F238E27FC236}">
              <a16:creationId xmlns:a16="http://schemas.microsoft.com/office/drawing/2014/main" id="{D98B9283-4BCA-4943-83FD-F92907512BD6}"/>
            </a:ext>
          </a:extLst>
        </xdr:cNvPr>
        <xdr:cNvCxnSpPr/>
      </xdr:nvCxnSpPr>
      <xdr:spPr>
        <a:xfrm flipV="1">
          <a:off x="10535261" y="9398696"/>
          <a:ext cx="1113502"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42627</xdr:colOff>
      <xdr:row>53</xdr:row>
      <xdr:rowOff>159446</xdr:rowOff>
    </xdr:from>
    <xdr:to>
      <xdr:col>20</xdr:col>
      <xdr:colOff>546530</xdr:colOff>
      <xdr:row>53</xdr:row>
      <xdr:rowOff>160764</xdr:rowOff>
    </xdr:to>
    <xdr:cxnSp macro="">
      <xdr:nvCxnSpPr>
        <xdr:cNvPr id="78" name="Straight Connector 77">
          <a:extLst>
            <a:ext uri="{FF2B5EF4-FFF2-40B4-BE49-F238E27FC236}">
              <a16:creationId xmlns:a16="http://schemas.microsoft.com/office/drawing/2014/main" id="{79D56842-FA98-4E27-A42E-9DBDCBBB206B}"/>
            </a:ext>
          </a:extLst>
        </xdr:cNvPr>
        <xdr:cNvCxnSpPr/>
      </xdr:nvCxnSpPr>
      <xdr:spPr>
        <a:xfrm flipV="1">
          <a:off x="11739327" y="9398696"/>
          <a:ext cx="1113503"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58081</xdr:colOff>
      <xdr:row>54</xdr:row>
      <xdr:rowOff>161846</xdr:rowOff>
    </xdr:from>
    <xdr:to>
      <xdr:col>10</xdr:col>
      <xdr:colOff>562028</xdr:colOff>
      <xdr:row>54</xdr:row>
      <xdr:rowOff>163164</xdr:rowOff>
    </xdr:to>
    <xdr:cxnSp macro="">
      <xdr:nvCxnSpPr>
        <xdr:cNvPr id="79" name="Straight Connector 78">
          <a:extLst>
            <a:ext uri="{FF2B5EF4-FFF2-40B4-BE49-F238E27FC236}">
              <a16:creationId xmlns:a16="http://schemas.microsoft.com/office/drawing/2014/main" id="{99CCCD8A-E06C-49A4-8A37-40F5F457B76A}"/>
            </a:ext>
          </a:extLst>
        </xdr:cNvPr>
        <xdr:cNvCxnSpPr/>
      </xdr:nvCxnSpPr>
      <xdr:spPr>
        <a:xfrm flipV="1">
          <a:off x="5658781" y="95852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60135</xdr:colOff>
      <xdr:row>54</xdr:row>
      <xdr:rowOff>161846</xdr:rowOff>
    </xdr:from>
    <xdr:to>
      <xdr:col>12</xdr:col>
      <xdr:colOff>564958</xdr:colOff>
      <xdr:row>54</xdr:row>
      <xdr:rowOff>163164</xdr:rowOff>
    </xdr:to>
    <xdr:cxnSp macro="">
      <xdr:nvCxnSpPr>
        <xdr:cNvPr id="80" name="Straight Connector 79">
          <a:extLst>
            <a:ext uri="{FF2B5EF4-FFF2-40B4-BE49-F238E27FC236}">
              <a16:creationId xmlns:a16="http://schemas.microsoft.com/office/drawing/2014/main" id="{69E1362C-D56B-4B96-8F75-755BE9530DDE}"/>
            </a:ext>
          </a:extLst>
        </xdr:cNvPr>
        <xdr:cNvCxnSpPr/>
      </xdr:nvCxnSpPr>
      <xdr:spPr>
        <a:xfrm flipV="1">
          <a:off x="6880035" y="9585246"/>
          <a:ext cx="1114423"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58460</xdr:colOff>
      <xdr:row>54</xdr:row>
      <xdr:rowOff>161846</xdr:rowOff>
    </xdr:from>
    <xdr:to>
      <xdr:col>14</xdr:col>
      <xdr:colOff>563282</xdr:colOff>
      <xdr:row>54</xdr:row>
      <xdr:rowOff>163164</xdr:rowOff>
    </xdr:to>
    <xdr:cxnSp macro="">
      <xdr:nvCxnSpPr>
        <xdr:cNvPr id="81" name="Straight Connector 80">
          <a:extLst>
            <a:ext uri="{FF2B5EF4-FFF2-40B4-BE49-F238E27FC236}">
              <a16:creationId xmlns:a16="http://schemas.microsoft.com/office/drawing/2014/main" id="{18ADFBCD-C8F2-46CE-AE1B-8CAF50186BCB}"/>
            </a:ext>
          </a:extLst>
        </xdr:cNvPr>
        <xdr:cNvCxnSpPr/>
      </xdr:nvCxnSpPr>
      <xdr:spPr>
        <a:xfrm flipV="1">
          <a:off x="8097560" y="9585246"/>
          <a:ext cx="1114422"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69063</xdr:colOff>
      <xdr:row>54</xdr:row>
      <xdr:rowOff>161846</xdr:rowOff>
    </xdr:from>
    <xdr:to>
      <xdr:col>16</xdr:col>
      <xdr:colOff>572966</xdr:colOff>
      <xdr:row>54</xdr:row>
      <xdr:rowOff>163164</xdr:rowOff>
    </xdr:to>
    <xdr:cxnSp macro="">
      <xdr:nvCxnSpPr>
        <xdr:cNvPr id="82" name="Straight Connector 81">
          <a:extLst>
            <a:ext uri="{FF2B5EF4-FFF2-40B4-BE49-F238E27FC236}">
              <a16:creationId xmlns:a16="http://schemas.microsoft.com/office/drawing/2014/main" id="{32C14D2A-BCFA-44AD-8587-63F0E824E004}"/>
            </a:ext>
          </a:extLst>
        </xdr:cNvPr>
        <xdr:cNvCxnSpPr/>
      </xdr:nvCxnSpPr>
      <xdr:spPr>
        <a:xfrm flipV="1">
          <a:off x="9327363" y="9585246"/>
          <a:ext cx="1113503"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57761</xdr:colOff>
      <xdr:row>54</xdr:row>
      <xdr:rowOff>161846</xdr:rowOff>
    </xdr:from>
    <xdr:to>
      <xdr:col>18</xdr:col>
      <xdr:colOff>561663</xdr:colOff>
      <xdr:row>54</xdr:row>
      <xdr:rowOff>163164</xdr:rowOff>
    </xdr:to>
    <xdr:cxnSp macro="">
      <xdr:nvCxnSpPr>
        <xdr:cNvPr id="83" name="Straight Connector 82">
          <a:extLst>
            <a:ext uri="{FF2B5EF4-FFF2-40B4-BE49-F238E27FC236}">
              <a16:creationId xmlns:a16="http://schemas.microsoft.com/office/drawing/2014/main" id="{EABA72E5-8E65-4DA6-ABE6-D72CB44F4DD6}"/>
            </a:ext>
          </a:extLst>
        </xdr:cNvPr>
        <xdr:cNvCxnSpPr/>
      </xdr:nvCxnSpPr>
      <xdr:spPr>
        <a:xfrm flipV="1">
          <a:off x="10535261" y="9585246"/>
          <a:ext cx="1113502"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42627</xdr:colOff>
      <xdr:row>54</xdr:row>
      <xdr:rowOff>161846</xdr:rowOff>
    </xdr:from>
    <xdr:to>
      <xdr:col>20</xdr:col>
      <xdr:colOff>546530</xdr:colOff>
      <xdr:row>54</xdr:row>
      <xdr:rowOff>163164</xdr:rowOff>
    </xdr:to>
    <xdr:cxnSp macro="">
      <xdr:nvCxnSpPr>
        <xdr:cNvPr id="84" name="Straight Connector 83">
          <a:extLst>
            <a:ext uri="{FF2B5EF4-FFF2-40B4-BE49-F238E27FC236}">
              <a16:creationId xmlns:a16="http://schemas.microsoft.com/office/drawing/2014/main" id="{A339ADD7-122C-427F-96D3-74F218C74C2D}"/>
            </a:ext>
          </a:extLst>
        </xdr:cNvPr>
        <xdr:cNvCxnSpPr/>
      </xdr:nvCxnSpPr>
      <xdr:spPr>
        <a:xfrm flipV="1">
          <a:off x="11739327" y="9585246"/>
          <a:ext cx="1113503"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58081</xdr:colOff>
      <xdr:row>55</xdr:row>
      <xdr:rowOff>4246</xdr:rowOff>
    </xdr:from>
    <xdr:to>
      <xdr:col>10</xdr:col>
      <xdr:colOff>562028</xdr:colOff>
      <xdr:row>55</xdr:row>
      <xdr:rowOff>5564</xdr:rowOff>
    </xdr:to>
    <xdr:cxnSp macro="">
      <xdr:nvCxnSpPr>
        <xdr:cNvPr id="85" name="Straight Connector 84">
          <a:extLst>
            <a:ext uri="{FF2B5EF4-FFF2-40B4-BE49-F238E27FC236}">
              <a16:creationId xmlns:a16="http://schemas.microsoft.com/office/drawing/2014/main" id="{6EA4AC2C-2297-46D9-8827-F6CB547E2E77}"/>
            </a:ext>
          </a:extLst>
        </xdr:cNvPr>
        <xdr:cNvCxnSpPr/>
      </xdr:nvCxnSpPr>
      <xdr:spPr>
        <a:xfrm flipV="1">
          <a:off x="5658781" y="96117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60135</xdr:colOff>
      <xdr:row>55</xdr:row>
      <xdr:rowOff>4246</xdr:rowOff>
    </xdr:from>
    <xdr:to>
      <xdr:col>12</xdr:col>
      <xdr:colOff>564958</xdr:colOff>
      <xdr:row>55</xdr:row>
      <xdr:rowOff>5564</xdr:rowOff>
    </xdr:to>
    <xdr:cxnSp macro="">
      <xdr:nvCxnSpPr>
        <xdr:cNvPr id="86" name="Straight Connector 85">
          <a:extLst>
            <a:ext uri="{FF2B5EF4-FFF2-40B4-BE49-F238E27FC236}">
              <a16:creationId xmlns:a16="http://schemas.microsoft.com/office/drawing/2014/main" id="{529925FF-00A5-4604-AFE6-18A2F464C1E2}"/>
            </a:ext>
          </a:extLst>
        </xdr:cNvPr>
        <xdr:cNvCxnSpPr/>
      </xdr:nvCxnSpPr>
      <xdr:spPr>
        <a:xfrm flipV="1">
          <a:off x="6880035" y="9611796"/>
          <a:ext cx="1114423"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58460</xdr:colOff>
      <xdr:row>55</xdr:row>
      <xdr:rowOff>4246</xdr:rowOff>
    </xdr:from>
    <xdr:to>
      <xdr:col>14</xdr:col>
      <xdr:colOff>563282</xdr:colOff>
      <xdr:row>55</xdr:row>
      <xdr:rowOff>5564</xdr:rowOff>
    </xdr:to>
    <xdr:cxnSp macro="">
      <xdr:nvCxnSpPr>
        <xdr:cNvPr id="87" name="Straight Connector 86">
          <a:extLst>
            <a:ext uri="{FF2B5EF4-FFF2-40B4-BE49-F238E27FC236}">
              <a16:creationId xmlns:a16="http://schemas.microsoft.com/office/drawing/2014/main" id="{AD222125-76BD-436D-B526-7879D55CB5AB}"/>
            </a:ext>
          </a:extLst>
        </xdr:cNvPr>
        <xdr:cNvCxnSpPr/>
      </xdr:nvCxnSpPr>
      <xdr:spPr>
        <a:xfrm flipV="1">
          <a:off x="8097560" y="9611796"/>
          <a:ext cx="1114422"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69063</xdr:colOff>
      <xdr:row>55</xdr:row>
      <xdr:rowOff>4246</xdr:rowOff>
    </xdr:from>
    <xdr:to>
      <xdr:col>16</xdr:col>
      <xdr:colOff>572966</xdr:colOff>
      <xdr:row>55</xdr:row>
      <xdr:rowOff>5564</xdr:rowOff>
    </xdr:to>
    <xdr:cxnSp macro="">
      <xdr:nvCxnSpPr>
        <xdr:cNvPr id="88" name="Straight Connector 87">
          <a:extLst>
            <a:ext uri="{FF2B5EF4-FFF2-40B4-BE49-F238E27FC236}">
              <a16:creationId xmlns:a16="http://schemas.microsoft.com/office/drawing/2014/main" id="{E1F06489-FFA7-461F-BC76-DDBFE456FB90}"/>
            </a:ext>
          </a:extLst>
        </xdr:cNvPr>
        <xdr:cNvCxnSpPr/>
      </xdr:nvCxnSpPr>
      <xdr:spPr>
        <a:xfrm flipV="1">
          <a:off x="9327363" y="9611796"/>
          <a:ext cx="1113503"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57761</xdr:colOff>
      <xdr:row>55</xdr:row>
      <xdr:rowOff>4246</xdr:rowOff>
    </xdr:from>
    <xdr:to>
      <xdr:col>18</xdr:col>
      <xdr:colOff>561663</xdr:colOff>
      <xdr:row>55</xdr:row>
      <xdr:rowOff>5564</xdr:rowOff>
    </xdr:to>
    <xdr:cxnSp macro="">
      <xdr:nvCxnSpPr>
        <xdr:cNvPr id="89" name="Straight Connector 88">
          <a:extLst>
            <a:ext uri="{FF2B5EF4-FFF2-40B4-BE49-F238E27FC236}">
              <a16:creationId xmlns:a16="http://schemas.microsoft.com/office/drawing/2014/main" id="{DD595B2D-8ED2-475F-AA4C-F3A5970E49AE}"/>
            </a:ext>
          </a:extLst>
        </xdr:cNvPr>
        <xdr:cNvCxnSpPr/>
      </xdr:nvCxnSpPr>
      <xdr:spPr>
        <a:xfrm flipV="1">
          <a:off x="10535261" y="9611796"/>
          <a:ext cx="1113502"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42627</xdr:colOff>
      <xdr:row>55</xdr:row>
      <xdr:rowOff>4246</xdr:rowOff>
    </xdr:from>
    <xdr:to>
      <xdr:col>20</xdr:col>
      <xdr:colOff>546530</xdr:colOff>
      <xdr:row>55</xdr:row>
      <xdr:rowOff>5564</xdr:rowOff>
    </xdr:to>
    <xdr:cxnSp macro="">
      <xdr:nvCxnSpPr>
        <xdr:cNvPr id="90" name="Straight Connector 89">
          <a:extLst>
            <a:ext uri="{FF2B5EF4-FFF2-40B4-BE49-F238E27FC236}">
              <a16:creationId xmlns:a16="http://schemas.microsoft.com/office/drawing/2014/main" id="{7506A0F1-8CBF-4504-A70F-73E48E43DB8F}"/>
            </a:ext>
          </a:extLst>
        </xdr:cNvPr>
        <xdr:cNvCxnSpPr/>
      </xdr:nvCxnSpPr>
      <xdr:spPr>
        <a:xfrm flipV="1">
          <a:off x="11739327" y="9611796"/>
          <a:ext cx="1113503"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9641</xdr:colOff>
      <xdr:row>61</xdr:row>
      <xdr:rowOff>152722</xdr:rowOff>
    </xdr:from>
    <xdr:to>
      <xdr:col>21</xdr:col>
      <xdr:colOff>41413</xdr:colOff>
      <xdr:row>61</xdr:row>
      <xdr:rowOff>152722</xdr:rowOff>
    </xdr:to>
    <xdr:cxnSp macro="">
      <xdr:nvCxnSpPr>
        <xdr:cNvPr id="91" name="Straight Connector 90">
          <a:extLst>
            <a:ext uri="{FF2B5EF4-FFF2-40B4-BE49-F238E27FC236}">
              <a16:creationId xmlns:a16="http://schemas.microsoft.com/office/drawing/2014/main" id="{043C8048-2E76-454A-942A-860E19A8D6D1}"/>
            </a:ext>
          </a:extLst>
        </xdr:cNvPr>
        <xdr:cNvCxnSpPr/>
      </xdr:nvCxnSpPr>
      <xdr:spPr>
        <a:xfrm>
          <a:off x="3781541" y="10738172"/>
          <a:ext cx="9175772" cy="0"/>
        </a:xfrm>
        <a:prstGeom prst="line">
          <a:avLst/>
        </a:prstGeom>
        <a:ln w="12700">
          <a:solidFill>
            <a:schemeClr val="bg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0</xdr:colOff>
      <xdr:row>64</xdr:row>
      <xdr:rowOff>155963</xdr:rowOff>
    </xdr:from>
    <xdr:to>
      <xdr:col>5</xdr:col>
      <xdr:colOff>0</xdr:colOff>
      <xdr:row>64</xdr:row>
      <xdr:rowOff>163262</xdr:rowOff>
    </xdr:to>
    <xdr:cxnSp macro="">
      <xdr:nvCxnSpPr>
        <xdr:cNvPr id="92" name="Straight Connector 91">
          <a:extLst>
            <a:ext uri="{FF2B5EF4-FFF2-40B4-BE49-F238E27FC236}">
              <a16:creationId xmlns:a16="http://schemas.microsoft.com/office/drawing/2014/main" id="{77237D3B-78D5-4CFE-A848-6D46E21D7669}"/>
            </a:ext>
          </a:extLst>
        </xdr:cNvPr>
        <xdr:cNvCxnSpPr/>
      </xdr:nvCxnSpPr>
      <xdr:spPr>
        <a:xfrm>
          <a:off x="609600" y="11300213"/>
          <a:ext cx="2552700" cy="7299"/>
        </a:xfrm>
        <a:prstGeom prst="line">
          <a:avLst/>
        </a:prstGeom>
        <a:ln w="12700">
          <a:solidFill>
            <a:schemeClr val="bg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604796</xdr:colOff>
      <xdr:row>68</xdr:row>
      <xdr:rowOff>154145</xdr:rowOff>
    </xdr:from>
    <xdr:to>
      <xdr:col>27</xdr:col>
      <xdr:colOff>0</xdr:colOff>
      <xdr:row>68</xdr:row>
      <xdr:rowOff>157534</xdr:rowOff>
    </xdr:to>
    <xdr:cxnSp macro="">
      <xdr:nvCxnSpPr>
        <xdr:cNvPr id="93" name="Straight Connector 92">
          <a:extLst>
            <a:ext uri="{FF2B5EF4-FFF2-40B4-BE49-F238E27FC236}">
              <a16:creationId xmlns:a16="http://schemas.microsoft.com/office/drawing/2014/main" id="{2D5CEE6A-4F28-4280-91B8-7E0FC0D42A17}"/>
            </a:ext>
          </a:extLst>
        </xdr:cNvPr>
        <xdr:cNvCxnSpPr/>
      </xdr:nvCxnSpPr>
      <xdr:spPr>
        <a:xfrm flipV="1">
          <a:off x="3767096" y="12041345"/>
          <a:ext cx="13454104" cy="3389"/>
        </a:xfrm>
        <a:prstGeom prst="line">
          <a:avLst/>
        </a:prstGeom>
        <a:ln w="12700">
          <a:solidFill>
            <a:schemeClr val="bg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0</xdr:colOff>
      <xdr:row>38</xdr:row>
      <xdr:rowOff>155032</xdr:rowOff>
    </xdr:from>
    <xdr:to>
      <xdr:col>27</xdr:col>
      <xdr:colOff>0</xdr:colOff>
      <xdr:row>38</xdr:row>
      <xdr:rowOff>155124</xdr:rowOff>
    </xdr:to>
    <xdr:cxnSp macro="">
      <xdr:nvCxnSpPr>
        <xdr:cNvPr id="94" name="Straight Connector 93">
          <a:extLst>
            <a:ext uri="{FF2B5EF4-FFF2-40B4-BE49-F238E27FC236}">
              <a16:creationId xmlns:a16="http://schemas.microsoft.com/office/drawing/2014/main" id="{908C73B9-BE77-41F9-8F18-20585DBDEE59}"/>
            </a:ext>
          </a:extLst>
        </xdr:cNvPr>
        <xdr:cNvCxnSpPr/>
      </xdr:nvCxnSpPr>
      <xdr:spPr>
        <a:xfrm flipV="1">
          <a:off x="13525500" y="6784432"/>
          <a:ext cx="3695700" cy="92"/>
        </a:xfrm>
        <a:prstGeom prst="line">
          <a:avLst/>
        </a:prstGeom>
        <a:ln w="12700">
          <a:solidFill>
            <a:schemeClr val="bg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62365</xdr:colOff>
      <xdr:row>9</xdr:row>
      <xdr:rowOff>159148</xdr:rowOff>
    </xdr:from>
    <xdr:to>
      <xdr:col>25</xdr:col>
      <xdr:colOff>702445</xdr:colOff>
      <xdr:row>9</xdr:row>
      <xdr:rowOff>159148</xdr:rowOff>
    </xdr:to>
    <xdr:cxnSp macro="">
      <xdr:nvCxnSpPr>
        <xdr:cNvPr id="95" name="Straight Connector 94">
          <a:extLst>
            <a:ext uri="{FF2B5EF4-FFF2-40B4-BE49-F238E27FC236}">
              <a16:creationId xmlns:a16="http://schemas.microsoft.com/office/drawing/2014/main" id="{C0D6033C-7EE6-4F26-B077-98858E226E3F}"/>
            </a:ext>
          </a:extLst>
        </xdr:cNvPr>
        <xdr:cNvCxnSpPr/>
      </xdr:nvCxnSpPr>
      <xdr:spPr>
        <a:xfrm>
          <a:off x="15873865" y="1702198"/>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58251</xdr:colOff>
      <xdr:row>9</xdr:row>
      <xdr:rowOff>159148</xdr:rowOff>
    </xdr:from>
    <xdr:to>
      <xdr:col>26</xdr:col>
      <xdr:colOff>698331</xdr:colOff>
      <xdr:row>9</xdr:row>
      <xdr:rowOff>159148</xdr:rowOff>
    </xdr:to>
    <xdr:cxnSp macro="">
      <xdr:nvCxnSpPr>
        <xdr:cNvPr id="96" name="Straight Connector 95">
          <a:extLst>
            <a:ext uri="{FF2B5EF4-FFF2-40B4-BE49-F238E27FC236}">
              <a16:creationId xmlns:a16="http://schemas.microsoft.com/office/drawing/2014/main" id="{8B807E4B-799C-4775-AF27-FC1A02D7A6B6}"/>
            </a:ext>
          </a:extLst>
        </xdr:cNvPr>
        <xdr:cNvCxnSpPr/>
      </xdr:nvCxnSpPr>
      <xdr:spPr>
        <a:xfrm>
          <a:off x="16631751" y="1702198"/>
          <a:ext cx="5892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67196</xdr:colOff>
      <xdr:row>13</xdr:row>
      <xdr:rowOff>159506</xdr:rowOff>
    </xdr:from>
    <xdr:to>
      <xdr:col>25</xdr:col>
      <xdr:colOff>707276</xdr:colOff>
      <xdr:row>13</xdr:row>
      <xdr:rowOff>159506</xdr:rowOff>
    </xdr:to>
    <xdr:cxnSp macro="">
      <xdr:nvCxnSpPr>
        <xdr:cNvPr id="97" name="Straight Connector 96">
          <a:extLst>
            <a:ext uri="{FF2B5EF4-FFF2-40B4-BE49-F238E27FC236}">
              <a16:creationId xmlns:a16="http://schemas.microsoft.com/office/drawing/2014/main" id="{3FCA90A9-16DE-4E00-BBEC-F0E25EAFDDF5}"/>
            </a:ext>
          </a:extLst>
        </xdr:cNvPr>
        <xdr:cNvCxnSpPr/>
      </xdr:nvCxnSpPr>
      <xdr:spPr>
        <a:xfrm>
          <a:off x="15878696" y="2445506"/>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63082</xdr:colOff>
      <xdr:row>13</xdr:row>
      <xdr:rowOff>159506</xdr:rowOff>
    </xdr:from>
    <xdr:to>
      <xdr:col>26</xdr:col>
      <xdr:colOff>703162</xdr:colOff>
      <xdr:row>13</xdr:row>
      <xdr:rowOff>159506</xdr:rowOff>
    </xdr:to>
    <xdr:cxnSp macro="">
      <xdr:nvCxnSpPr>
        <xdr:cNvPr id="98" name="Straight Connector 97">
          <a:extLst>
            <a:ext uri="{FF2B5EF4-FFF2-40B4-BE49-F238E27FC236}">
              <a16:creationId xmlns:a16="http://schemas.microsoft.com/office/drawing/2014/main" id="{C062722E-23F2-4341-95B8-A9E6D3D405BD}"/>
            </a:ext>
          </a:extLst>
        </xdr:cNvPr>
        <xdr:cNvCxnSpPr/>
      </xdr:nvCxnSpPr>
      <xdr:spPr>
        <a:xfrm>
          <a:off x="16636582" y="2445506"/>
          <a:ext cx="58293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68004</xdr:colOff>
      <xdr:row>18</xdr:row>
      <xdr:rowOff>171282</xdr:rowOff>
    </xdr:from>
    <xdr:to>
      <xdr:col>25</xdr:col>
      <xdr:colOff>708084</xdr:colOff>
      <xdr:row>18</xdr:row>
      <xdr:rowOff>171282</xdr:rowOff>
    </xdr:to>
    <xdr:cxnSp macro="">
      <xdr:nvCxnSpPr>
        <xdr:cNvPr id="99" name="Straight Connector 98">
          <a:extLst>
            <a:ext uri="{FF2B5EF4-FFF2-40B4-BE49-F238E27FC236}">
              <a16:creationId xmlns:a16="http://schemas.microsoft.com/office/drawing/2014/main" id="{E9F33BBC-48A9-4D3B-8842-023198A86B58}"/>
            </a:ext>
          </a:extLst>
        </xdr:cNvPr>
        <xdr:cNvCxnSpPr/>
      </xdr:nvCxnSpPr>
      <xdr:spPr>
        <a:xfrm>
          <a:off x="15879504" y="3378032"/>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63890</xdr:colOff>
      <xdr:row>18</xdr:row>
      <xdr:rowOff>171282</xdr:rowOff>
    </xdr:from>
    <xdr:to>
      <xdr:col>26</xdr:col>
      <xdr:colOff>703970</xdr:colOff>
      <xdr:row>18</xdr:row>
      <xdr:rowOff>171282</xdr:rowOff>
    </xdr:to>
    <xdr:cxnSp macro="">
      <xdr:nvCxnSpPr>
        <xdr:cNvPr id="100" name="Straight Connector 99">
          <a:extLst>
            <a:ext uri="{FF2B5EF4-FFF2-40B4-BE49-F238E27FC236}">
              <a16:creationId xmlns:a16="http://schemas.microsoft.com/office/drawing/2014/main" id="{7739A669-119A-440A-9AA2-DE2EFC383A1D}"/>
            </a:ext>
          </a:extLst>
        </xdr:cNvPr>
        <xdr:cNvCxnSpPr/>
      </xdr:nvCxnSpPr>
      <xdr:spPr>
        <a:xfrm>
          <a:off x="16637390" y="3378032"/>
          <a:ext cx="58293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69448</xdr:colOff>
      <xdr:row>20</xdr:row>
      <xdr:rowOff>166161</xdr:rowOff>
    </xdr:from>
    <xdr:to>
      <xdr:col>25</xdr:col>
      <xdr:colOff>709528</xdr:colOff>
      <xdr:row>20</xdr:row>
      <xdr:rowOff>166161</xdr:rowOff>
    </xdr:to>
    <xdr:cxnSp macro="">
      <xdr:nvCxnSpPr>
        <xdr:cNvPr id="101" name="Straight Connector 100">
          <a:extLst>
            <a:ext uri="{FF2B5EF4-FFF2-40B4-BE49-F238E27FC236}">
              <a16:creationId xmlns:a16="http://schemas.microsoft.com/office/drawing/2014/main" id="{253757F9-345C-47CC-ACCA-0C9149FAB263}"/>
            </a:ext>
          </a:extLst>
        </xdr:cNvPr>
        <xdr:cNvCxnSpPr/>
      </xdr:nvCxnSpPr>
      <xdr:spPr>
        <a:xfrm>
          <a:off x="15880948" y="3607861"/>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65334</xdr:colOff>
      <xdr:row>20</xdr:row>
      <xdr:rowOff>166161</xdr:rowOff>
    </xdr:from>
    <xdr:to>
      <xdr:col>26</xdr:col>
      <xdr:colOff>705414</xdr:colOff>
      <xdr:row>20</xdr:row>
      <xdr:rowOff>166161</xdr:rowOff>
    </xdr:to>
    <xdr:cxnSp macro="">
      <xdr:nvCxnSpPr>
        <xdr:cNvPr id="102" name="Straight Connector 101">
          <a:extLst>
            <a:ext uri="{FF2B5EF4-FFF2-40B4-BE49-F238E27FC236}">
              <a16:creationId xmlns:a16="http://schemas.microsoft.com/office/drawing/2014/main" id="{11A01C89-0975-4156-83FA-A6FC5FEDF18B}"/>
            </a:ext>
          </a:extLst>
        </xdr:cNvPr>
        <xdr:cNvCxnSpPr/>
      </xdr:nvCxnSpPr>
      <xdr:spPr>
        <a:xfrm>
          <a:off x="16638834" y="3607861"/>
          <a:ext cx="58293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74167</xdr:colOff>
      <xdr:row>24</xdr:row>
      <xdr:rowOff>159033</xdr:rowOff>
    </xdr:from>
    <xdr:to>
      <xdr:col>25</xdr:col>
      <xdr:colOff>714247</xdr:colOff>
      <xdr:row>24</xdr:row>
      <xdr:rowOff>159033</xdr:rowOff>
    </xdr:to>
    <xdr:cxnSp macro="">
      <xdr:nvCxnSpPr>
        <xdr:cNvPr id="103" name="Straight Connector 102">
          <a:extLst>
            <a:ext uri="{FF2B5EF4-FFF2-40B4-BE49-F238E27FC236}">
              <a16:creationId xmlns:a16="http://schemas.microsoft.com/office/drawing/2014/main" id="{0CA5965A-377C-4B34-A7EA-5A6B2A753B5D}"/>
            </a:ext>
          </a:extLst>
        </xdr:cNvPr>
        <xdr:cNvCxnSpPr/>
      </xdr:nvCxnSpPr>
      <xdr:spPr>
        <a:xfrm>
          <a:off x="15885667" y="4337333"/>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70053</xdr:colOff>
      <xdr:row>24</xdr:row>
      <xdr:rowOff>159033</xdr:rowOff>
    </xdr:from>
    <xdr:to>
      <xdr:col>26</xdr:col>
      <xdr:colOff>710133</xdr:colOff>
      <xdr:row>24</xdr:row>
      <xdr:rowOff>159033</xdr:rowOff>
    </xdr:to>
    <xdr:cxnSp macro="">
      <xdr:nvCxnSpPr>
        <xdr:cNvPr id="104" name="Straight Connector 103">
          <a:extLst>
            <a:ext uri="{FF2B5EF4-FFF2-40B4-BE49-F238E27FC236}">
              <a16:creationId xmlns:a16="http://schemas.microsoft.com/office/drawing/2014/main" id="{BDAD1212-B6D6-4FE5-BCA5-3C8766959F80}"/>
            </a:ext>
          </a:extLst>
        </xdr:cNvPr>
        <xdr:cNvCxnSpPr/>
      </xdr:nvCxnSpPr>
      <xdr:spPr>
        <a:xfrm>
          <a:off x="16643553" y="4337333"/>
          <a:ext cx="5765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74167</xdr:colOff>
      <xdr:row>28</xdr:row>
      <xdr:rowOff>166653</xdr:rowOff>
    </xdr:from>
    <xdr:to>
      <xdr:col>25</xdr:col>
      <xdr:colOff>714247</xdr:colOff>
      <xdr:row>28</xdr:row>
      <xdr:rowOff>166653</xdr:rowOff>
    </xdr:to>
    <xdr:cxnSp macro="">
      <xdr:nvCxnSpPr>
        <xdr:cNvPr id="105" name="Straight Connector 104">
          <a:extLst>
            <a:ext uri="{FF2B5EF4-FFF2-40B4-BE49-F238E27FC236}">
              <a16:creationId xmlns:a16="http://schemas.microsoft.com/office/drawing/2014/main" id="{A433FEB7-A230-4050-A8FF-633BBC7B0FD6}"/>
            </a:ext>
          </a:extLst>
        </xdr:cNvPr>
        <xdr:cNvCxnSpPr/>
      </xdr:nvCxnSpPr>
      <xdr:spPr>
        <a:xfrm>
          <a:off x="15885667" y="5081553"/>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70053</xdr:colOff>
      <xdr:row>28</xdr:row>
      <xdr:rowOff>166653</xdr:rowOff>
    </xdr:from>
    <xdr:to>
      <xdr:col>26</xdr:col>
      <xdr:colOff>710133</xdr:colOff>
      <xdr:row>28</xdr:row>
      <xdr:rowOff>166653</xdr:rowOff>
    </xdr:to>
    <xdr:cxnSp macro="">
      <xdr:nvCxnSpPr>
        <xdr:cNvPr id="106" name="Straight Connector 105">
          <a:extLst>
            <a:ext uri="{FF2B5EF4-FFF2-40B4-BE49-F238E27FC236}">
              <a16:creationId xmlns:a16="http://schemas.microsoft.com/office/drawing/2014/main" id="{A7040D6E-F2F0-4D77-BDA1-5E94DFBFD2DE}"/>
            </a:ext>
          </a:extLst>
        </xdr:cNvPr>
        <xdr:cNvCxnSpPr/>
      </xdr:nvCxnSpPr>
      <xdr:spPr>
        <a:xfrm>
          <a:off x="16643553" y="5081553"/>
          <a:ext cx="5765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74167</xdr:colOff>
      <xdr:row>33</xdr:row>
      <xdr:rowOff>161573</xdr:rowOff>
    </xdr:from>
    <xdr:to>
      <xdr:col>25</xdr:col>
      <xdr:colOff>714247</xdr:colOff>
      <xdr:row>33</xdr:row>
      <xdr:rowOff>161573</xdr:rowOff>
    </xdr:to>
    <xdr:cxnSp macro="">
      <xdr:nvCxnSpPr>
        <xdr:cNvPr id="107" name="Straight Connector 106">
          <a:extLst>
            <a:ext uri="{FF2B5EF4-FFF2-40B4-BE49-F238E27FC236}">
              <a16:creationId xmlns:a16="http://schemas.microsoft.com/office/drawing/2014/main" id="{A15C9BCB-0F35-4147-846D-3E767C04F85A}"/>
            </a:ext>
          </a:extLst>
        </xdr:cNvPr>
        <xdr:cNvCxnSpPr/>
      </xdr:nvCxnSpPr>
      <xdr:spPr>
        <a:xfrm>
          <a:off x="15885667" y="6009923"/>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70053</xdr:colOff>
      <xdr:row>33</xdr:row>
      <xdr:rowOff>161573</xdr:rowOff>
    </xdr:from>
    <xdr:to>
      <xdr:col>26</xdr:col>
      <xdr:colOff>710133</xdr:colOff>
      <xdr:row>33</xdr:row>
      <xdr:rowOff>161573</xdr:rowOff>
    </xdr:to>
    <xdr:cxnSp macro="">
      <xdr:nvCxnSpPr>
        <xdr:cNvPr id="108" name="Straight Connector 107">
          <a:extLst>
            <a:ext uri="{FF2B5EF4-FFF2-40B4-BE49-F238E27FC236}">
              <a16:creationId xmlns:a16="http://schemas.microsoft.com/office/drawing/2014/main" id="{982E2BD4-7630-499C-90BD-A133D55DA4EB}"/>
            </a:ext>
          </a:extLst>
        </xdr:cNvPr>
        <xdr:cNvCxnSpPr/>
      </xdr:nvCxnSpPr>
      <xdr:spPr>
        <a:xfrm>
          <a:off x="16643553" y="6009923"/>
          <a:ext cx="5765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71627</xdr:colOff>
      <xdr:row>34</xdr:row>
      <xdr:rowOff>164113</xdr:rowOff>
    </xdr:from>
    <xdr:to>
      <xdr:col>25</xdr:col>
      <xdr:colOff>711707</xdr:colOff>
      <xdr:row>34</xdr:row>
      <xdr:rowOff>164113</xdr:rowOff>
    </xdr:to>
    <xdr:cxnSp macro="">
      <xdr:nvCxnSpPr>
        <xdr:cNvPr id="109" name="Straight Connector 108">
          <a:extLst>
            <a:ext uri="{FF2B5EF4-FFF2-40B4-BE49-F238E27FC236}">
              <a16:creationId xmlns:a16="http://schemas.microsoft.com/office/drawing/2014/main" id="{EA1100B0-DA90-4610-9172-FFFED6C8C588}"/>
            </a:ext>
          </a:extLst>
        </xdr:cNvPr>
        <xdr:cNvCxnSpPr/>
      </xdr:nvCxnSpPr>
      <xdr:spPr>
        <a:xfrm>
          <a:off x="15883127" y="6196613"/>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67513</xdr:colOff>
      <xdr:row>34</xdr:row>
      <xdr:rowOff>164113</xdr:rowOff>
    </xdr:from>
    <xdr:to>
      <xdr:col>26</xdr:col>
      <xdr:colOff>707593</xdr:colOff>
      <xdr:row>34</xdr:row>
      <xdr:rowOff>164113</xdr:rowOff>
    </xdr:to>
    <xdr:cxnSp macro="">
      <xdr:nvCxnSpPr>
        <xdr:cNvPr id="110" name="Straight Connector 109">
          <a:extLst>
            <a:ext uri="{FF2B5EF4-FFF2-40B4-BE49-F238E27FC236}">
              <a16:creationId xmlns:a16="http://schemas.microsoft.com/office/drawing/2014/main" id="{37602A28-7444-4340-9DB2-86F9DD51CAC8}"/>
            </a:ext>
          </a:extLst>
        </xdr:cNvPr>
        <xdr:cNvCxnSpPr/>
      </xdr:nvCxnSpPr>
      <xdr:spPr>
        <a:xfrm>
          <a:off x="16641013" y="6196613"/>
          <a:ext cx="58293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67221</xdr:colOff>
      <xdr:row>41</xdr:row>
      <xdr:rowOff>164521</xdr:rowOff>
    </xdr:from>
    <xdr:to>
      <xdr:col>26</xdr:col>
      <xdr:colOff>707301</xdr:colOff>
      <xdr:row>41</xdr:row>
      <xdr:rowOff>164521</xdr:rowOff>
    </xdr:to>
    <xdr:cxnSp macro="">
      <xdr:nvCxnSpPr>
        <xdr:cNvPr id="111" name="Straight Connector 110">
          <a:extLst>
            <a:ext uri="{FF2B5EF4-FFF2-40B4-BE49-F238E27FC236}">
              <a16:creationId xmlns:a16="http://schemas.microsoft.com/office/drawing/2014/main" id="{61F15ED9-16BD-43C9-83C1-A450A7525ADE}"/>
            </a:ext>
          </a:extLst>
        </xdr:cNvPr>
        <xdr:cNvCxnSpPr/>
      </xdr:nvCxnSpPr>
      <xdr:spPr>
        <a:xfrm>
          <a:off x="16640721" y="7346371"/>
          <a:ext cx="58293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67221</xdr:colOff>
      <xdr:row>43</xdr:row>
      <xdr:rowOff>165008</xdr:rowOff>
    </xdr:from>
    <xdr:to>
      <xdr:col>26</xdr:col>
      <xdr:colOff>707301</xdr:colOff>
      <xdr:row>43</xdr:row>
      <xdr:rowOff>165008</xdr:rowOff>
    </xdr:to>
    <xdr:cxnSp macro="">
      <xdr:nvCxnSpPr>
        <xdr:cNvPr id="112" name="Straight Connector 111">
          <a:extLst>
            <a:ext uri="{FF2B5EF4-FFF2-40B4-BE49-F238E27FC236}">
              <a16:creationId xmlns:a16="http://schemas.microsoft.com/office/drawing/2014/main" id="{D1CFAA7E-3A9B-4C1A-93E0-347618543552}"/>
            </a:ext>
          </a:extLst>
        </xdr:cNvPr>
        <xdr:cNvCxnSpPr/>
      </xdr:nvCxnSpPr>
      <xdr:spPr>
        <a:xfrm>
          <a:off x="16640721" y="7715158"/>
          <a:ext cx="58293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64183</xdr:colOff>
      <xdr:row>48</xdr:row>
      <xdr:rowOff>167497</xdr:rowOff>
    </xdr:from>
    <xdr:to>
      <xdr:col>22</xdr:col>
      <xdr:colOff>704263</xdr:colOff>
      <xdr:row>48</xdr:row>
      <xdr:rowOff>167497</xdr:rowOff>
    </xdr:to>
    <xdr:cxnSp macro="">
      <xdr:nvCxnSpPr>
        <xdr:cNvPr id="113" name="Straight Connector 112">
          <a:extLst>
            <a:ext uri="{FF2B5EF4-FFF2-40B4-BE49-F238E27FC236}">
              <a16:creationId xmlns:a16="http://schemas.microsoft.com/office/drawing/2014/main" id="{84A3E2D4-B881-4807-AF5D-50F39166B1D5}"/>
            </a:ext>
          </a:extLst>
        </xdr:cNvPr>
        <xdr:cNvCxnSpPr/>
      </xdr:nvCxnSpPr>
      <xdr:spPr>
        <a:xfrm>
          <a:off x="13589683" y="8638397"/>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606525</xdr:colOff>
      <xdr:row>46</xdr:row>
      <xdr:rowOff>139367</xdr:rowOff>
    </xdr:from>
    <xdr:to>
      <xdr:col>27</xdr:col>
      <xdr:colOff>0</xdr:colOff>
      <xdr:row>46</xdr:row>
      <xdr:rowOff>139367</xdr:rowOff>
    </xdr:to>
    <xdr:cxnSp macro="">
      <xdr:nvCxnSpPr>
        <xdr:cNvPr id="114" name="Straight Connector 113">
          <a:extLst>
            <a:ext uri="{FF2B5EF4-FFF2-40B4-BE49-F238E27FC236}">
              <a16:creationId xmlns:a16="http://schemas.microsoft.com/office/drawing/2014/main" id="{1BE2101E-F8F1-4456-AFDE-79C6E62FCCC2}"/>
            </a:ext>
          </a:extLst>
        </xdr:cNvPr>
        <xdr:cNvCxnSpPr/>
      </xdr:nvCxnSpPr>
      <xdr:spPr>
        <a:xfrm>
          <a:off x="13522425" y="8241967"/>
          <a:ext cx="3698775"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61632</xdr:colOff>
      <xdr:row>48</xdr:row>
      <xdr:rowOff>167497</xdr:rowOff>
    </xdr:from>
    <xdr:to>
      <xdr:col>23</xdr:col>
      <xdr:colOff>701712</xdr:colOff>
      <xdr:row>48</xdr:row>
      <xdr:rowOff>167497</xdr:rowOff>
    </xdr:to>
    <xdr:cxnSp macro="">
      <xdr:nvCxnSpPr>
        <xdr:cNvPr id="115" name="Straight Connector 114">
          <a:extLst>
            <a:ext uri="{FF2B5EF4-FFF2-40B4-BE49-F238E27FC236}">
              <a16:creationId xmlns:a16="http://schemas.microsoft.com/office/drawing/2014/main" id="{9191CB14-D297-43CB-8CC8-4A3FD70F0605}"/>
            </a:ext>
          </a:extLst>
        </xdr:cNvPr>
        <xdr:cNvCxnSpPr/>
      </xdr:nvCxnSpPr>
      <xdr:spPr>
        <a:xfrm>
          <a:off x="14349132" y="8638397"/>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24</xdr:col>
      <xdr:colOff>59079</xdr:colOff>
      <xdr:row>48</xdr:row>
      <xdr:rowOff>167497</xdr:rowOff>
    </xdr:from>
    <xdr:to>
      <xdr:col>24</xdr:col>
      <xdr:colOff>699159</xdr:colOff>
      <xdr:row>48</xdr:row>
      <xdr:rowOff>167497</xdr:rowOff>
    </xdr:to>
    <xdr:cxnSp macro="">
      <xdr:nvCxnSpPr>
        <xdr:cNvPr id="116" name="Straight Connector 115">
          <a:extLst>
            <a:ext uri="{FF2B5EF4-FFF2-40B4-BE49-F238E27FC236}">
              <a16:creationId xmlns:a16="http://schemas.microsoft.com/office/drawing/2014/main" id="{724CDC55-0D62-4AB5-9AB2-8D7BB9A5D331}"/>
            </a:ext>
          </a:extLst>
        </xdr:cNvPr>
        <xdr:cNvCxnSpPr/>
      </xdr:nvCxnSpPr>
      <xdr:spPr>
        <a:xfrm>
          <a:off x="15108579" y="8638397"/>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68679</xdr:colOff>
      <xdr:row>48</xdr:row>
      <xdr:rowOff>167497</xdr:rowOff>
    </xdr:from>
    <xdr:to>
      <xdr:col>25</xdr:col>
      <xdr:colOff>708759</xdr:colOff>
      <xdr:row>48</xdr:row>
      <xdr:rowOff>167497</xdr:rowOff>
    </xdr:to>
    <xdr:cxnSp macro="">
      <xdr:nvCxnSpPr>
        <xdr:cNvPr id="117" name="Straight Connector 116">
          <a:extLst>
            <a:ext uri="{FF2B5EF4-FFF2-40B4-BE49-F238E27FC236}">
              <a16:creationId xmlns:a16="http://schemas.microsoft.com/office/drawing/2014/main" id="{ED5FE76B-52EF-4E16-9D77-08E5C895732C}"/>
            </a:ext>
          </a:extLst>
        </xdr:cNvPr>
        <xdr:cNvCxnSpPr/>
      </xdr:nvCxnSpPr>
      <xdr:spPr>
        <a:xfrm>
          <a:off x="15880179" y="8638397"/>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63090</xdr:colOff>
      <xdr:row>48</xdr:row>
      <xdr:rowOff>167497</xdr:rowOff>
    </xdr:from>
    <xdr:to>
      <xdr:col>26</xdr:col>
      <xdr:colOff>703170</xdr:colOff>
      <xdr:row>48</xdr:row>
      <xdr:rowOff>167497</xdr:rowOff>
    </xdr:to>
    <xdr:cxnSp macro="">
      <xdr:nvCxnSpPr>
        <xdr:cNvPr id="118" name="Straight Connector 117">
          <a:extLst>
            <a:ext uri="{FF2B5EF4-FFF2-40B4-BE49-F238E27FC236}">
              <a16:creationId xmlns:a16="http://schemas.microsoft.com/office/drawing/2014/main" id="{DAEE7D6D-9B1B-4CAD-9958-72BB5C088F0C}"/>
            </a:ext>
          </a:extLst>
        </xdr:cNvPr>
        <xdr:cNvCxnSpPr/>
      </xdr:nvCxnSpPr>
      <xdr:spPr>
        <a:xfrm>
          <a:off x="16636590" y="8638397"/>
          <a:ext cx="58293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61274</xdr:colOff>
      <xdr:row>54</xdr:row>
      <xdr:rowOff>154333</xdr:rowOff>
    </xdr:from>
    <xdr:to>
      <xdr:col>23</xdr:col>
      <xdr:colOff>701354</xdr:colOff>
      <xdr:row>54</xdr:row>
      <xdr:rowOff>154333</xdr:rowOff>
    </xdr:to>
    <xdr:cxnSp macro="">
      <xdr:nvCxnSpPr>
        <xdr:cNvPr id="119" name="Straight Connector 118">
          <a:extLst>
            <a:ext uri="{FF2B5EF4-FFF2-40B4-BE49-F238E27FC236}">
              <a16:creationId xmlns:a16="http://schemas.microsoft.com/office/drawing/2014/main" id="{6AB9458C-09DA-408B-8A64-712AE2F15731}"/>
            </a:ext>
          </a:extLst>
        </xdr:cNvPr>
        <xdr:cNvCxnSpPr/>
      </xdr:nvCxnSpPr>
      <xdr:spPr>
        <a:xfrm>
          <a:off x="14348774" y="9577733"/>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24</xdr:col>
      <xdr:colOff>58721</xdr:colOff>
      <xdr:row>54</xdr:row>
      <xdr:rowOff>154333</xdr:rowOff>
    </xdr:from>
    <xdr:to>
      <xdr:col>24</xdr:col>
      <xdr:colOff>698801</xdr:colOff>
      <xdr:row>54</xdr:row>
      <xdr:rowOff>154333</xdr:rowOff>
    </xdr:to>
    <xdr:cxnSp macro="">
      <xdr:nvCxnSpPr>
        <xdr:cNvPr id="120" name="Straight Connector 119">
          <a:extLst>
            <a:ext uri="{FF2B5EF4-FFF2-40B4-BE49-F238E27FC236}">
              <a16:creationId xmlns:a16="http://schemas.microsoft.com/office/drawing/2014/main" id="{7AA06F4B-672A-4843-A75A-F5D85C062040}"/>
            </a:ext>
          </a:extLst>
        </xdr:cNvPr>
        <xdr:cNvCxnSpPr/>
      </xdr:nvCxnSpPr>
      <xdr:spPr>
        <a:xfrm>
          <a:off x="15108221" y="9577733"/>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14238</xdr:colOff>
      <xdr:row>57</xdr:row>
      <xdr:rowOff>155953</xdr:rowOff>
    </xdr:from>
    <xdr:to>
      <xdr:col>27</xdr:col>
      <xdr:colOff>0</xdr:colOff>
      <xdr:row>57</xdr:row>
      <xdr:rowOff>156614</xdr:rowOff>
    </xdr:to>
    <xdr:cxnSp macro="">
      <xdr:nvCxnSpPr>
        <xdr:cNvPr id="121" name="Straight Connector 120">
          <a:extLst>
            <a:ext uri="{FF2B5EF4-FFF2-40B4-BE49-F238E27FC236}">
              <a16:creationId xmlns:a16="http://schemas.microsoft.com/office/drawing/2014/main" id="{18F4270D-A989-4DD1-9561-AF6184CE6448}"/>
            </a:ext>
          </a:extLst>
        </xdr:cNvPr>
        <xdr:cNvCxnSpPr/>
      </xdr:nvCxnSpPr>
      <xdr:spPr>
        <a:xfrm flipV="1">
          <a:off x="13539738" y="9998453"/>
          <a:ext cx="3681462" cy="661"/>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73838</xdr:colOff>
      <xdr:row>59</xdr:row>
      <xdr:rowOff>155229</xdr:rowOff>
    </xdr:from>
    <xdr:to>
      <xdr:col>23</xdr:col>
      <xdr:colOff>713918</xdr:colOff>
      <xdr:row>59</xdr:row>
      <xdr:rowOff>155229</xdr:rowOff>
    </xdr:to>
    <xdr:cxnSp macro="">
      <xdr:nvCxnSpPr>
        <xdr:cNvPr id="122" name="Straight Connector 121">
          <a:extLst>
            <a:ext uri="{FF2B5EF4-FFF2-40B4-BE49-F238E27FC236}">
              <a16:creationId xmlns:a16="http://schemas.microsoft.com/office/drawing/2014/main" id="{5084199B-0295-4B35-9F8F-DE3536526F31}"/>
            </a:ext>
          </a:extLst>
        </xdr:cNvPr>
        <xdr:cNvCxnSpPr/>
      </xdr:nvCxnSpPr>
      <xdr:spPr>
        <a:xfrm>
          <a:off x="14361338" y="10372379"/>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24</xdr:col>
      <xdr:colOff>71285</xdr:colOff>
      <xdr:row>59</xdr:row>
      <xdr:rowOff>155229</xdr:rowOff>
    </xdr:from>
    <xdr:to>
      <xdr:col>24</xdr:col>
      <xdr:colOff>711365</xdr:colOff>
      <xdr:row>59</xdr:row>
      <xdr:rowOff>155229</xdr:rowOff>
    </xdr:to>
    <xdr:cxnSp macro="">
      <xdr:nvCxnSpPr>
        <xdr:cNvPr id="123" name="Straight Connector 122">
          <a:extLst>
            <a:ext uri="{FF2B5EF4-FFF2-40B4-BE49-F238E27FC236}">
              <a16:creationId xmlns:a16="http://schemas.microsoft.com/office/drawing/2014/main" id="{4A2CFD5C-51D7-4EB8-B36C-9DAE5AFAA1FA}"/>
            </a:ext>
          </a:extLst>
        </xdr:cNvPr>
        <xdr:cNvCxnSpPr/>
      </xdr:nvCxnSpPr>
      <xdr:spPr>
        <a:xfrm>
          <a:off x="15120785" y="10372379"/>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80885</xdr:colOff>
      <xdr:row>59</xdr:row>
      <xdr:rowOff>155229</xdr:rowOff>
    </xdr:from>
    <xdr:to>
      <xdr:col>25</xdr:col>
      <xdr:colOff>720965</xdr:colOff>
      <xdr:row>59</xdr:row>
      <xdr:rowOff>155229</xdr:rowOff>
    </xdr:to>
    <xdr:cxnSp macro="">
      <xdr:nvCxnSpPr>
        <xdr:cNvPr id="124" name="Straight Connector 123">
          <a:extLst>
            <a:ext uri="{FF2B5EF4-FFF2-40B4-BE49-F238E27FC236}">
              <a16:creationId xmlns:a16="http://schemas.microsoft.com/office/drawing/2014/main" id="{1596A719-A202-49DB-9E8C-637FFBB2AE30}"/>
            </a:ext>
          </a:extLst>
        </xdr:cNvPr>
        <xdr:cNvCxnSpPr/>
      </xdr:nvCxnSpPr>
      <xdr:spPr>
        <a:xfrm>
          <a:off x="15892385" y="10372379"/>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75296</xdr:colOff>
      <xdr:row>59</xdr:row>
      <xdr:rowOff>155229</xdr:rowOff>
    </xdr:from>
    <xdr:to>
      <xdr:col>26</xdr:col>
      <xdr:colOff>715376</xdr:colOff>
      <xdr:row>59</xdr:row>
      <xdr:rowOff>155229</xdr:rowOff>
    </xdr:to>
    <xdr:cxnSp macro="">
      <xdr:nvCxnSpPr>
        <xdr:cNvPr id="125" name="Straight Connector 124">
          <a:extLst>
            <a:ext uri="{FF2B5EF4-FFF2-40B4-BE49-F238E27FC236}">
              <a16:creationId xmlns:a16="http://schemas.microsoft.com/office/drawing/2014/main" id="{FAEDC736-1495-4E8B-B115-5D02DD2DE74C}"/>
            </a:ext>
          </a:extLst>
        </xdr:cNvPr>
        <xdr:cNvCxnSpPr/>
      </xdr:nvCxnSpPr>
      <xdr:spPr>
        <a:xfrm>
          <a:off x="16648796" y="10372379"/>
          <a:ext cx="57023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76885</xdr:colOff>
      <xdr:row>64</xdr:row>
      <xdr:rowOff>159393</xdr:rowOff>
    </xdr:from>
    <xdr:to>
      <xdr:col>23</xdr:col>
      <xdr:colOff>716965</xdr:colOff>
      <xdr:row>64</xdr:row>
      <xdr:rowOff>159393</xdr:rowOff>
    </xdr:to>
    <xdr:cxnSp macro="">
      <xdr:nvCxnSpPr>
        <xdr:cNvPr id="126" name="Straight Connector 125">
          <a:extLst>
            <a:ext uri="{FF2B5EF4-FFF2-40B4-BE49-F238E27FC236}">
              <a16:creationId xmlns:a16="http://schemas.microsoft.com/office/drawing/2014/main" id="{A3E14FC0-1986-4A5A-AE05-2A73F1DC2817}"/>
            </a:ext>
          </a:extLst>
        </xdr:cNvPr>
        <xdr:cNvCxnSpPr/>
      </xdr:nvCxnSpPr>
      <xdr:spPr>
        <a:xfrm>
          <a:off x="14364385" y="11303643"/>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24</xdr:col>
      <xdr:colOff>74332</xdr:colOff>
      <xdr:row>64</xdr:row>
      <xdr:rowOff>159393</xdr:rowOff>
    </xdr:from>
    <xdr:to>
      <xdr:col>24</xdr:col>
      <xdr:colOff>714412</xdr:colOff>
      <xdr:row>64</xdr:row>
      <xdr:rowOff>159393</xdr:rowOff>
    </xdr:to>
    <xdr:cxnSp macro="">
      <xdr:nvCxnSpPr>
        <xdr:cNvPr id="127" name="Straight Connector 126">
          <a:extLst>
            <a:ext uri="{FF2B5EF4-FFF2-40B4-BE49-F238E27FC236}">
              <a16:creationId xmlns:a16="http://schemas.microsoft.com/office/drawing/2014/main" id="{E2F92A37-E8FC-40B1-AE83-73DB32FF279C}"/>
            </a:ext>
          </a:extLst>
        </xdr:cNvPr>
        <xdr:cNvCxnSpPr/>
      </xdr:nvCxnSpPr>
      <xdr:spPr>
        <a:xfrm>
          <a:off x="15123832" y="11303643"/>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83932</xdr:colOff>
      <xdr:row>64</xdr:row>
      <xdr:rowOff>159393</xdr:rowOff>
    </xdr:from>
    <xdr:to>
      <xdr:col>25</xdr:col>
      <xdr:colOff>724012</xdr:colOff>
      <xdr:row>64</xdr:row>
      <xdr:rowOff>159393</xdr:rowOff>
    </xdr:to>
    <xdr:cxnSp macro="">
      <xdr:nvCxnSpPr>
        <xdr:cNvPr id="128" name="Straight Connector 127">
          <a:extLst>
            <a:ext uri="{FF2B5EF4-FFF2-40B4-BE49-F238E27FC236}">
              <a16:creationId xmlns:a16="http://schemas.microsoft.com/office/drawing/2014/main" id="{B8A274D2-7E6D-4346-93A3-5201999FFF4C}"/>
            </a:ext>
          </a:extLst>
        </xdr:cNvPr>
        <xdr:cNvCxnSpPr/>
      </xdr:nvCxnSpPr>
      <xdr:spPr>
        <a:xfrm>
          <a:off x="15895432" y="11303643"/>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78343</xdr:colOff>
      <xdr:row>64</xdr:row>
      <xdr:rowOff>159393</xdr:rowOff>
    </xdr:from>
    <xdr:to>
      <xdr:col>26</xdr:col>
      <xdr:colOff>718423</xdr:colOff>
      <xdr:row>64</xdr:row>
      <xdr:rowOff>159393</xdr:rowOff>
    </xdr:to>
    <xdr:cxnSp macro="">
      <xdr:nvCxnSpPr>
        <xdr:cNvPr id="129" name="Straight Connector 128">
          <a:extLst>
            <a:ext uri="{FF2B5EF4-FFF2-40B4-BE49-F238E27FC236}">
              <a16:creationId xmlns:a16="http://schemas.microsoft.com/office/drawing/2014/main" id="{0E8EE755-DEFC-4ED9-A67E-AC2E0A6C981B}"/>
            </a:ext>
          </a:extLst>
        </xdr:cNvPr>
        <xdr:cNvCxnSpPr/>
      </xdr:nvCxnSpPr>
      <xdr:spPr>
        <a:xfrm>
          <a:off x="16651843" y="11303643"/>
          <a:ext cx="57023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603343</xdr:colOff>
      <xdr:row>1</xdr:row>
      <xdr:rowOff>164575</xdr:rowOff>
    </xdr:from>
    <xdr:to>
      <xdr:col>26</xdr:col>
      <xdr:colOff>603343</xdr:colOff>
      <xdr:row>1</xdr:row>
      <xdr:rowOff>164667</xdr:rowOff>
    </xdr:to>
    <xdr:cxnSp macro="">
      <xdr:nvCxnSpPr>
        <xdr:cNvPr id="130" name="Straight Connector 129">
          <a:extLst>
            <a:ext uri="{FF2B5EF4-FFF2-40B4-BE49-F238E27FC236}">
              <a16:creationId xmlns:a16="http://schemas.microsoft.com/office/drawing/2014/main" id="{888A2FD2-B406-47DC-9221-77F1D2D2776C}"/>
            </a:ext>
          </a:extLst>
        </xdr:cNvPr>
        <xdr:cNvCxnSpPr/>
      </xdr:nvCxnSpPr>
      <xdr:spPr>
        <a:xfrm flipV="1">
          <a:off x="13519243" y="348725"/>
          <a:ext cx="3657600" cy="92"/>
        </a:xfrm>
        <a:prstGeom prst="line">
          <a:avLst/>
        </a:prstGeom>
        <a:ln w="12700">
          <a:solidFill>
            <a:schemeClr val="bg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81638</xdr:colOff>
      <xdr:row>11</xdr:row>
      <xdr:rowOff>169534</xdr:rowOff>
    </xdr:from>
    <xdr:to>
      <xdr:col>20</xdr:col>
      <xdr:colOff>585586</xdr:colOff>
      <xdr:row>11</xdr:row>
      <xdr:rowOff>170691</xdr:rowOff>
    </xdr:to>
    <xdr:cxnSp macro="">
      <xdr:nvCxnSpPr>
        <xdr:cNvPr id="131" name="Straight Connector 130">
          <a:extLst>
            <a:ext uri="{FF2B5EF4-FFF2-40B4-BE49-F238E27FC236}">
              <a16:creationId xmlns:a16="http://schemas.microsoft.com/office/drawing/2014/main" id="{3F986764-ABC3-4A6D-8FF9-D7665D510D7C}"/>
            </a:ext>
          </a:extLst>
        </xdr:cNvPr>
        <xdr:cNvCxnSpPr/>
      </xdr:nvCxnSpPr>
      <xdr:spPr>
        <a:xfrm flipV="1">
          <a:off x="11778338" y="208088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81981</xdr:colOff>
      <xdr:row>16</xdr:row>
      <xdr:rowOff>154837</xdr:rowOff>
    </xdr:from>
    <xdr:to>
      <xdr:col>10</xdr:col>
      <xdr:colOff>585928</xdr:colOff>
      <xdr:row>16</xdr:row>
      <xdr:rowOff>155994</xdr:rowOff>
    </xdr:to>
    <xdr:cxnSp macro="">
      <xdr:nvCxnSpPr>
        <xdr:cNvPr id="132" name="Straight Connector 131">
          <a:extLst>
            <a:ext uri="{FF2B5EF4-FFF2-40B4-BE49-F238E27FC236}">
              <a16:creationId xmlns:a16="http://schemas.microsoft.com/office/drawing/2014/main" id="{10834820-1834-40D0-9962-5D53D23FC552}"/>
            </a:ext>
          </a:extLst>
        </xdr:cNvPr>
        <xdr:cNvCxnSpPr/>
      </xdr:nvCxnSpPr>
      <xdr:spPr>
        <a:xfrm flipV="1">
          <a:off x="5682681" y="299328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84473</xdr:colOff>
      <xdr:row>16</xdr:row>
      <xdr:rowOff>154837</xdr:rowOff>
    </xdr:from>
    <xdr:to>
      <xdr:col>12</xdr:col>
      <xdr:colOff>588420</xdr:colOff>
      <xdr:row>16</xdr:row>
      <xdr:rowOff>155994</xdr:rowOff>
    </xdr:to>
    <xdr:cxnSp macro="">
      <xdr:nvCxnSpPr>
        <xdr:cNvPr id="133" name="Straight Connector 132">
          <a:extLst>
            <a:ext uri="{FF2B5EF4-FFF2-40B4-BE49-F238E27FC236}">
              <a16:creationId xmlns:a16="http://schemas.microsoft.com/office/drawing/2014/main" id="{D55BA0B0-BA1A-47A2-90C1-5B03A81ABB6D}"/>
            </a:ext>
          </a:extLst>
        </xdr:cNvPr>
        <xdr:cNvCxnSpPr/>
      </xdr:nvCxnSpPr>
      <xdr:spPr>
        <a:xfrm flipV="1">
          <a:off x="6904373" y="299328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82797</xdr:colOff>
      <xdr:row>16</xdr:row>
      <xdr:rowOff>154837</xdr:rowOff>
    </xdr:from>
    <xdr:to>
      <xdr:col>14</xdr:col>
      <xdr:colOff>586744</xdr:colOff>
      <xdr:row>16</xdr:row>
      <xdr:rowOff>155994</xdr:rowOff>
    </xdr:to>
    <xdr:cxnSp macro="">
      <xdr:nvCxnSpPr>
        <xdr:cNvPr id="134" name="Straight Connector 133">
          <a:extLst>
            <a:ext uri="{FF2B5EF4-FFF2-40B4-BE49-F238E27FC236}">
              <a16:creationId xmlns:a16="http://schemas.microsoft.com/office/drawing/2014/main" id="{B71161BC-23D2-4E9F-863B-22CF31EC465C}"/>
            </a:ext>
          </a:extLst>
        </xdr:cNvPr>
        <xdr:cNvCxnSpPr/>
      </xdr:nvCxnSpPr>
      <xdr:spPr>
        <a:xfrm flipV="1">
          <a:off x="8121897" y="299328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92541</xdr:colOff>
      <xdr:row>16</xdr:row>
      <xdr:rowOff>154837</xdr:rowOff>
    </xdr:from>
    <xdr:to>
      <xdr:col>16</xdr:col>
      <xdr:colOff>596489</xdr:colOff>
      <xdr:row>16</xdr:row>
      <xdr:rowOff>155994</xdr:rowOff>
    </xdr:to>
    <xdr:cxnSp macro="">
      <xdr:nvCxnSpPr>
        <xdr:cNvPr id="135" name="Straight Connector 134">
          <a:extLst>
            <a:ext uri="{FF2B5EF4-FFF2-40B4-BE49-F238E27FC236}">
              <a16:creationId xmlns:a16="http://schemas.microsoft.com/office/drawing/2014/main" id="{667ED831-E435-4BA3-AFCC-9BAF0B84BC1A}"/>
            </a:ext>
          </a:extLst>
        </xdr:cNvPr>
        <xdr:cNvCxnSpPr/>
      </xdr:nvCxnSpPr>
      <xdr:spPr>
        <a:xfrm flipV="1">
          <a:off x="9350841" y="2993287"/>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81638</xdr:colOff>
      <xdr:row>16</xdr:row>
      <xdr:rowOff>154837</xdr:rowOff>
    </xdr:from>
    <xdr:to>
      <xdr:col>18</xdr:col>
      <xdr:colOff>585586</xdr:colOff>
      <xdr:row>16</xdr:row>
      <xdr:rowOff>155994</xdr:rowOff>
    </xdr:to>
    <xdr:cxnSp macro="">
      <xdr:nvCxnSpPr>
        <xdr:cNvPr id="136" name="Straight Connector 135">
          <a:extLst>
            <a:ext uri="{FF2B5EF4-FFF2-40B4-BE49-F238E27FC236}">
              <a16:creationId xmlns:a16="http://schemas.microsoft.com/office/drawing/2014/main" id="{37C7077B-57BF-4BA0-8656-F383593BAC95}"/>
            </a:ext>
          </a:extLst>
        </xdr:cNvPr>
        <xdr:cNvCxnSpPr/>
      </xdr:nvCxnSpPr>
      <xdr:spPr>
        <a:xfrm flipV="1">
          <a:off x="10559138" y="2993287"/>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81638</xdr:colOff>
      <xdr:row>11</xdr:row>
      <xdr:rowOff>169534</xdr:rowOff>
    </xdr:from>
    <xdr:to>
      <xdr:col>20</xdr:col>
      <xdr:colOff>585586</xdr:colOff>
      <xdr:row>11</xdr:row>
      <xdr:rowOff>170691</xdr:rowOff>
    </xdr:to>
    <xdr:cxnSp macro="">
      <xdr:nvCxnSpPr>
        <xdr:cNvPr id="137" name="Straight Connector 136">
          <a:extLst>
            <a:ext uri="{FF2B5EF4-FFF2-40B4-BE49-F238E27FC236}">
              <a16:creationId xmlns:a16="http://schemas.microsoft.com/office/drawing/2014/main" id="{AF0D2817-45DF-4D77-9504-B54C6BBBB4FC}"/>
            </a:ext>
          </a:extLst>
        </xdr:cNvPr>
        <xdr:cNvCxnSpPr/>
      </xdr:nvCxnSpPr>
      <xdr:spPr>
        <a:xfrm flipV="1">
          <a:off x="11778338" y="208088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81638</xdr:colOff>
      <xdr:row>13</xdr:row>
      <xdr:rowOff>154837</xdr:rowOff>
    </xdr:from>
    <xdr:to>
      <xdr:col>20</xdr:col>
      <xdr:colOff>585586</xdr:colOff>
      <xdr:row>13</xdr:row>
      <xdr:rowOff>155994</xdr:rowOff>
    </xdr:to>
    <xdr:cxnSp macro="">
      <xdr:nvCxnSpPr>
        <xdr:cNvPr id="138" name="Straight Connector 137">
          <a:extLst>
            <a:ext uri="{FF2B5EF4-FFF2-40B4-BE49-F238E27FC236}">
              <a16:creationId xmlns:a16="http://schemas.microsoft.com/office/drawing/2014/main" id="{4287A8FC-BEF6-44AF-AB9B-B6703517E1F1}"/>
            </a:ext>
          </a:extLst>
        </xdr:cNvPr>
        <xdr:cNvCxnSpPr/>
      </xdr:nvCxnSpPr>
      <xdr:spPr>
        <a:xfrm flipV="1">
          <a:off x="11778338" y="2440837"/>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81638</xdr:colOff>
      <xdr:row>16</xdr:row>
      <xdr:rowOff>158334</xdr:rowOff>
    </xdr:from>
    <xdr:to>
      <xdr:col>20</xdr:col>
      <xdr:colOff>585586</xdr:colOff>
      <xdr:row>16</xdr:row>
      <xdr:rowOff>159491</xdr:rowOff>
    </xdr:to>
    <xdr:cxnSp macro="">
      <xdr:nvCxnSpPr>
        <xdr:cNvPr id="139" name="Straight Connector 138">
          <a:extLst>
            <a:ext uri="{FF2B5EF4-FFF2-40B4-BE49-F238E27FC236}">
              <a16:creationId xmlns:a16="http://schemas.microsoft.com/office/drawing/2014/main" id="{BF6CB1E2-3BC2-4247-B1DD-D96599DE2619}"/>
            </a:ext>
          </a:extLst>
        </xdr:cNvPr>
        <xdr:cNvCxnSpPr/>
      </xdr:nvCxnSpPr>
      <xdr:spPr>
        <a:xfrm flipV="1">
          <a:off x="11778338" y="299678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81638</xdr:colOff>
      <xdr:row>18</xdr:row>
      <xdr:rowOff>166215</xdr:rowOff>
    </xdr:from>
    <xdr:to>
      <xdr:col>20</xdr:col>
      <xdr:colOff>585586</xdr:colOff>
      <xdr:row>18</xdr:row>
      <xdr:rowOff>167372</xdr:rowOff>
    </xdr:to>
    <xdr:cxnSp macro="">
      <xdr:nvCxnSpPr>
        <xdr:cNvPr id="140" name="Straight Connector 139">
          <a:extLst>
            <a:ext uri="{FF2B5EF4-FFF2-40B4-BE49-F238E27FC236}">
              <a16:creationId xmlns:a16="http://schemas.microsoft.com/office/drawing/2014/main" id="{184D2193-1EF3-475A-8476-1F39802AC795}"/>
            </a:ext>
          </a:extLst>
        </xdr:cNvPr>
        <xdr:cNvCxnSpPr/>
      </xdr:nvCxnSpPr>
      <xdr:spPr>
        <a:xfrm flipV="1">
          <a:off x="11778338" y="3372965"/>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96661</xdr:colOff>
      <xdr:row>23</xdr:row>
      <xdr:rowOff>152197</xdr:rowOff>
    </xdr:from>
    <xdr:to>
      <xdr:col>20</xdr:col>
      <xdr:colOff>600563</xdr:colOff>
      <xdr:row>23</xdr:row>
      <xdr:rowOff>153354</xdr:rowOff>
    </xdr:to>
    <xdr:cxnSp macro="">
      <xdr:nvCxnSpPr>
        <xdr:cNvPr id="141" name="Straight Connector 140">
          <a:extLst>
            <a:ext uri="{FF2B5EF4-FFF2-40B4-BE49-F238E27FC236}">
              <a16:creationId xmlns:a16="http://schemas.microsoft.com/office/drawing/2014/main" id="{6E7896A0-B3A9-40DD-8B07-16F3A4146FFB}"/>
            </a:ext>
          </a:extLst>
        </xdr:cNvPr>
        <xdr:cNvCxnSpPr/>
      </xdr:nvCxnSpPr>
      <xdr:spPr>
        <a:xfrm flipV="1">
          <a:off x="11793361" y="4146347"/>
          <a:ext cx="1113502"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81638</xdr:colOff>
      <xdr:row>24</xdr:row>
      <xdr:rowOff>191437</xdr:rowOff>
    </xdr:from>
    <xdr:to>
      <xdr:col>20</xdr:col>
      <xdr:colOff>585586</xdr:colOff>
      <xdr:row>24</xdr:row>
      <xdr:rowOff>192594</xdr:rowOff>
    </xdr:to>
    <xdr:cxnSp macro="">
      <xdr:nvCxnSpPr>
        <xdr:cNvPr id="142" name="Straight Connector 141">
          <a:extLst>
            <a:ext uri="{FF2B5EF4-FFF2-40B4-BE49-F238E27FC236}">
              <a16:creationId xmlns:a16="http://schemas.microsoft.com/office/drawing/2014/main" id="{B6F47FF8-A004-4168-B288-8DAC38897F29}"/>
            </a:ext>
          </a:extLst>
        </xdr:cNvPr>
        <xdr:cNvCxnSpPr/>
      </xdr:nvCxnSpPr>
      <xdr:spPr>
        <a:xfrm flipV="1">
          <a:off x="11778338" y="4363387"/>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81638</xdr:colOff>
      <xdr:row>25</xdr:row>
      <xdr:rowOff>5545</xdr:rowOff>
    </xdr:from>
    <xdr:to>
      <xdr:col>20</xdr:col>
      <xdr:colOff>585586</xdr:colOff>
      <xdr:row>25</xdr:row>
      <xdr:rowOff>6702</xdr:rowOff>
    </xdr:to>
    <xdr:cxnSp macro="">
      <xdr:nvCxnSpPr>
        <xdr:cNvPr id="143" name="Straight Connector 142">
          <a:extLst>
            <a:ext uri="{FF2B5EF4-FFF2-40B4-BE49-F238E27FC236}">
              <a16:creationId xmlns:a16="http://schemas.microsoft.com/office/drawing/2014/main" id="{A77B774C-367E-4C7F-84CA-ADE29F4649AB}"/>
            </a:ext>
          </a:extLst>
        </xdr:cNvPr>
        <xdr:cNvCxnSpPr/>
      </xdr:nvCxnSpPr>
      <xdr:spPr>
        <a:xfrm flipV="1">
          <a:off x="11778338" y="4367995"/>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76561</xdr:colOff>
      <xdr:row>33</xdr:row>
      <xdr:rowOff>162327</xdr:rowOff>
    </xdr:from>
    <xdr:to>
      <xdr:col>20</xdr:col>
      <xdr:colOff>580463</xdr:colOff>
      <xdr:row>33</xdr:row>
      <xdr:rowOff>163484</xdr:rowOff>
    </xdr:to>
    <xdr:cxnSp macro="">
      <xdr:nvCxnSpPr>
        <xdr:cNvPr id="144" name="Straight Connector 143">
          <a:extLst>
            <a:ext uri="{FF2B5EF4-FFF2-40B4-BE49-F238E27FC236}">
              <a16:creationId xmlns:a16="http://schemas.microsoft.com/office/drawing/2014/main" id="{2C2AAC7F-E52D-43AD-88BA-3C55BDB2234E}"/>
            </a:ext>
          </a:extLst>
        </xdr:cNvPr>
        <xdr:cNvCxnSpPr/>
      </xdr:nvCxnSpPr>
      <xdr:spPr>
        <a:xfrm flipV="1">
          <a:off x="11773261" y="6010677"/>
          <a:ext cx="1113502"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76561</xdr:colOff>
      <xdr:row>40</xdr:row>
      <xdr:rowOff>159727</xdr:rowOff>
    </xdr:from>
    <xdr:to>
      <xdr:col>20</xdr:col>
      <xdr:colOff>580463</xdr:colOff>
      <xdr:row>40</xdr:row>
      <xdr:rowOff>160884</xdr:rowOff>
    </xdr:to>
    <xdr:cxnSp macro="">
      <xdr:nvCxnSpPr>
        <xdr:cNvPr id="145" name="Straight Connector 144">
          <a:extLst>
            <a:ext uri="{FF2B5EF4-FFF2-40B4-BE49-F238E27FC236}">
              <a16:creationId xmlns:a16="http://schemas.microsoft.com/office/drawing/2014/main" id="{3250ECBB-5C6D-4306-AA20-DD1FB3D73841}"/>
            </a:ext>
          </a:extLst>
        </xdr:cNvPr>
        <xdr:cNvCxnSpPr/>
      </xdr:nvCxnSpPr>
      <xdr:spPr>
        <a:xfrm flipV="1">
          <a:off x="11773261" y="7157427"/>
          <a:ext cx="1113502"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57761</xdr:colOff>
      <xdr:row>44</xdr:row>
      <xdr:rowOff>162046</xdr:rowOff>
    </xdr:from>
    <xdr:to>
      <xdr:col>20</xdr:col>
      <xdr:colOff>561663</xdr:colOff>
      <xdr:row>44</xdr:row>
      <xdr:rowOff>163364</xdr:rowOff>
    </xdr:to>
    <xdr:cxnSp macro="">
      <xdr:nvCxnSpPr>
        <xdr:cNvPr id="146" name="Straight Connector 145">
          <a:extLst>
            <a:ext uri="{FF2B5EF4-FFF2-40B4-BE49-F238E27FC236}">
              <a16:creationId xmlns:a16="http://schemas.microsoft.com/office/drawing/2014/main" id="{20496E20-26C6-4658-8727-697F6DD5B33B}"/>
            </a:ext>
          </a:extLst>
        </xdr:cNvPr>
        <xdr:cNvCxnSpPr/>
      </xdr:nvCxnSpPr>
      <xdr:spPr>
        <a:xfrm flipV="1">
          <a:off x="11754461" y="7896346"/>
          <a:ext cx="1113502"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57761</xdr:colOff>
      <xdr:row>53</xdr:row>
      <xdr:rowOff>159446</xdr:rowOff>
    </xdr:from>
    <xdr:to>
      <xdr:col>20</xdr:col>
      <xdr:colOff>561663</xdr:colOff>
      <xdr:row>53</xdr:row>
      <xdr:rowOff>160764</xdr:rowOff>
    </xdr:to>
    <xdr:cxnSp macro="">
      <xdr:nvCxnSpPr>
        <xdr:cNvPr id="147" name="Straight Connector 146">
          <a:extLst>
            <a:ext uri="{FF2B5EF4-FFF2-40B4-BE49-F238E27FC236}">
              <a16:creationId xmlns:a16="http://schemas.microsoft.com/office/drawing/2014/main" id="{37D2B17F-076D-4414-A001-52D7D7543881}"/>
            </a:ext>
          </a:extLst>
        </xdr:cNvPr>
        <xdr:cNvCxnSpPr/>
      </xdr:nvCxnSpPr>
      <xdr:spPr>
        <a:xfrm flipV="1">
          <a:off x="11754461" y="9398696"/>
          <a:ext cx="1113502"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57761</xdr:colOff>
      <xdr:row>54</xdr:row>
      <xdr:rowOff>161846</xdr:rowOff>
    </xdr:from>
    <xdr:to>
      <xdr:col>20</xdr:col>
      <xdr:colOff>561663</xdr:colOff>
      <xdr:row>54</xdr:row>
      <xdr:rowOff>163164</xdr:rowOff>
    </xdr:to>
    <xdr:cxnSp macro="">
      <xdr:nvCxnSpPr>
        <xdr:cNvPr id="148" name="Straight Connector 147">
          <a:extLst>
            <a:ext uri="{FF2B5EF4-FFF2-40B4-BE49-F238E27FC236}">
              <a16:creationId xmlns:a16="http://schemas.microsoft.com/office/drawing/2014/main" id="{1E5DF926-E62D-47C9-9818-33D88E84F260}"/>
            </a:ext>
          </a:extLst>
        </xdr:cNvPr>
        <xdr:cNvCxnSpPr/>
      </xdr:nvCxnSpPr>
      <xdr:spPr>
        <a:xfrm flipV="1">
          <a:off x="11754461" y="9585246"/>
          <a:ext cx="1113502"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57761</xdr:colOff>
      <xdr:row>55</xdr:row>
      <xdr:rowOff>4246</xdr:rowOff>
    </xdr:from>
    <xdr:to>
      <xdr:col>20</xdr:col>
      <xdr:colOff>561663</xdr:colOff>
      <xdr:row>55</xdr:row>
      <xdr:rowOff>5564</xdr:rowOff>
    </xdr:to>
    <xdr:cxnSp macro="">
      <xdr:nvCxnSpPr>
        <xdr:cNvPr id="149" name="Straight Connector 148">
          <a:extLst>
            <a:ext uri="{FF2B5EF4-FFF2-40B4-BE49-F238E27FC236}">
              <a16:creationId xmlns:a16="http://schemas.microsoft.com/office/drawing/2014/main" id="{8FB35A01-7838-4347-BEFB-F045F448A252}"/>
            </a:ext>
          </a:extLst>
        </xdr:cNvPr>
        <xdr:cNvCxnSpPr/>
      </xdr:nvCxnSpPr>
      <xdr:spPr>
        <a:xfrm flipV="1">
          <a:off x="11754461" y="9611796"/>
          <a:ext cx="1113502"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81638</xdr:colOff>
      <xdr:row>16</xdr:row>
      <xdr:rowOff>154837</xdr:rowOff>
    </xdr:from>
    <xdr:to>
      <xdr:col>20</xdr:col>
      <xdr:colOff>585586</xdr:colOff>
      <xdr:row>16</xdr:row>
      <xdr:rowOff>155994</xdr:rowOff>
    </xdr:to>
    <xdr:cxnSp macro="">
      <xdr:nvCxnSpPr>
        <xdr:cNvPr id="150" name="Straight Connector 149">
          <a:extLst>
            <a:ext uri="{FF2B5EF4-FFF2-40B4-BE49-F238E27FC236}">
              <a16:creationId xmlns:a16="http://schemas.microsoft.com/office/drawing/2014/main" id="{9F229C6A-1CC2-470A-A1AF-59EA249D00C6}"/>
            </a:ext>
          </a:extLst>
        </xdr:cNvPr>
        <xdr:cNvCxnSpPr/>
      </xdr:nvCxnSpPr>
      <xdr:spPr>
        <a:xfrm flipV="1">
          <a:off x="11778338" y="2993287"/>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81981</xdr:colOff>
      <xdr:row>24</xdr:row>
      <xdr:rowOff>191437</xdr:rowOff>
    </xdr:from>
    <xdr:to>
      <xdr:col>12</xdr:col>
      <xdr:colOff>585928</xdr:colOff>
      <xdr:row>24</xdr:row>
      <xdr:rowOff>192594</xdr:rowOff>
    </xdr:to>
    <xdr:cxnSp macro="">
      <xdr:nvCxnSpPr>
        <xdr:cNvPr id="151" name="Straight Connector 150">
          <a:extLst>
            <a:ext uri="{FF2B5EF4-FFF2-40B4-BE49-F238E27FC236}">
              <a16:creationId xmlns:a16="http://schemas.microsoft.com/office/drawing/2014/main" id="{E67EDD6B-DA4E-4E4D-B540-F501B8C0C9EE}"/>
            </a:ext>
          </a:extLst>
        </xdr:cNvPr>
        <xdr:cNvCxnSpPr/>
      </xdr:nvCxnSpPr>
      <xdr:spPr>
        <a:xfrm flipV="1">
          <a:off x="6901881" y="436338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81981</xdr:colOff>
      <xdr:row>25</xdr:row>
      <xdr:rowOff>5545</xdr:rowOff>
    </xdr:from>
    <xdr:to>
      <xdr:col>12</xdr:col>
      <xdr:colOff>585928</xdr:colOff>
      <xdr:row>25</xdr:row>
      <xdr:rowOff>6702</xdr:rowOff>
    </xdr:to>
    <xdr:cxnSp macro="">
      <xdr:nvCxnSpPr>
        <xdr:cNvPr id="152" name="Straight Connector 151">
          <a:extLst>
            <a:ext uri="{FF2B5EF4-FFF2-40B4-BE49-F238E27FC236}">
              <a16:creationId xmlns:a16="http://schemas.microsoft.com/office/drawing/2014/main" id="{7F61D9A6-538A-40D4-87CC-19C35C41631D}"/>
            </a:ext>
          </a:extLst>
        </xdr:cNvPr>
        <xdr:cNvCxnSpPr/>
      </xdr:nvCxnSpPr>
      <xdr:spPr>
        <a:xfrm flipV="1">
          <a:off x="6901881" y="436799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81981</xdr:colOff>
      <xdr:row>24</xdr:row>
      <xdr:rowOff>191437</xdr:rowOff>
    </xdr:from>
    <xdr:to>
      <xdr:col>14</xdr:col>
      <xdr:colOff>585928</xdr:colOff>
      <xdr:row>24</xdr:row>
      <xdr:rowOff>192594</xdr:rowOff>
    </xdr:to>
    <xdr:cxnSp macro="">
      <xdr:nvCxnSpPr>
        <xdr:cNvPr id="153" name="Straight Connector 152">
          <a:extLst>
            <a:ext uri="{FF2B5EF4-FFF2-40B4-BE49-F238E27FC236}">
              <a16:creationId xmlns:a16="http://schemas.microsoft.com/office/drawing/2014/main" id="{0A8322A7-DFC6-4D88-9CA5-C0AB2B9E1F67}"/>
            </a:ext>
          </a:extLst>
        </xdr:cNvPr>
        <xdr:cNvCxnSpPr/>
      </xdr:nvCxnSpPr>
      <xdr:spPr>
        <a:xfrm flipV="1">
          <a:off x="8121081" y="436338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81981</xdr:colOff>
      <xdr:row>25</xdr:row>
      <xdr:rowOff>5545</xdr:rowOff>
    </xdr:from>
    <xdr:to>
      <xdr:col>14</xdr:col>
      <xdr:colOff>585928</xdr:colOff>
      <xdr:row>25</xdr:row>
      <xdr:rowOff>6702</xdr:rowOff>
    </xdr:to>
    <xdr:cxnSp macro="">
      <xdr:nvCxnSpPr>
        <xdr:cNvPr id="154" name="Straight Connector 153">
          <a:extLst>
            <a:ext uri="{FF2B5EF4-FFF2-40B4-BE49-F238E27FC236}">
              <a16:creationId xmlns:a16="http://schemas.microsoft.com/office/drawing/2014/main" id="{66B15F32-D389-4606-8999-99CA3585CACC}"/>
            </a:ext>
          </a:extLst>
        </xdr:cNvPr>
        <xdr:cNvCxnSpPr/>
      </xdr:nvCxnSpPr>
      <xdr:spPr>
        <a:xfrm flipV="1">
          <a:off x="8121081" y="436799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81981</xdr:colOff>
      <xdr:row>24</xdr:row>
      <xdr:rowOff>191437</xdr:rowOff>
    </xdr:from>
    <xdr:to>
      <xdr:col>16</xdr:col>
      <xdr:colOff>585928</xdr:colOff>
      <xdr:row>24</xdr:row>
      <xdr:rowOff>192594</xdr:rowOff>
    </xdr:to>
    <xdr:cxnSp macro="">
      <xdr:nvCxnSpPr>
        <xdr:cNvPr id="155" name="Straight Connector 154">
          <a:extLst>
            <a:ext uri="{FF2B5EF4-FFF2-40B4-BE49-F238E27FC236}">
              <a16:creationId xmlns:a16="http://schemas.microsoft.com/office/drawing/2014/main" id="{95D3D2B9-CDA2-4757-929E-66141374416C}"/>
            </a:ext>
          </a:extLst>
        </xdr:cNvPr>
        <xdr:cNvCxnSpPr/>
      </xdr:nvCxnSpPr>
      <xdr:spPr>
        <a:xfrm flipV="1">
          <a:off x="9340281" y="436338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81981</xdr:colOff>
      <xdr:row>25</xdr:row>
      <xdr:rowOff>5545</xdr:rowOff>
    </xdr:from>
    <xdr:to>
      <xdr:col>16</xdr:col>
      <xdr:colOff>585928</xdr:colOff>
      <xdr:row>25</xdr:row>
      <xdr:rowOff>6702</xdr:rowOff>
    </xdr:to>
    <xdr:cxnSp macro="">
      <xdr:nvCxnSpPr>
        <xdr:cNvPr id="156" name="Straight Connector 155">
          <a:extLst>
            <a:ext uri="{FF2B5EF4-FFF2-40B4-BE49-F238E27FC236}">
              <a16:creationId xmlns:a16="http://schemas.microsoft.com/office/drawing/2014/main" id="{BF87456D-0847-4ECD-B83E-C23FA9F35E95}"/>
            </a:ext>
          </a:extLst>
        </xdr:cNvPr>
        <xdr:cNvCxnSpPr/>
      </xdr:nvCxnSpPr>
      <xdr:spPr>
        <a:xfrm flipV="1">
          <a:off x="9340281" y="436799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81981</xdr:colOff>
      <xdr:row>24</xdr:row>
      <xdr:rowOff>191437</xdr:rowOff>
    </xdr:from>
    <xdr:to>
      <xdr:col>18</xdr:col>
      <xdr:colOff>585928</xdr:colOff>
      <xdr:row>24</xdr:row>
      <xdr:rowOff>192594</xdr:rowOff>
    </xdr:to>
    <xdr:cxnSp macro="">
      <xdr:nvCxnSpPr>
        <xdr:cNvPr id="157" name="Straight Connector 156">
          <a:extLst>
            <a:ext uri="{FF2B5EF4-FFF2-40B4-BE49-F238E27FC236}">
              <a16:creationId xmlns:a16="http://schemas.microsoft.com/office/drawing/2014/main" id="{418386BF-6E94-4FAA-B396-D2EA142B4139}"/>
            </a:ext>
          </a:extLst>
        </xdr:cNvPr>
        <xdr:cNvCxnSpPr/>
      </xdr:nvCxnSpPr>
      <xdr:spPr>
        <a:xfrm flipV="1">
          <a:off x="10559481" y="436338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81981</xdr:colOff>
      <xdr:row>25</xdr:row>
      <xdr:rowOff>5545</xdr:rowOff>
    </xdr:from>
    <xdr:to>
      <xdr:col>18</xdr:col>
      <xdr:colOff>585928</xdr:colOff>
      <xdr:row>25</xdr:row>
      <xdr:rowOff>6702</xdr:rowOff>
    </xdr:to>
    <xdr:cxnSp macro="">
      <xdr:nvCxnSpPr>
        <xdr:cNvPr id="158" name="Straight Connector 157">
          <a:extLst>
            <a:ext uri="{FF2B5EF4-FFF2-40B4-BE49-F238E27FC236}">
              <a16:creationId xmlns:a16="http://schemas.microsoft.com/office/drawing/2014/main" id="{E96B09DC-5EE3-478F-8B3B-E9B571EDAFBB}"/>
            </a:ext>
          </a:extLst>
        </xdr:cNvPr>
        <xdr:cNvCxnSpPr/>
      </xdr:nvCxnSpPr>
      <xdr:spPr>
        <a:xfrm flipV="1">
          <a:off x="10559481" y="436799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81981</xdr:colOff>
      <xdr:row>24</xdr:row>
      <xdr:rowOff>191437</xdr:rowOff>
    </xdr:from>
    <xdr:to>
      <xdr:col>20</xdr:col>
      <xdr:colOff>585928</xdr:colOff>
      <xdr:row>24</xdr:row>
      <xdr:rowOff>192594</xdr:rowOff>
    </xdr:to>
    <xdr:cxnSp macro="">
      <xdr:nvCxnSpPr>
        <xdr:cNvPr id="159" name="Straight Connector 158">
          <a:extLst>
            <a:ext uri="{FF2B5EF4-FFF2-40B4-BE49-F238E27FC236}">
              <a16:creationId xmlns:a16="http://schemas.microsoft.com/office/drawing/2014/main" id="{28A08007-7CF3-4D27-A28D-3F42D7300016}"/>
            </a:ext>
          </a:extLst>
        </xdr:cNvPr>
        <xdr:cNvCxnSpPr/>
      </xdr:nvCxnSpPr>
      <xdr:spPr>
        <a:xfrm flipV="1">
          <a:off x="11778681" y="436338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81981</xdr:colOff>
      <xdr:row>25</xdr:row>
      <xdr:rowOff>5545</xdr:rowOff>
    </xdr:from>
    <xdr:to>
      <xdr:col>20</xdr:col>
      <xdr:colOff>585928</xdr:colOff>
      <xdr:row>25</xdr:row>
      <xdr:rowOff>6702</xdr:rowOff>
    </xdr:to>
    <xdr:cxnSp macro="">
      <xdr:nvCxnSpPr>
        <xdr:cNvPr id="160" name="Straight Connector 159">
          <a:extLst>
            <a:ext uri="{FF2B5EF4-FFF2-40B4-BE49-F238E27FC236}">
              <a16:creationId xmlns:a16="http://schemas.microsoft.com/office/drawing/2014/main" id="{622F7A48-A08B-4DA7-8511-46D5B3BAE943}"/>
            </a:ext>
          </a:extLst>
        </xdr:cNvPr>
        <xdr:cNvCxnSpPr/>
      </xdr:nvCxnSpPr>
      <xdr:spPr>
        <a:xfrm flipV="1">
          <a:off x="11778681" y="436799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81981</xdr:colOff>
      <xdr:row>27</xdr:row>
      <xdr:rowOff>191437</xdr:rowOff>
    </xdr:from>
    <xdr:to>
      <xdr:col>10</xdr:col>
      <xdr:colOff>585928</xdr:colOff>
      <xdr:row>27</xdr:row>
      <xdr:rowOff>192594</xdr:rowOff>
    </xdr:to>
    <xdr:cxnSp macro="">
      <xdr:nvCxnSpPr>
        <xdr:cNvPr id="161" name="Straight Connector 160">
          <a:extLst>
            <a:ext uri="{FF2B5EF4-FFF2-40B4-BE49-F238E27FC236}">
              <a16:creationId xmlns:a16="http://schemas.microsoft.com/office/drawing/2014/main" id="{B66FDC0D-F82E-44C7-9246-C6D953C6F139}"/>
            </a:ext>
          </a:extLst>
        </xdr:cNvPr>
        <xdr:cNvCxnSpPr/>
      </xdr:nvCxnSpPr>
      <xdr:spPr>
        <a:xfrm flipV="1">
          <a:off x="5682681" y="491583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81981</xdr:colOff>
      <xdr:row>28</xdr:row>
      <xdr:rowOff>5545</xdr:rowOff>
    </xdr:from>
    <xdr:to>
      <xdr:col>10</xdr:col>
      <xdr:colOff>585928</xdr:colOff>
      <xdr:row>28</xdr:row>
      <xdr:rowOff>6702</xdr:rowOff>
    </xdr:to>
    <xdr:cxnSp macro="">
      <xdr:nvCxnSpPr>
        <xdr:cNvPr id="162" name="Straight Connector 161">
          <a:extLst>
            <a:ext uri="{FF2B5EF4-FFF2-40B4-BE49-F238E27FC236}">
              <a16:creationId xmlns:a16="http://schemas.microsoft.com/office/drawing/2014/main" id="{80B6C647-A177-4080-AF75-C0DA2E5985B3}"/>
            </a:ext>
          </a:extLst>
        </xdr:cNvPr>
        <xdr:cNvCxnSpPr/>
      </xdr:nvCxnSpPr>
      <xdr:spPr>
        <a:xfrm flipV="1">
          <a:off x="5682681" y="492044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81981</xdr:colOff>
      <xdr:row>27</xdr:row>
      <xdr:rowOff>191437</xdr:rowOff>
    </xdr:from>
    <xdr:to>
      <xdr:col>12</xdr:col>
      <xdr:colOff>585928</xdr:colOff>
      <xdr:row>27</xdr:row>
      <xdr:rowOff>192594</xdr:rowOff>
    </xdr:to>
    <xdr:cxnSp macro="">
      <xdr:nvCxnSpPr>
        <xdr:cNvPr id="163" name="Straight Connector 162">
          <a:extLst>
            <a:ext uri="{FF2B5EF4-FFF2-40B4-BE49-F238E27FC236}">
              <a16:creationId xmlns:a16="http://schemas.microsoft.com/office/drawing/2014/main" id="{402FAE58-57AF-429D-887A-A7A10DD6C030}"/>
            </a:ext>
          </a:extLst>
        </xdr:cNvPr>
        <xdr:cNvCxnSpPr/>
      </xdr:nvCxnSpPr>
      <xdr:spPr>
        <a:xfrm flipV="1">
          <a:off x="6901881" y="491583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81981</xdr:colOff>
      <xdr:row>28</xdr:row>
      <xdr:rowOff>5545</xdr:rowOff>
    </xdr:from>
    <xdr:to>
      <xdr:col>12</xdr:col>
      <xdr:colOff>585928</xdr:colOff>
      <xdr:row>28</xdr:row>
      <xdr:rowOff>6702</xdr:rowOff>
    </xdr:to>
    <xdr:cxnSp macro="">
      <xdr:nvCxnSpPr>
        <xdr:cNvPr id="164" name="Straight Connector 163">
          <a:extLst>
            <a:ext uri="{FF2B5EF4-FFF2-40B4-BE49-F238E27FC236}">
              <a16:creationId xmlns:a16="http://schemas.microsoft.com/office/drawing/2014/main" id="{071931A0-B6DB-4B4B-A0A5-A36B4E58EA83}"/>
            </a:ext>
          </a:extLst>
        </xdr:cNvPr>
        <xdr:cNvCxnSpPr/>
      </xdr:nvCxnSpPr>
      <xdr:spPr>
        <a:xfrm flipV="1">
          <a:off x="6901881" y="492044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81981</xdr:colOff>
      <xdr:row>27</xdr:row>
      <xdr:rowOff>191437</xdr:rowOff>
    </xdr:from>
    <xdr:to>
      <xdr:col>14</xdr:col>
      <xdr:colOff>585928</xdr:colOff>
      <xdr:row>27</xdr:row>
      <xdr:rowOff>192594</xdr:rowOff>
    </xdr:to>
    <xdr:cxnSp macro="">
      <xdr:nvCxnSpPr>
        <xdr:cNvPr id="165" name="Straight Connector 164">
          <a:extLst>
            <a:ext uri="{FF2B5EF4-FFF2-40B4-BE49-F238E27FC236}">
              <a16:creationId xmlns:a16="http://schemas.microsoft.com/office/drawing/2014/main" id="{12C670FC-07F5-4411-AB50-E0A7A9FF2A2A}"/>
            </a:ext>
          </a:extLst>
        </xdr:cNvPr>
        <xdr:cNvCxnSpPr/>
      </xdr:nvCxnSpPr>
      <xdr:spPr>
        <a:xfrm flipV="1">
          <a:off x="8121081" y="491583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81981</xdr:colOff>
      <xdr:row>28</xdr:row>
      <xdr:rowOff>5545</xdr:rowOff>
    </xdr:from>
    <xdr:to>
      <xdr:col>14</xdr:col>
      <xdr:colOff>585928</xdr:colOff>
      <xdr:row>28</xdr:row>
      <xdr:rowOff>6702</xdr:rowOff>
    </xdr:to>
    <xdr:cxnSp macro="">
      <xdr:nvCxnSpPr>
        <xdr:cNvPr id="166" name="Straight Connector 165">
          <a:extLst>
            <a:ext uri="{FF2B5EF4-FFF2-40B4-BE49-F238E27FC236}">
              <a16:creationId xmlns:a16="http://schemas.microsoft.com/office/drawing/2014/main" id="{3861AA48-8353-4AA2-8CC7-545454803EB7}"/>
            </a:ext>
          </a:extLst>
        </xdr:cNvPr>
        <xdr:cNvCxnSpPr/>
      </xdr:nvCxnSpPr>
      <xdr:spPr>
        <a:xfrm flipV="1">
          <a:off x="8121081" y="492044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81981</xdr:colOff>
      <xdr:row>27</xdr:row>
      <xdr:rowOff>191437</xdr:rowOff>
    </xdr:from>
    <xdr:to>
      <xdr:col>16</xdr:col>
      <xdr:colOff>585928</xdr:colOff>
      <xdr:row>27</xdr:row>
      <xdr:rowOff>192594</xdr:rowOff>
    </xdr:to>
    <xdr:cxnSp macro="">
      <xdr:nvCxnSpPr>
        <xdr:cNvPr id="167" name="Straight Connector 166">
          <a:extLst>
            <a:ext uri="{FF2B5EF4-FFF2-40B4-BE49-F238E27FC236}">
              <a16:creationId xmlns:a16="http://schemas.microsoft.com/office/drawing/2014/main" id="{3F3FBCAB-4931-4F0F-A59D-24BAFCE27142}"/>
            </a:ext>
          </a:extLst>
        </xdr:cNvPr>
        <xdr:cNvCxnSpPr/>
      </xdr:nvCxnSpPr>
      <xdr:spPr>
        <a:xfrm flipV="1">
          <a:off x="9340281" y="491583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81981</xdr:colOff>
      <xdr:row>28</xdr:row>
      <xdr:rowOff>5545</xdr:rowOff>
    </xdr:from>
    <xdr:to>
      <xdr:col>16</xdr:col>
      <xdr:colOff>585928</xdr:colOff>
      <xdr:row>28</xdr:row>
      <xdr:rowOff>6702</xdr:rowOff>
    </xdr:to>
    <xdr:cxnSp macro="">
      <xdr:nvCxnSpPr>
        <xdr:cNvPr id="168" name="Straight Connector 167">
          <a:extLst>
            <a:ext uri="{FF2B5EF4-FFF2-40B4-BE49-F238E27FC236}">
              <a16:creationId xmlns:a16="http://schemas.microsoft.com/office/drawing/2014/main" id="{8B6C2542-1A8B-44BE-A912-06DF75208D2A}"/>
            </a:ext>
          </a:extLst>
        </xdr:cNvPr>
        <xdr:cNvCxnSpPr/>
      </xdr:nvCxnSpPr>
      <xdr:spPr>
        <a:xfrm flipV="1">
          <a:off x="9340281" y="492044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81981</xdr:colOff>
      <xdr:row>27</xdr:row>
      <xdr:rowOff>191437</xdr:rowOff>
    </xdr:from>
    <xdr:to>
      <xdr:col>18</xdr:col>
      <xdr:colOff>585928</xdr:colOff>
      <xdr:row>27</xdr:row>
      <xdr:rowOff>192594</xdr:rowOff>
    </xdr:to>
    <xdr:cxnSp macro="">
      <xdr:nvCxnSpPr>
        <xdr:cNvPr id="169" name="Straight Connector 168">
          <a:extLst>
            <a:ext uri="{FF2B5EF4-FFF2-40B4-BE49-F238E27FC236}">
              <a16:creationId xmlns:a16="http://schemas.microsoft.com/office/drawing/2014/main" id="{87F8A1BA-D07A-409C-9F07-1554BA09A2B7}"/>
            </a:ext>
          </a:extLst>
        </xdr:cNvPr>
        <xdr:cNvCxnSpPr/>
      </xdr:nvCxnSpPr>
      <xdr:spPr>
        <a:xfrm flipV="1">
          <a:off x="10559481" y="491583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81981</xdr:colOff>
      <xdr:row>28</xdr:row>
      <xdr:rowOff>5545</xdr:rowOff>
    </xdr:from>
    <xdr:to>
      <xdr:col>18</xdr:col>
      <xdr:colOff>585928</xdr:colOff>
      <xdr:row>28</xdr:row>
      <xdr:rowOff>6702</xdr:rowOff>
    </xdr:to>
    <xdr:cxnSp macro="">
      <xdr:nvCxnSpPr>
        <xdr:cNvPr id="170" name="Straight Connector 169">
          <a:extLst>
            <a:ext uri="{FF2B5EF4-FFF2-40B4-BE49-F238E27FC236}">
              <a16:creationId xmlns:a16="http://schemas.microsoft.com/office/drawing/2014/main" id="{CD527B2A-6284-4020-B647-812356496113}"/>
            </a:ext>
          </a:extLst>
        </xdr:cNvPr>
        <xdr:cNvCxnSpPr/>
      </xdr:nvCxnSpPr>
      <xdr:spPr>
        <a:xfrm flipV="1">
          <a:off x="10559481" y="492044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81981</xdr:colOff>
      <xdr:row>27</xdr:row>
      <xdr:rowOff>191437</xdr:rowOff>
    </xdr:from>
    <xdr:to>
      <xdr:col>20</xdr:col>
      <xdr:colOff>585928</xdr:colOff>
      <xdr:row>27</xdr:row>
      <xdr:rowOff>192594</xdr:rowOff>
    </xdr:to>
    <xdr:cxnSp macro="">
      <xdr:nvCxnSpPr>
        <xdr:cNvPr id="171" name="Straight Connector 170">
          <a:extLst>
            <a:ext uri="{FF2B5EF4-FFF2-40B4-BE49-F238E27FC236}">
              <a16:creationId xmlns:a16="http://schemas.microsoft.com/office/drawing/2014/main" id="{99DE6CD6-0A10-4701-99E0-E1249529FF99}"/>
            </a:ext>
          </a:extLst>
        </xdr:cNvPr>
        <xdr:cNvCxnSpPr/>
      </xdr:nvCxnSpPr>
      <xdr:spPr>
        <a:xfrm flipV="1">
          <a:off x="11778681" y="491583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81981</xdr:colOff>
      <xdr:row>28</xdr:row>
      <xdr:rowOff>5545</xdr:rowOff>
    </xdr:from>
    <xdr:to>
      <xdr:col>20</xdr:col>
      <xdr:colOff>585928</xdr:colOff>
      <xdr:row>28</xdr:row>
      <xdr:rowOff>6702</xdr:rowOff>
    </xdr:to>
    <xdr:cxnSp macro="">
      <xdr:nvCxnSpPr>
        <xdr:cNvPr id="172" name="Straight Connector 171">
          <a:extLst>
            <a:ext uri="{FF2B5EF4-FFF2-40B4-BE49-F238E27FC236}">
              <a16:creationId xmlns:a16="http://schemas.microsoft.com/office/drawing/2014/main" id="{3623F69A-3B1B-4F1E-871B-44A654DAD1BD}"/>
            </a:ext>
          </a:extLst>
        </xdr:cNvPr>
        <xdr:cNvCxnSpPr/>
      </xdr:nvCxnSpPr>
      <xdr:spPr>
        <a:xfrm flipV="1">
          <a:off x="11778681" y="492044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58081</xdr:colOff>
      <xdr:row>44</xdr:row>
      <xdr:rowOff>162046</xdr:rowOff>
    </xdr:from>
    <xdr:to>
      <xdr:col>12</xdr:col>
      <xdr:colOff>562028</xdr:colOff>
      <xdr:row>44</xdr:row>
      <xdr:rowOff>163364</xdr:rowOff>
    </xdr:to>
    <xdr:cxnSp macro="">
      <xdr:nvCxnSpPr>
        <xdr:cNvPr id="173" name="Straight Connector 172">
          <a:extLst>
            <a:ext uri="{FF2B5EF4-FFF2-40B4-BE49-F238E27FC236}">
              <a16:creationId xmlns:a16="http://schemas.microsoft.com/office/drawing/2014/main" id="{E5A65938-69DA-4EE5-AD41-B96FD12582B2}"/>
            </a:ext>
          </a:extLst>
        </xdr:cNvPr>
        <xdr:cNvCxnSpPr/>
      </xdr:nvCxnSpPr>
      <xdr:spPr>
        <a:xfrm flipV="1">
          <a:off x="6877981" y="78963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58081</xdr:colOff>
      <xdr:row>44</xdr:row>
      <xdr:rowOff>162046</xdr:rowOff>
    </xdr:from>
    <xdr:to>
      <xdr:col>14</xdr:col>
      <xdr:colOff>562028</xdr:colOff>
      <xdr:row>44</xdr:row>
      <xdr:rowOff>163364</xdr:rowOff>
    </xdr:to>
    <xdr:cxnSp macro="">
      <xdr:nvCxnSpPr>
        <xdr:cNvPr id="174" name="Straight Connector 173">
          <a:extLst>
            <a:ext uri="{FF2B5EF4-FFF2-40B4-BE49-F238E27FC236}">
              <a16:creationId xmlns:a16="http://schemas.microsoft.com/office/drawing/2014/main" id="{AF799A93-36D3-4AEB-8BB2-5ADA9380EE8A}"/>
            </a:ext>
          </a:extLst>
        </xdr:cNvPr>
        <xdr:cNvCxnSpPr/>
      </xdr:nvCxnSpPr>
      <xdr:spPr>
        <a:xfrm flipV="1">
          <a:off x="8097181" y="78963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58081</xdr:colOff>
      <xdr:row>44</xdr:row>
      <xdr:rowOff>162046</xdr:rowOff>
    </xdr:from>
    <xdr:to>
      <xdr:col>16</xdr:col>
      <xdr:colOff>562028</xdr:colOff>
      <xdr:row>44</xdr:row>
      <xdr:rowOff>163364</xdr:rowOff>
    </xdr:to>
    <xdr:cxnSp macro="">
      <xdr:nvCxnSpPr>
        <xdr:cNvPr id="175" name="Straight Connector 174">
          <a:extLst>
            <a:ext uri="{FF2B5EF4-FFF2-40B4-BE49-F238E27FC236}">
              <a16:creationId xmlns:a16="http://schemas.microsoft.com/office/drawing/2014/main" id="{D812A9FB-C38E-4E6F-A2D3-45E5BE479874}"/>
            </a:ext>
          </a:extLst>
        </xdr:cNvPr>
        <xdr:cNvCxnSpPr/>
      </xdr:nvCxnSpPr>
      <xdr:spPr>
        <a:xfrm flipV="1">
          <a:off x="9316381" y="78963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58081</xdr:colOff>
      <xdr:row>44</xdr:row>
      <xdr:rowOff>162046</xdr:rowOff>
    </xdr:from>
    <xdr:to>
      <xdr:col>18</xdr:col>
      <xdr:colOff>562028</xdr:colOff>
      <xdr:row>44</xdr:row>
      <xdr:rowOff>163364</xdr:rowOff>
    </xdr:to>
    <xdr:cxnSp macro="">
      <xdr:nvCxnSpPr>
        <xdr:cNvPr id="176" name="Straight Connector 175">
          <a:extLst>
            <a:ext uri="{FF2B5EF4-FFF2-40B4-BE49-F238E27FC236}">
              <a16:creationId xmlns:a16="http://schemas.microsoft.com/office/drawing/2014/main" id="{5E1B1012-2FC8-48FD-85D6-BAA7CDD321D3}"/>
            </a:ext>
          </a:extLst>
        </xdr:cNvPr>
        <xdr:cNvCxnSpPr/>
      </xdr:nvCxnSpPr>
      <xdr:spPr>
        <a:xfrm flipV="1">
          <a:off x="10535581" y="78963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58081</xdr:colOff>
      <xdr:row>44</xdr:row>
      <xdr:rowOff>162046</xdr:rowOff>
    </xdr:from>
    <xdr:to>
      <xdr:col>20</xdr:col>
      <xdr:colOff>562028</xdr:colOff>
      <xdr:row>44</xdr:row>
      <xdr:rowOff>163364</xdr:rowOff>
    </xdr:to>
    <xdr:cxnSp macro="">
      <xdr:nvCxnSpPr>
        <xdr:cNvPr id="177" name="Straight Connector 176">
          <a:extLst>
            <a:ext uri="{FF2B5EF4-FFF2-40B4-BE49-F238E27FC236}">
              <a16:creationId xmlns:a16="http://schemas.microsoft.com/office/drawing/2014/main" id="{A56025A5-B020-4114-908E-84F6879FA825}"/>
            </a:ext>
          </a:extLst>
        </xdr:cNvPr>
        <xdr:cNvCxnSpPr/>
      </xdr:nvCxnSpPr>
      <xdr:spPr>
        <a:xfrm flipV="1">
          <a:off x="11754781" y="78963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58081</xdr:colOff>
      <xdr:row>53</xdr:row>
      <xdr:rowOff>159446</xdr:rowOff>
    </xdr:from>
    <xdr:to>
      <xdr:col>12</xdr:col>
      <xdr:colOff>562028</xdr:colOff>
      <xdr:row>53</xdr:row>
      <xdr:rowOff>160764</xdr:rowOff>
    </xdr:to>
    <xdr:cxnSp macro="">
      <xdr:nvCxnSpPr>
        <xdr:cNvPr id="178" name="Straight Connector 177">
          <a:extLst>
            <a:ext uri="{FF2B5EF4-FFF2-40B4-BE49-F238E27FC236}">
              <a16:creationId xmlns:a16="http://schemas.microsoft.com/office/drawing/2014/main" id="{AE266FEA-A5D1-44E0-AFD3-215585EA0862}"/>
            </a:ext>
          </a:extLst>
        </xdr:cNvPr>
        <xdr:cNvCxnSpPr/>
      </xdr:nvCxnSpPr>
      <xdr:spPr>
        <a:xfrm flipV="1">
          <a:off x="6877981" y="93986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58081</xdr:colOff>
      <xdr:row>53</xdr:row>
      <xdr:rowOff>159446</xdr:rowOff>
    </xdr:from>
    <xdr:to>
      <xdr:col>14</xdr:col>
      <xdr:colOff>562028</xdr:colOff>
      <xdr:row>53</xdr:row>
      <xdr:rowOff>160764</xdr:rowOff>
    </xdr:to>
    <xdr:cxnSp macro="">
      <xdr:nvCxnSpPr>
        <xdr:cNvPr id="179" name="Straight Connector 178">
          <a:extLst>
            <a:ext uri="{FF2B5EF4-FFF2-40B4-BE49-F238E27FC236}">
              <a16:creationId xmlns:a16="http://schemas.microsoft.com/office/drawing/2014/main" id="{28036A5D-EF5F-474D-AEEC-FB869E3E9861}"/>
            </a:ext>
          </a:extLst>
        </xdr:cNvPr>
        <xdr:cNvCxnSpPr/>
      </xdr:nvCxnSpPr>
      <xdr:spPr>
        <a:xfrm flipV="1">
          <a:off x="8097181" y="93986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58081</xdr:colOff>
      <xdr:row>53</xdr:row>
      <xdr:rowOff>159446</xdr:rowOff>
    </xdr:from>
    <xdr:to>
      <xdr:col>16</xdr:col>
      <xdr:colOff>562028</xdr:colOff>
      <xdr:row>53</xdr:row>
      <xdr:rowOff>160764</xdr:rowOff>
    </xdr:to>
    <xdr:cxnSp macro="">
      <xdr:nvCxnSpPr>
        <xdr:cNvPr id="180" name="Straight Connector 179">
          <a:extLst>
            <a:ext uri="{FF2B5EF4-FFF2-40B4-BE49-F238E27FC236}">
              <a16:creationId xmlns:a16="http://schemas.microsoft.com/office/drawing/2014/main" id="{6C43103A-4369-4468-A6A2-95A3720D25D6}"/>
            </a:ext>
          </a:extLst>
        </xdr:cNvPr>
        <xdr:cNvCxnSpPr/>
      </xdr:nvCxnSpPr>
      <xdr:spPr>
        <a:xfrm flipV="1">
          <a:off x="9316381" y="93986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58081</xdr:colOff>
      <xdr:row>53</xdr:row>
      <xdr:rowOff>159446</xdr:rowOff>
    </xdr:from>
    <xdr:to>
      <xdr:col>18</xdr:col>
      <xdr:colOff>562028</xdr:colOff>
      <xdr:row>53</xdr:row>
      <xdr:rowOff>160764</xdr:rowOff>
    </xdr:to>
    <xdr:cxnSp macro="">
      <xdr:nvCxnSpPr>
        <xdr:cNvPr id="181" name="Straight Connector 180">
          <a:extLst>
            <a:ext uri="{FF2B5EF4-FFF2-40B4-BE49-F238E27FC236}">
              <a16:creationId xmlns:a16="http://schemas.microsoft.com/office/drawing/2014/main" id="{06E9F77A-5EAD-41DE-9FE7-7D092088196D}"/>
            </a:ext>
          </a:extLst>
        </xdr:cNvPr>
        <xdr:cNvCxnSpPr/>
      </xdr:nvCxnSpPr>
      <xdr:spPr>
        <a:xfrm flipV="1">
          <a:off x="10535581" y="93986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58081</xdr:colOff>
      <xdr:row>53</xdr:row>
      <xdr:rowOff>159446</xdr:rowOff>
    </xdr:from>
    <xdr:to>
      <xdr:col>20</xdr:col>
      <xdr:colOff>562028</xdr:colOff>
      <xdr:row>53</xdr:row>
      <xdr:rowOff>160764</xdr:rowOff>
    </xdr:to>
    <xdr:cxnSp macro="">
      <xdr:nvCxnSpPr>
        <xdr:cNvPr id="182" name="Straight Connector 181">
          <a:extLst>
            <a:ext uri="{FF2B5EF4-FFF2-40B4-BE49-F238E27FC236}">
              <a16:creationId xmlns:a16="http://schemas.microsoft.com/office/drawing/2014/main" id="{C6B87A81-9E00-4215-8BF4-F224F6EB6FEA}"/>
            </a:ext>
          </a:extLst>
        </xdr:cNvPr>
        <xdr:cNvCxnSpPr/>
      </xdr:nvCxnSpPr>
      <xdr:spPr>
        <a:xfrm flipV="1">
          <a:off x="11754781" y="93986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58081</xdr:colOff>
      <xdr:row>54</xdr:row>
      <xdr:rowOff>159446</xdr:rowOff>
    </xdr:from>
    <xdr:to>
      <xdr:col>10</xdr:col>
      <xdr:colOff>562028</xdr:colOff>
      <xdr:row>54</xdr:row>
      <xdr:rowOff>160764</xdr:rowOff>
    </xdr:to>
    <xdr:cxnSp macro="">
      <xdr:nvCxnSpPr>
        <xdr:cNvPr id="183" name="Straight Connector 182">
          <a:extLst>
            <a:ext uri="{FF2B5EF4-FFF2-40B4-BE49-F238E27FC236}">
              <a16:creationId xmlns:a16="http://schemas.microsoft.com/office/drawing/2014/main" id="{D293D55D-E6D9-47AF-9E63-FDF8CE64028D}"/>
            </a:ext>
          </a:extLst>
        </xdr:cNvPr>
        <xdr:cNvCxnSpPr/>
      </xdr:nvCxnSpPr>
      <xdr:spPr>
        <a:xfrm flipV="1">
          <a:off x="5658781" y="95828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58081</xdr:colOff>
      <xdr:row>54</xdr:row>
      <xdr:rowOff>161846</xdr:rowOff>
    </xdr:from>
    <xdr:to>
      <xdr:col>12</xdr:col>
      <xdr:colOff>562028</xdr:colOff>
      <xdr:row>54</xdr:row>
      <xdr:rowOff>163164</xdr:rowOff>
    </xdr:to>
    <xdr:cxnSp macro="">
      <xdr:nvCxnSpPr>
        <xdr:cNvPr id="184" name="Straight Connector 183">
          <a:extLst>
            <a:ext uri="{FF2B5EF4-FFF2-40B4-BE49-F238E27FC236}">
              <a16:creationId xmlns:a16="http://schemas.microsoft.com/office/drawing/2014/main" id="{BBEB4E35-BFF1-40A8-B25F-165D01F9D0D6}"/>
            </a:ext>
          </a:extLst>
        </xdr:cNvPr>
        <xdr:cNvCxnSpPr/>
      </xdr:nvCxnSpPr>
      <xdr:spPr>
        <a:xfrm flipV="1">
          <a:off x="6877981" y="95852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58081</xdr:colOff>
      <xdr:row>54</xdr:row>
      <xdr:rowOff>159446</xdr:rowOff>
    </xdr:from>
    <xdr:to>
      <xdr:col>12</xdr:col>
      <xdr:colOff>562028</xdr:colOff>
      <xdr:row>54</xdr:row>
      <xdr:rowOff>160764</xdr:rowOff>
    </xdr:to>
    <xdr:cxnSp macro="">
      <xdr:nvCxnSpPr>
        <xdr:cNvPr id="185" name="Straight Connector 184">
          <a:extLst>
            <a:ext uri="{FF2B5EF4-FFF2-40B4-BE49-F238E27FC236}">
              <a16:creationId xmlns:a16="http://schemas.microsoft.com/office/drawing/2014/main" id="{396118C0-F307-495B-A707-DA9256FFEDA9}"/>
            </a:ext>
          </a:extLst>
        </xdr:cNvPr>
        <xdr:cNvCxnSpPr/>
      </xdr:nvCxnSpPr>
      <xdr:spPr>
        <a:xfrm flipV="1">
          <a:off x="6877981" y="95828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58081</xdr:colOff>
      <xdr:row>54</xdr:row>
      <xdr:rowOff>161846</xdr:rowOff>
    </xdr:from>
    <xdr:to>
      <xdr:col>14</xdr:col>
      <xdr:colOff>562028</xdr:colOff>
      <xdr:row>54</xdr:row>
      <xdr:rowOff>163164</xdr:rowOff>
    </xdr:to>
    <xdr:cxnSp macro="">
      <xdr:nvCxnSpPr>
        <xdr:cNvPr id="186" name="Straight Connector 185">
          <a:extLst>
            <a:ext uri="{FF2B5EF4-FFF2-40B4-BE49-F238E27FC236}">
              <a16:creationId xmlns:a16="http://schemas.microsoft.com/office/drawing/2014/main" id="{A5D98E93-5C1E-4030-9945-476058899600}"/>
            </a:ext>
          </a:extLst>
        </xdr:cNvPr>
        <xdr:cNvCxnSpPr/>
      </xdr:nvCxnSpPr>
      <xdr:spPr>
        <a:xfrm flipV="1">
          <a:off x="8097181" y="95852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58081</xdr:colOff>
      <xdr:row>54</xdr:row>
      <xdr:rowOff>159446</xdr:rowOff>
    </xdr:from>
    <xdr:to>
      <xdr:col>14</xdr:col>
      <xdr:colOff>562028</xdr:colOff>
      <xdr:row>54</xdr:row>
      <xdr:rowOff>160764</xdr:rowOff>
    </xdr:to>
    <xdr:cxnSp macro="">
      <xdr:nvCxnSpPr>
        <xdr:cNvPr id="187" name="Straight Connector 186">
          <a:extLst>
            <a:ext uri="{FF2B5EF4-FFF2-40B4-BE49-F238E27FC236}">
              <a16:creationId xmlns:a16="http://schemas.microsoft.com/office/drawing/2014/main" id="{61DBC98E-60C5-4562-830E-0557D8DF4DE9}"/>
            </a:ext>
          </a:extLst>
        </xdr:cNvPr>
        <xdr:cNvCxnSpPr/>
      </xdr:nvCxnSpPr>
      <xdr:spPr>
        <a:xfrm flipV="1">
          <a:off x="8097181" y="95828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58081</xdr:colOff>
      <xdr:row>54</xdr:row>
      <xdr:rowOff>161846</xdr:rowOff>
    </xdr:from>
    <xdr:to>
      <xdr:col>16</xdr:col>
      <xdr:colOff>562028</xdr:colOff>
      <xdr:row>54</xdr:row>
      <xdr:rowOff>163164</xdr:rowOff>
    </xdr:to>
    <xdr:cxnSp macro="">
      <xdr:nvCxnSpPr>
        <xdr:cNvPr id="188" name="Straight Connector 187">
          <a:extLst>
            <a:ext uri="{FF2B5EF4-FFF2-40B4-BE49-F238E27FC236}">
              <a16:creationId xmlns:a16="http://schemas.microsoft.com/office/drawing/2014/main" id="{9C37E877-1801-4FBC-9D60-AF69AEC10915}"/>
            </a:ext>
          </a:extLst>
        </xdr:cNvPr>
        <xdr:cNvCxnSpPr/>
      </xdr:nvCxnSpPr>
      <xdr:spPr>
        <a:xfrm flipV="1">
          <a:off x="9316381" y="95852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58081</xdr:colOff>
      <xdr:row>54</xdr:row>
      <xdr:rowOff>159446</xdr:rowOff>
    </xdr:from>
    <xdr:to>
      <xdr:col>16</xdr:col>
      <xdr:colOff>562028</xdr:colOff>
      <xdr:row>54</xdr:row>
      <xdr:rowOff>160764</xdr:rowOff>
    </xdr:to>
    <xdr:cxnSp macro="">
      <xdr:nvCxnSpPr>
        <xdr:cNvPr id="189" name="Straight Connector 188">
          <a:extLst>
            <a:ext uri="{FF2B5EF4-FFF2-40B4-BE49-F238E27FC236}">
              <a16:creationId xmlns:a16="http://schemas.microsoft.com/office/drawing/2014/main" id="{F3514031-9779-4301-BEBA-FD050858BDF7}"/>
            </a:ext>
          </a:extLst>
        </xdr:cNvPr>
        <xdr:cNvCxnSpPr/>
      </xdr:nvCxnSpPr>
      <xdr:spPr>
        <a:xfrm flipV="1">
          <a:off x="9316381" y="95828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58081</xdr:colOff>
      <xdr:row>54</xdr:row>
      <xdr:rowOff>161846</xdr:rowOff>
    </xdr:from>
    <xdr:to>
      <xdr:col>18</xdr:col>
      <xdr:colOff>562028</xdr:colOff>
      <xdr:row>54</xdr:row>
      <xdr:rowOff>163164</xdr:rowOff>
    </xdr:to>
    <xdr:cxnSp macro="">
      <xdr:nvCxnSpPr>
        <xdr:cNvPr id="190" name="Straight Connector 189">
          <a:extLst>
            <a:ext uri="{FF2B5EF4-FFF2-40B4-BE49-F238E27FC236}">
              <a16:creationId xmlns:a16="http://schemas.microsoft.com/office/drawing/2014/main" id="{923A6ACE-24B9-4E0C-9E73-ED8AB049D998}"/>
            </a:ext>
          </a:extLst>
        </xdr:cNvPr>
        <xdr:cNvCxnSpPr/>
      </xdr:nvCxnSpPr>
      <xdr:spPr>
        <a:xfrm flipV="1">
          <a:off x="10535581" y="95852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58081</xdr:colOff>
      <xdr:row>54</xdr:row>
      <xdr:rowOff>159446</xdr:rowOff>
    </xdr:from>
    <xdr:to>
      <xdr:col>18</xdr:col>
      <xdr:colOff>562028</xdr:colOff>
      <xdr:row>54</xdr:row>
      <xdr:rowOff>160764</xdr:rowOff>
    </xdr:to>
    <xdr:cxnSp macro="">
      <xdr:nvCxnSpPr>
        <xdr:cNvPr id="191" name="Straight Connector 190">
          <a:extLst>
            <a:ext uri="{FF2B5EF4-FFF2-40B4-BE49-F238E27FC236}">
              <a16:creationId xmlns:a16="http://schemas.microsoft.com/office/drawing/2014/main" id="{A57474E4-3A2C-48B4-A65C-55C47B36E553}"/>
            </a:ext>
          </a:extLst>
        </xdr:cNvPr>
        <xdr:cNvCxnSpPr/>
      </xdr:nvCxnSpPr>
      <xdr:spPr>
        <a:xfrm flipV="1">
          <a:off x="10535581" y="95828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58081</xdr:colOff>
      <xdr:row>54</xdr:row>
      <xdr:rowOff>161846</xdr:rowOff>
    </xdr:from>
    <xdr:to>
      <xdr:col>20</xdr:col>
      <xdr:colOff>562028</xdr:colOff>
      <xdr:row>54</xdr:row>
      <xdr:rowOff>163164</xdr:rowOff>
    </xdr:to>
    <xdr:cxnSp macro="">
      <xdr:nvCxnSpPr>
        <xdr:cNvPr id="192" name="Straight Connector 191">
          <a:extLst>
            <a:ext uri="{FF2B5EF4-FFF2-40B4-BE49-F238E27FC236}">
              <a16:creationId xmlns:a16="http://schemas.microsoft.com/office/drawing/2014/main" id="{399B2C58-584B-4AAE-BAAA-E04FBF6A8886}"/>
            </a:ext>
          </a:extLst>
        </xdr:cNvPr>
        <xdr:cNvCxnSpPr/>
      </xdr:nvCxnSpPr>
      <xdr:spPr>
        <a:xfrm flipV="1">
          <a:off x="11754781" y="95852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58081</xdr:colOff>
      <xdr:row>54</xdr:row>
      <xdr:rowOff>159446</xdr:rowOff>
    </xdr:from>
    <xdr:to>
      <xdr:col>20</xdr:col>
      <xdr:colOff>562028</xdr:colOff>
      <xdr:row>54</xdr:row>
      <xdr:rowOff>160764</xdr:rowOff>
    </xdr:to>
    <xdr:cxnSp macro="">
      <xdr:nvCxnSpPr>
        <xdr:cNvPr id="193" name="Straight Connector 192">
          <a:extLst>
            <a:ext uri="{FF2B5EF4-FFF2-40B4-BE49-F238E27FC236}">
              <a16:creationId xmlns:a16="http://schemas.microsoft.com/office/drawing/2014/main" id="{0B442052-7A0C-47BA-BABD-2BD88B08424C}"/>
            </a:ext>
          </a:extLst>
        </xdr:cNvPr>
        <xdr:cNvCxnSpPr/>
      </xdr:nvCxnSpPr>
      <xdr:spPr>
        <a:xfrm flipV="1">
          <a:off x="11754781" y="95828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58081</xdr:colOff>
      <xdr:row>55</xdr:row>
      <xdr:rowOff>4246</xdr:rowOff>
    </xdr:from>
    <xdr:to>
      <xdr:col>12</xdr:col>
      <xdr:colOff>562028</xdr:colOff>
      <xdr:row>55</xdr:row>
      <xdr:rowOff>5564</xdr:rowOff>
    </xdr:to>
    <xdr:cxnSp macro="">
      <xdr:nvCxnSpPr>
        <xdr:cNvPr id="194" name="Straight Connector 193">
          <a:extLst>
            <a:ext uri="{FF2B5EF4-FFF2-40B4-BE49-F238E27FC236}">
              <a16:creationId xmlns:a16="http://schemas.microsoft.com/office/drawing/2014/main" id="{E7DADCB2-9085-4C35-A878-D91D1D6AE633}"/>
            </a:ext>
          </a:extLst>
        </xdr:cNvPr>
        <xdr:cNvCxnSpPr/>
      </xdr:nvCxnSpPr>
      <xdr:spPr>
        <a:xfrm flipV="1">
          <a:off x="6877981" y="96117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58081</xdr:colOff>
      <xdr:row>55</xdr:row>
      <xdr:rowOff>4246</xdr:rowOff>
    </xdr:from>
    <xdr:to>
      <xdr:col>14</xdr:col>
      <xdr:colOff>562028</xdr:colOff>
      <xdr:row>55</xdr:row>
      <xdr:rowOff>5564</xdr:rowOff>
    </xdr:to>
    <xdr:cxnSp macro="">
      <xdr:nvCxnSpPr>
        <xdr:cNvPr id="195" name="Straight Connector 194">
          <a:extLst>
            <a:ext uri="{FF2B5EF4-FFF2-40B4-BE49-F238E27FC236}">
              <a16:creationId xmlns:a16="http://schemas.microsoft.com/office/drawing/2014/main" id="{F15A89C7-EDC8-4AF2-AF23-F4ACC82B073C}"/>
            </a:ext>
          </a:extLst>
        </xdr:cNvPr>
        <xdr:cNvCxnSpPr/>
      </xdr:nvCxnSpPr>
      <xdr:spPr>
        <a:xfrm flipV="1">
          <a:off x="8097181" y="96117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58081</xdr:colOff>
      <xdr:row>55</xdr:row>
      <xdr:rowOff>4246</xdr:rowOff>
    </xdr:from>
    <xdr:to>
      <xdr:col>16</xdr:col>
      <xdr:colOff>562028</xdr:colOff>
      <xdr:row>55</xdr:row>
      <xdr:rowOff>5564</xdr:rowOff>
    </xdr:to>
    <xdr:cxnSp macro="">
      <xdr:nvCxnSpPr>
        <xdr:cNvPr id="196" name="Straight Connector 195">
          <a:extLst>
            <a:ext uri="{FF2B5EF4-FFF2-40B4-BE49-F238E27FC236}">
              <a16:creationId xmlns:a16="http://schemas.microsoft.com/office/drawing/2014/main" id="{D9D9FAF9-21A4-46CD-A4FF-CBA850FC46FB}"/>
            </a:ext>
          </a:extLst>
        </xdr:cNvPr>
        <xdr:cNvCxnSpPr/>
      </xdr:nvCxnSpPr>
      <xdr:spPr>
        <a:xfrm flipV="1">
          <a:off x="9316381" y="96117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58081</xdr:colOff>
      <xdr:row>55</xdr:row>
      <xdr:rowOff>4246</xdr:rowOff>
    </xdr:from>
    <xdr:to>
      <xdr:col>18</xdr:col>
      <xdr:colOff>562028</xdr:colOff>
      <xdr:row>55</xdr:row>
      <xdr:rowOff>5564</xdr:rowOff>
    </xdr:to>
    <xdr:cxnSp macro="">
      <xdr:nvCxnSpPr>
        <xdr:cNvPr id="197" name="Straight Connector 196">
          <a:extLst>
            <a:ext uri="{FF2B5EF4-FFF2-40B4-BE49-F238E27FC236}">
              <a16:creationId xmlns:a16="http://schemas.microsoft.com/office/drawing/2014/main" id="{559A48F0-FEB9-441C-923E-F74BEAEF8E4E}"/>
            </a:ext>
          </a:extLst>
        </xdr:cNvPr>
        <xdr:cNvCxnSpPr/>
      </xdr:nvCxnSpPr>
      <xdr:spPr>
        <a:xfrm flipV="1">
          <a:off x="10535581" y="96117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58081</xdr:colOff>
      <xdr:row>55</xdr:row>
      <xdr:rowOff>4246</xdr:rowOff>
    </xdr:from>
    <xdr:to>
      <xdr:col>20</xdr:col>
      <xdr:colOff>562028</xdr:colOff>
      <xdr:row>55</xdr:row>
      <xdr:rowOff>5564</xdr:rowOff>
    </xdr:to>
    <xdr:cxnSp macro="">
      <xdr:nvCxnSpPr>
        <xdr:cNvPr id="198" name="Straight Connector 197">
          <a:extLst>
            <a:ext uri="{FF2B5EF4-FFF2-40B4-BE49-F238E27FC236}">
              <a16:creationId xmlns:a16="http://schemas.microsoft.com/office/drawing/2014/main" id="{E245911F-E9E7-4A13-9E71-6F22FFB161B2}"/>
            </a:ext>
          </a:extLst>
        </xdr:cNvPr>
        <xdr:cNvCxnSpPr/>
      </xdr:nvCxnSpPr>
      <xdr:spPr>
        <a:xfrm flipV="1">
          <a:off x="11754781" y="96117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69448</xdr:colOff>
      <xdr:row>20</xdr:row>
      <xdr:rowOff>166161</xdr:rowOff>
    </xdr:from>
    <xdr:to>
      <xdr:col>26</xdr:col>
      <xdr:colOff>709528</xdr:colOff>
      <xdr:row>20</xdr:row>
      <xdr:rowOff>166161</xdr:rowOff>
    </xdr:to>
    <xdr:cxnSp macro="">
      <xdr:nvCxnSpPr>
        <xdr:cNvPr id="199" name="Straight Connector 198">
          <a:extLst>
            <a:ext uri="{FF2B5EF4-FFF2-40B4-BE49-F238E27FC236}">
              <a16:creationId xmlns:a16="http://schemas.microsoft.com/office/drawing/2014/main" id="{4FAFA6CA-9BE4-4ED9-97C2-D843CBB1C8BE}"/>
            </a:ext>
          </a:extLst>
        </xdr:cNvPr>
        <xdr:cNvCxnSpPr/>
      </xdr:nvCxnSpPr>
      <xdr:spPr>
        <a:xfrm>
          <a:off x="16642948" y="3607861"/>
          <a:ext cx="5765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69448</xdr:colOff>
      <xdr:row>20</xdr:row>
      <xdr:rowOff>166161</xdr:rowOff>
    </xdr:from>
    <xdr:to>
      <xdr:col>26</xdr:col>
      <xdr:colOff>709528</xdr:colOff>
      <xdr:row>20</xdr:row>
      <xdr:rowOff>166161</xdr:rowOff>
    </xdr:to>
    <xdr:cxnSp macro="">
      <xdr:nvCxnSpPr>
        <xdr:cNvPr id="200" name="Straight Connector 199">
          <a:extLst>
            <a:ext uri="{FF2B5EF4-FFF2-40B4-BE49-F238E27FC236}">
              <a16:creationId xmlns:a16="http://schemas.microsoft.com/office/drawing/2014/main" id="{A65512A3-FDC6-442A-A8A1-4374C5D03314}"/>
            </a:ext>
          </a:extLst>
        </xdr:cNvPr>
        <xdr:cNvCxnSpPr/>
      </xdr:nvCxnSpPr>
      <xdr:spPr>
        <a:xfrm>
          <a:off x="16642948" y="3607861"/>
          <a:ext cx="5765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71627</xdr:colOff>
      <xdr:row>34</xdr:row>
      <xdr:rowOff>164113</xdr:rowOff>
    </xdr:from>
    <xdr:to>
      <xdr:col>26</xdr:col>
      <xdr:colOff>711707</xdr:colOff>
      <xdr:row>34</xdr:row>
      <xdr:rowOff>164113</xdr:rowOff>
    </xdr:to>
    <xdr:cxnSp macro="">
      <xdr:nvCxnSpPr>
        <xdr:cNvPr id="201" name="Straight Connector 200">
          <a:extLst>
            <a:ext uri="{FF2B5EF4-FFF2-40B4-BE49-F238E27FC236}">
              <a16:creationId xmlns:a16="http://schemas.microsoft.com/office/drawing/2014/main" id="{916F0ED7-204E-425E-A064-B5C87993118E}"/>
            </a:ext>
          </a:extLst>
        </xdr:cNvPr>
        <xdr:cNvCxnSpPr/>
      </xdr:nvCxnSpPr>
      <xdr:spPr>
        <a:xfrm>
          <a:off x="16645127" y="6196613"/>
          <a:ext cx="5765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81638</xdr:colOff>
      <xdr:row>11</xdr:row>
      <xdr:rowOff>169534</xdr:rowOff>
    </xdr:from>
    <xdr:to>
      <xdr:col>20</xdr:col>
      <xdr:colOff>585586</xdr:colOff>
      <xdr:row>11</xdr:row>
      <xdr:rowOff>170691</xdr:rowOff>
    </xdr:to>
    <xdr:cxnSp macro="">
      <xdr:nvCxnSpPr>
        <xdr:cNvPr id="202" name="Straight Connector 201">
          <a:extLst>
            <a:ext uri="{FF2B5EF4-FFF2-40B4-BE49-F238E27FC236}">
              <a16:creationId xmlns:a16="http://schemas.microsoft.com/office/drawing/2014/main" id="{B8D7ABEE-9700-48FB-BA05-B152EF39BEB3}"/>
            </a:ext>
          </a:extLst>
        </xdr:cNvPr>
        <xdr:cNvCxnSpPr/>
      </xdr:nvCxnSpPr>
      <xdr:spPr>
        <a:xfrm flipV="1">
          <a:off x="11778338" y="208088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74332</xdr:colOff>
      <xdr:row>64</xdr:row>
      <xdr:rowOff>159393</xdr:rowOff>
    </xdr:from>
    <xdr:to>
      <xdr:col>25</xdr:col>
      <xdr:colOff>714412</xdr:colOff>
      <xdr:row>64</xdr:row>
      <xdr:rowOff>159393</xdr:rowOff>
    </xdr:to>
    <xdr:cxnSp macro="">
      <xdr:nvCxnSpPr>
        <xdr:cNvPr id="203" name="Straight Connector 202">
          <a:extLst>
            <a:ext uri="{FF2B5EF4-FFF2-40B4-BE49-F238E27FC236}">
              <a16:creationId xmlns:a16="http://schemas.microsoft.com/office/drawing/2014/main" id="{83B9C1E3-458E-4FB5-885A-44A877E7CCCD}"/>
            </a:ext>
          </a:extLst>
        </xdr:cNvPr>
        <xdr:cNvCxnSpPr/>
      </xdr:nvCxnSpPr>
      <xdr:spPr>
        <a:xfrm>
          <a:off x="15885832" y="11303643"/>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55843</xdr:colOff>
      <xdr:row>26</xdr:row>
      <xdr:rowOff>139492</xdr:rowOff>
    </xdr:from>
    <xdr:to>
      <xdr:col>4</xdr:col>
      <xdr:colOff>791256</xdr:colOff>
      <xdr:row>26</xdr:row>
      <xdr:rowOff>139492</xdr:rowOff>
    </xdr:to>
    <xdr:cxnSp macro="">
      <xdr:nvCxnSpPr>
        <xdr:cNvPr id="204" name="Straight Connector 203">
          <a:extLst>
            <a:ext uri="{FF2B5EF4-FFF2-40B4-BE49-F238E27FC236}">
              <a16:creationId xmlns:a16="http://schemas.microsoft.com/office/drawing/2014/main" id="{3C5B1DD9-CCD3-4F43-BBB1-446D1D0A1CB9}"/>
            </a:ext>
          </a:extLst>
        </xdr:cNvPr>
        <xdr:cNvCxnSpPr/>
      </xdr:nvCxnSpPr>
      <xdr:spPr>
        <a:xfrm>
          <a:off x="2678393" y="4686092"/>
          <a:ext cx="481413"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55843</xdr:colOff>
      <xdr:row>32</xdr:row>
      <xdr:rowOff>169413</xdr:rowOff>
    </xdr:from>
    <xdr:to>
      <xdr:col>4</xdr:col>
      <xdr:colOff>748036</xdr:colOff>
      <xdr:row>32</xdr:row>
      <xdr:rowOff>169413</xdr:rowOff>
    </xdr:to>
    <xdr:cxnSp macro="">
      <xdr:nvCxnSpPr>
        <xdr:cNvPr id="205" name="Straight Connector 204">
          <a:extLst>
            <a:ext uri="{FF2B5EF4-FFF2-40B4-BE49-F238E27FC236}">
              <a16:creationId xmlns:a16="http://schemas.microsoft.com/office/drawing/2014/main" id="{866AFF0D-2BE8-4CFD-A350-B486D49971AF}"/>
            </a:ext>
          </a:extLst>
        </xdr:cNvPr>
        <xdr:cNvCxnSpPr/>
      </xdr:nvCxnSpPr>
      <xdr:spPr>
        <a:xfrm>
          <a:off x="2678393" y="5833613"/>
          <a:ext cx="482643"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55843</xdr:colOff>
      <xdr:row>33</xdr:row>
      <xdr:rowOff>167269</xdr:rowOff>
    </xdr:from>
    <xdr:to>
      <xdr:col>4</xdr:col>
      <xdr:colOff>754685</xdr:colOff>
      <xdr:row>33</xdr:row>
      <xdr:rowOff>167269</xdr:rowOff>
    </xdr:to>
    <xdr:cxnSp macro="">
      <xdr:nvCxnSpPr>
        <xdr:cNvPr id="206" name="Straight Connector 205">
          <a:extLst>
            <a:ext uri="{FF2B5EF4-FFF2-40B4-BE49-F238E27FC236}">
              <a16:creationId xmlns:a16="http://schemas.microsoft.com/office/drawing/2014/main" id="{A889D9B5-4062-478C-8C99-A5B348CDBA85}"/>
            </a:ext>
          </a:extLst>
        </xdr:cNvPr>
        <xdr:cNvCxnSpPr/>
      </xdr:nvCxnSpPr>
      <xdr:spPr>
        <a:xfrm>
          <a:off x="2678393" y="6015619"/>
          <a:ext cx="482942"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55843</xdr:colOff>
      <xdr:row>26</xdr:row>
      <xdr:rowOff>139492</xdr:rowOff>
    </xdr:from>
    <xdr:to>
      <xdr:col>4</xdr:col>
      <xdr:colOff>541946</xdr:colOff>
      <xdr:row>26</xdr:row>
      <xdr:rowOff>139492</xdr:rowOff>
    </xdr:to>
    <xdr:cxnSp macro="">
      <xdr:nvCxnSpPr>
        <xdr:cNvPr id="207" name="Straight Connector 206">
          <a:extLst>
            <a:ext uri="{FF2B5EF4-FFF2-40B4-BE49-F238E27FC236}">
              <a16:creationId xmlns:a16="http://schemas.microsoft.com/office/drawing/2014/main" id="{3CC0E130-E490-4452-9A9C-DA965FD53319}"/>
            </a:ext>
          </a:extLst>
        </xdr:cNvPr>
        <xdr:cNvCxnSpPr/>
      </xdr:nvCxnSpPr>
      <xdr:spPr>
        <a:xfrm>
          <a:off x="2678393" y="4686092"/>
          <a:ext cx="486103"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55843</xdr:colOff>
      <xdr:row>32</xdr:row>
      <xdr:rowOff>169413</xdr:rowOff>
    </xdr:from>
    <xdr:to>
      <xdr:col>4</xdr:col>
      <xdr:colOff>541946</xdr:colOff>
      <xdr:row>32</xdr:row>
      <xdr:rowOff>169413</xdr:rowOff>
    </xdr:to>
    <xdr:cxnSp macro="">
      <xdr:nvCxnSpPr>
        <xdr:cNvPr id="208" name="Straight Connector 207">
          <a:extLst>
            <a:ext uri="{FF2B5EF4-FFF2-40B4-BE49-F238E27FC236}">
              <a16:creationId xmlns:a16="http://schemas.microsoft.com/office/drawing/2014/main" id="{1DDE57EC-1645-4F04-860A-06BE8408D070}"/>
            </a:ext>
          </a:extLst>
        </xdr:cNvPr>
        <xdr:cNvCxnSpPr/>
      </xdr:nvCxnSpPr>
      <xdr:spPr>
        <a:xfrm>
          <a:off x="2678393" y="5833613"/>
          <a:ext cx="486103"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55843</xdr:colOff>
      <xdr:row>33</xdr:row>
      <xdr:rowOff>167269</xdr:rowOff>
    </xdr:from>
    <xdr:to>
      <xdr:col>4</xdr:col>
      <xdr:colOff>541946</xdr:colOff>
      <xdr:row>33</xdr:row>
      <xdr:rowOff>167269</xdr:rowOff>
    </xdr:to>
    <xdr:cxnSp macro="">
      <xdr:nvCxnSpPr>
        <xdr:cNvPr id="209" name="Straight Connector 208">
          <a:extLst>
            <a:ext uri="{FF2B5EF4-FFF2-40B4-BE49-F238E27FC236}">
              <a16:creationId xmlns:a16="http://schemas.microsoft.com/office/drawing/2014/main" id="{0C2B47C7-40B9-419B-B3A1-8961D0B55007}"/>
            </a:ext>
          </a:extLst>
        </xdr:cNvPr>
        <xdr:cNvCxnSpPr/>
      </xdr:nvCxnSpPr>
      <xdr:spPr>
        <a:xfrm>
          <a:off x="2678393" y="6015619"/>
          <a:ext cx="486103"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55843</xdr:colOff>
      <xdr:row>26</xdr:row>
      <xdr:rowOff>139492</xdr:rowOff>
    </xdr:from>
    <xdr:to>
      <xdr:col>4</xdr:col>
      <xdr:colOff>541946</xdr:colOff>
      <xdr:row>26</xdr:row>
      <xdr:rowOff>139492</xdr:rowOff>
    </xdr:to>
    <xdr:cxnSp macro="">
      <xdr:nvCxnSpPr>
        <xdr:cNvPr id="210" name="Straight Connector 209">
          <a:extLst>
            <a:ext uri="{FF2B5EF4-FFF2-40B4-BE49-F238E27FC236}">
              <a16:creationId xmlns:a16="http://schemas.microsoft.com/office/drawing/2014/main" id="{51B305E4-7C8D-4839-ACC5-D0F19B061CDB}"/>
            </a:ext>
          </a:extLst>
        </xdr:cNvPr>
        <xdr:cNvCxnSpPr/>
      </xdr:nvCxnSpPr>
      <xdr:spPr>
        <a:xfrm>
          <a:off x="2678393" y="4686092"/>
          <a:ext cx="486103"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55843</xdr:colOff>
      <xdr:row>32</xdr:row>
      <xdr:rowOff>169413</xdr:rowOff>
    </xdr:from>
    <xdr:to>
      <xdr:col>4</xdr:col>
      <xdr:colOff>541946</xdr:colOff>
      <xdr:row>32</xdr:row>
      <xdr:rowOff>169413</xdr:rowOff>
    </xdr:to>
    <xdr:cxnSp macro="">
      <xdr:nvCxnSpPr>
        <xdr:cNvPr id="211" name="Straight Connector 210">
          <a:extLst>
            <a:ext uri="{FF2B5EF4-FFF2-40B4-BE49-F238E27FC236}">
              <a16:creationId xmlns:a16="http://schemas.microsoft.com/office/drawing/2014/main" id="{A02ECD84-0F59-40FF-8FA8-1BBDC2F9D800}"/>
            </a:ext>
          </a:extLst>
        </xdr:cNvPr>
        <xdr:cNvCxnSpPr/>
      </xdr:nvCxnSpPr>
      <xdr:spPr>
        <a:xfrm>
          <a:off x="2678393" y="5833613"/>
          <a:ext cx="486103"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55843</xdr:colOff>
      <xdr:row>33</xdr:row>
      <xdr:rowOff>167269</xdr:rowOff>
    </xdr:from>
    <xdr:to>
      <xdr:col>4</xdr:col>
      <xdr:colOff>541946</xdr:colOff>
      <xdr:row>33</xdr:row>
      <xdr:rowOff>167269</xdr:rowOff>
    </xdr:to>
    <xdr:cxnSp macro="">
      <xdr:nvCxnSpPr>
        <xdr:cNvPr id="212" name="Straight Connector 211">
          <a:extLst>
            <a:ext uri="{FF2B5EF4-FFF2-40B4-BE49-F238E27FC236}">
              <a16:creationId xmlns:a16="http://schemas.microsoft.com/office/drawing/2014/main" id="{CB07F431-64ED-4E13-9D89-A7F6DE5EF54B}"/>
            </a:ext>
          </a:extLst>
        </xdr:cNvPr>
        <xdr:cNvCxnSpPr/>
      </xdr:nvCxnSpPr>
      <xdr:spPr>
        <a:xfrm>
          <a:off x="2678393" y="6015619"/>
          <a:ext cx="486103"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55843</xdr:colOff>
      <xdr:row>26</xdr:row>
      <xdr:rowOff>139492</xdr:rowOff>
    </xdr:from>
    <xdr:to>
      <xdr:col>4</xdr:col>
      <xdr:colOff>541946</xdr:colOff>
      <xdr:row>26</xdr:row>
      <xdr:rowOff>139492</xdr:rowOff>
    </xdr:to>
    <xdr:cxnSp macro="">
      <xdr:nvCxnSpPr>
        <xdr:cNvPr id="213" name="Straight Connector 212">
          <a:extLst>
            <a:ext uri="{FF2B5EF4-FFF2-40B4-BE49-F238E27FC236}">
              <a16:creationId xmlns:a16="http://schemas.microsoft.com/office/drawing/2014/main" id="{82EF572B-41D7-43B1-8C41-DF3B8B50DD60}"/>
            </a:ext>
          </a:extLst>
        </xdr:cNvPr>
        <xdr:cNvCxnSpPr/>
      </xdr:nvCxnSpPr>
      <xdr:spPr>
        <a:xfrm>
          <a:off x="2678393" y="4686092"/>
          <a:ext cx="486103"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55843</xdr:colOff>
      <xdr:row>32</xdr:row>
      <xdr:rowOff>169413</xdr:rowOff>
    </xdr:from>
    <xdr:to>
      <xdr:col>4</xdr:col>
      <xdr:colOff>541946</xdr:colOff>
      <xdr:row>32</xdr:row>
      <xdr:rowOff>169413</xdr:rowOff>
    </xdr:to>
    <xdr:cxnSp macro="">
      <xdr:nvCxnSpPr>
        <xdr:cNvPr id="214" name="Straight Connector 213">
          <a:extLst>
            <a:ext uri="{FF2B5EF4-FFF2-40B4-BE49-F238E27FC236}">
              <a16:creationId xmlns:a16="http://schemas.microsoft.com/office/drawing/2014/main" id="{ABD66229-7534-459B-A836-ACCB4AFEFFF1}"/>
            </a:ext>
          </a:extLst>
        </xdr:cNvPr>
        <xdr:cNvCxnSpPr/>
      </xdr:nvCxnSpPr>
      <xdr:spPr>
        <a:xfrm>
          <a:off x="2678393" y="5833613"/>
          <a:ext cx="486103"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55843</xdr:colOff>
      <xdr:row>33</xdr:row>
      <xdr:rowOff>167269</xdr:rowOff>
    </xdr:from>
    <xdr:to>
      <xdr:col>4</xdr:col>
      <xdr:colOff>541946</xdr:colOff>
      <xdr:row>33</xdr:row>
      <xdr:rowOff>167269</xdr:rowOff>
    </xdr:to>
    <xdr:cxnSp macro="">
      <xdr:nvCxnSpPr>
        <xdr:cNvPr id="215" name="Straight Connector 214">
          <a:extLst>
            <a:ext uri="{FF2B5EF4-FFF2-40B4-BE49-F238E27FC236}">
              <a16:creationId xmlns:a16="http://schemas.microsoft.com/office/drawing/2014/main" id="{F55F0797-4A09-4A7C-8F16-EDFC16A93CF9}"/>
            </a:ext>
          </a:extLst>
        </xdr:cNvPr>
        <xdr:cNvCxnSpPr/>
      </xdr:nvCxnSpPr>
      <xdr:spPr>
        <a:xfrm>
          <a:off x="2678393" y="6015619"/>
          <a:ext cx="486103"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55843</xdr:colOff>
      <xdr:row>26</xdr:row>
      <xdr:rowOff>139492</xdr:rowOff>
    </xdr:from>
    <xdr:to>
      <xdr:col>4</xdr:col>
      <xdr:colOff>541946</xdr:colOff>
      <xdr:row>26</xdr:row>
      <xdr:rowOff>139492</xdr:rowOff>
    </xdr:to>
    <xdr:cxnSp macro="">
      <xdr:nvCxnSpPr>
        <xdr:cNvPr id="216" name="Straight Connector 215">
          <a:extLst>
            <a:ext uri="{FF2B5EF4-FFF2-40B4-BE49-F238E27FC236}">
              <a16:creationId xmlns:a16="http://schemas.microsoft.com/office/drawing/2014/main" id="{1425EAB3-AD45-4E16-AA29-DE3A895AD1AA}"/>
            </a:ext>
          </a:extLst>
        </xdr:cNvPr>
        <xdr:cNvCxnSpPr/>
      </xdr:nvCxnSpPr>
      <xdr:spPr>
        <a:xfrm>
          <a:off x="2678393" y="4686092"/>
          <a:ext cx="486103"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55843</xdr:colOff>
      <xdr:row>32</xdr:row>
      <xdr:rowOff>169413</xdr:rowOff>
    </xdr:from>
    <xdr:to>
      <xdr:col>4</xdr:col>
      <xdr:colOff>541946</xdr:colOff>
      <xdr:row>32</xdr:row>
      <xdr:rowOff>169413</xdr:rowOff>
    </xdr:to>
    <xdr:cxnSp macro="">
      <xdr:nvCxnSpPr>
        <xdr:cNvPr id="217" name="Straight Connector 216">
          <a:extLst>
            <a:ext uri="{FF2B5EF4-FFF2-40B4-BE49-F238E27FC236}">
              <a16:creationId xmlns:a16="http://schemas.microsoft.com/office/drawing/2014/main" id="{CFE18C15-6991-4D8F-9FD1-F73F43A62EB7}"/>
            </a:ext>
          </a:extLst>
        </xdr:cNvPr>
        <xdr:cNvCxnSpPr/>
      </xdr:nvCxnSpPr>
      <xdr:spPr>
        <a:xfrm>
          <a:off x="2678393" y="5833613"/>
          <a:ext cx="486103"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55843</xdr:colOff>
      <xdr:row>33</xdr:row>
      <xdr:rowOff>167269</xdr:rowOff>
    </xdr:from>
    <xdr:to>
      <xdr:col>4</xdr:col>
      <xdr:colOff>541946</xdr:colOff>
      <xdr:row>33</xdr:row>
      <xdr:rowOff>167269</xdr:rowOff>
    </xdr:to>
    <xdr:cxnSp macro="">
      <xdr:nvCxnSpPr>
        <xdr:cNvPr id="218" name="Straight Connector 217">
          <a:extLst>
            <a:ext uri="{FF2B5EF4-FFF2-40B4-BE49-F238E27FC236}">
              <a16:creationId xmlns:a16="http://schemas.microsoft.com/office/drawing/2014/main" id="{D12BD711-C19C-4530-8C3E-A9D24C2321E9}"/>
            </a:ext>
          </a:extLst>
        </xdr:cNvPr>
        <xdr:cNvCxnSpPr/>
      </xdr:nvCxnSpPr>
      <xdr:spPr>
        <a:xfrm>
          <a:off x="2678393" y="6015619"/>
          <a:ext cx="486103"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55843</xdr:colOff>
      <xdr:row>26</xdr:row>
      <xdr:rowOff>139492</xdr:rowOff>
    </xdr:from>
    <xdr:to>
      <xdr:col>4</xdr:col>
      <xdr:colOff>541946</xdr:colOff>
      <xdr:row>26</xdr:row>
      <xdr:rowOff>139492</xdr:rowOff>
    </xdr:to>
    <xdr:cxnSp macro="">
      <xdr:nvCxnSpPr>
        <xdr:cNvPr id="219" name="Straight Connector 218">
          <a:extLst>
            <a:ext uri="{FF2B5EF4-FFF2-40B4-BE49-F238E27FC236}">
              <a16:creationId xmlns:a16="http://schemas.microsoft.com/office/drawing/2014/main" id="{102D0842-A29F-45C8-8262-21433C087248}"/>
            </a:ext>
          </a:extLst>
        </xdr:cNvPr>
        <xdr:cNvCxnSpPr/>
      </xdr:nvCxnSpPr>
      <xdr:spPr>
        <a:xfrm>
          <a:off x="2678393" y="4686092"/>
          <a:ext cx="486103"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55843</xdr:colOff>
      <xdr:row>32</xdr:row>
      <xdr:rowOff>169413</xdr:rowOff>
    </xdr:from>
    <xdr:to>
      <xdr:col>4</xdr:col>
      <xdr:colOff>541946</xdr:colOff>
      <xdr:row>32</xdr:row>
      <xdr:rowOff>169413</xdr:rowOff>
    </xdr:to>
    <xdr:cxnSp macro="">
      <xdr:nvCxnSpPr>
        <xdr:cNvPr id="220" name="Straight Connector 219">
          <a:extLst>
            <a:ext uri="{FF2B5EF4-FFF2-40B4-BE49-F238E27FC236}">
              <a16:creationId xmlns:a16="http://schemas.microsoft.com/office/drawing/2014/main" id="{E1027184-DF38-423B-828F-CF15D58E89E8}"/>
            </a:ext>
          </a:extLst>
        </xdr:cNvPr>
        <xdr:cNvCxnSpPr/>
      </xdr:nvCxnSpPr>
      <xdr:spPr>
        <a:xfrm>
          <a:off x="2678393" y="5833613"/>
          <a:ext cx="486103"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55843</xdr:colOff>
      <xdr:row>33</xdr:row>
      <xdr:rowOff>167269</xdr:rowOff>
    </xdr:from>
    <xdr:to>
      <xdr:col>4</xdr:col>
      <xdr:colOff>541946</xdr:colOff>
      <xdr:row>33</xdr:row>
      <xdr:rowOff>167269</xdr:rowOff>
    </xdr:to>
    <xdr:cxnSp macro="">
      <xdr:nvCxnSpPr>
        <xdr:cNvPr id="221" name="Straight Connector 220">
          <a:extLst>
            <a:ext uri="{FF2B5EF4-FFF2-40B4-BE49-F238E27FC236}">
              <a16:creationId xmlns:a16="http://schemas.microsoft.com/office/drawing/2014/main" id="{41324EE1-029D-491D-9D2D-6E21B6380C2B}"/>
            </a:ext>
          </a:extLst>
        </xdr:cNvPr>
        <xdr:cNvCxnSpPr/>
      </xdr:nvCxnSpPr>
      <xdr:spPr>
        <a:xfrm>
          <a:off x="2678393" y="6015619"/>
          <a:ext cx="486103"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55843</xdr:colOff>
      <xdr:row>26</xdr:row>
      <xdr:rowOff>139492</xdr:rowOff>
    </xdr:from>
    <xdr:to>
      <xdr:col>4</xdr:col>
      <xdr:colOff>541946</xdr:colOff>
      <xdr:row>26</xdr:row>
      <xdr:rowOff>139492</xdr:rowOff>
    </xdr:to>
    <xdr:cxnSp macro="">
      <xdr:nvCxnSpPr>
        <xdr:cNvPr id="222" name="Straight Connector 221">
          <a:extLst>
            <a:ext uri="{FF2B5EF4-FFF2-40B4-BE49-F238E27FC236}">
              <a16:creationId xmlns:a16="http://schemas.microsoft.com/office/drawing/2014/main" id="{6539D899-B5D8-4420-B73D-90B04D6006E0}"/>
            </a:ext>
          </a:extLst>
        </xdr:cNvPr>
        <xdr:cNvCxnSpPr/>
      </xdr:nvCxnSpPr>
      <xdr:spPr>
        <a:xfrm>
          <a:off x="2678393" y="4686092"/>
          <a:ext cx="486103"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55843</xdr:colOff>
      <xdr:row>32</xdr:row>
      <xdr:rowOff>169413</xdr:rowOff>
    </xdr:from>
    <xdr:to>
      <xdr:col>4</xdr:col>
      <xdr:colOff>541946</xdr:colOff>
      <xdr:row>32</xdr:row>
      <xdr:rowOff>169413</xdr:rowOff>
    </xdr:to>
    <xdr:cxnSp macro="">
      <xdr:nvCxnSpPr>
        <xdr:cNvPr id="223" name="Straight Connector 222">
          <a:extLst>
            <a:ext uri="{FF2B5EF4-FFF2-40B4-BE49-F238E27FC236}">
              <a16:creationId xmlns:a16="http://schemas.microsoft.com/office/drawing/2014/main" id="{0B15A0A8-0431-46DD-A9E5-7F9BBFFA15DC}"/>
            </a:ext>
          </a:extLst>
        </xdr:cNvPr>
        <xdr:cNvCxnSpPr/>
      </xdr:nvCxnSpPr>
      <xdr:spPr>
        <a:xfrm>
          <a:off x="2678393" y="5833613"/>
          <a:ext cx="486103"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55843</xdr:colOff>
      <xdr:row>33</xdr:row>
      <xdr:rowOff>167269</xdr:rowOff>
    </xdr:from>
    <xdr:to>
      <xdr:col>4</xdr:col>
      <xdr:colOff>541946</xdr:colOff>
      <xdr:row>33</xdr:row>
      <xdr:rowOff>167269</xdr:rowOff>
    </xdr:to>
    <xdr:cxnSp macro="">
      <xdr:nvCxnSpPr>
        <xdr:cNvPr id="224" name="Straight Connector 223">
          <a:extLst>
            <a:ext uri="{FF2B5EF4-FFF2-40B4-BE49-F238E27FC236}">
              <a16:creationId xmlns:a16="http://schemas.microsoft.com/office/drawing/2014/main" id="{961D8252-0759-4172-9BA4-133E0A9D1970}"/>
            </a:ext>
          </a:extLst>
        </xdr:cNvPr>
        <xdr:cNvCxnSpPr/>
      </xdr:nvCxnSpPr>
      <xdr:spPr>
        <a:xfrm>
          <a:off x="2678393" y="6015619"/>
          <a:ext cx="486103"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55843</xdr:colOff>
      <xdr:row>26</xdr:row>
      <xdr:rowOff>139492</xdr:rowOff>
    </xdr:from>
    <xdr:to>
      <xdr:col>4</xdr:col>
      <xdr:colOff>541946</xdr:colOff>
      <xdr:row>26</xdr:row>
      <xdr:rowOff>139492</xdr:rowOff>
    </xdr:to>
    <xdr:cxnSp macro="">
      <xdr:nvCxnSpPr>
        <xdr:cNvPr id="225" name="Straight Connector 224">
          <a:extLst>
            <a:ext uri="{FF2B5EF4-FFF2-40B4-BE49-F238E27FC236}">
              <a16:creationId xmlns:a16="http://schemas.microsoft.com/office/drawing/2014/main" id="{E0133ED8-059C-47EA-953B-7F14B4BE0DE7}"/>
            </a:ext>
          </a:extLst>
        </xdr:cNvPr>
        <xdr:cNvCxnSpPr/>
      </xdr:nvCxnSpPr>
      <xdr:spPr>
        <a:xfrm>
          <a:off x="2678393" y="4686092"/>
          <a:ext cx="486103"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55843</xdr:colOff>
      <xdr:row>32</xdr:row>
      <xdr:rowOff>169413</xdr:rowOff>
    </xdr:from>
    <xdr:to>
      <xdr:col>4</xdr:col>
      <xdr:colOff>541946</xdr:colOff>
      <xdr:row>32</xdr:row>
      <xdr:rowOff>169413</xdr:rowOff>
    </xdr:to>
    <xdr:cxnSp macro="">
      <xdr:nvCxnSpPr>
        <xdr:cNvPr id="226" name="Straight Connector 225">
          <a:extLst>
            <a:ext uri="{FF2B5EF4-FFF2-40B4-BE49-F238E27FC236}">
              <a16:creationId xmlns:a16="http://schemas.microsoft.com/office/drawing/2014/main" id="{0118E976-EF56-4DF8-A27F-5D5B2AE18951}"/>
            </a:ext>
          </a:extLst>
        </xdr:cNvPr>
        <xdr:cNvCxnSpPr/>
      </xdr:nvCxnSpPr>
      <xdr:spPr>
        <a:xfrm>
          <a:off x="2678393" y="5833613"/>
          <a:ext cx="486103"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55843</xdr:colOff>
      <xdr:row>33</xdr:row>
      <xdr:rowOff>167269</xdr:rowOff>
    </xdr:from>
    <xdr:to>
      <xdr:col>4</xdr:col>
      <xdr:colOff>541946</xdr:colOff>
      <xdr:row>33</xdr:row>
      <xdr:rowOff>167269</xdr:rowOff>
    </xdr:to>
    <xdr:cxnSp macro="">
      <xdr:nvCxnSpPr>
        <xdr:cNvPr id="227" name="Straight Connector 226">
          <a:extLst>
            <a:ext uri="{FF2B5EF4-FFF2-40B4-BE49-F238E27FC236}">
              <a16:creationId xmlns:a16="http://schemas.microsoft.com/office/drawing/2014/main" id="{33FC1458-49A7-49CA-B34F-EC1FE4C19C30}"/>
            </a:ext>
          </a:extLst>
        </xdr:cNvPr>
        <xdr:cNvCxnSpPr/>
      </xdr:nvCxnSpPr>
      <xdr:spPr>
        <a:xfrm>
          <a:off x="2678393" y="6015619"/>
          <a:ext cx="486103"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55843</xdr:colOff>
      <xdr:row>26</xdr:row>
      <xdr:rowOff>139492</xdr:rowOff>
    </xdr:from>
    <xdr:to>
      <xdr:col>4</xdr:col>
      <xdr:colOff>541946</xdr:colOff>
      <xdr:row>26</xdr:row>
      <xdr:rowOff>139492</xdr:rowOff>
    </xdr:to>
    <xdr:cxnSp macro="">
      <xdr:nvCxnSpPr>
        <xdr:cNvPr id="228" name="Straight Connector 227">
          <a:extLst>
            <a:ext uri="{FF2B5EF4-FFF2-40B4-BE49-F238E27FC236}">
              <a16:creationId xmlns:a16="http://schemas.microsoft.com/office/drawing/2014/main" id="{238BC98C-0277-4C08-961B-C0008CC20F7C}"/>
            </a:ext>
          </a:extLst>
        </xdr:cNvPr>
        <xdr:cNvCxnSpPr/>
      </xdr:nvCxnSpPr>
      <xdr:spPr>
        <a:xfrm>
          <a:off x="2678393" y="4686092"/>
          <a:ext cx="486103"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55843</xdr:colOff>
      <xdr:row>32</xdr:row>
      <xdr:rowOff>169413</xdr:rowOff>
    </xdr:from>
    <xdr:to>
      <xdr:col>4</xdr:col>
      <xdr:colOff>541946</xdr:colOff>
      <xdr:row>32</xdr:row>
      <xdr:rowOff>169413</xdr:rowOff>
    </xdr:to>
    <xdr:cxnSp macro="">
      <xdr:nvCxnSpPr>
        <xdr:cNvPr id="229" name="Straight Connector 228">
          <a:extLst>
            <a:ext uri="{FF2B5EF4-FFF2-40B4-BE49-F238E27FC236}">
              <a16:creationId xmlns:a16="http://schemas.microsoft.com/office/drawing/2014/main" id="{B790B58C-CBC2-4480-90E5-515D00328648}"/>
            </a:ext>
          </a:extLst>
        </xdr:cNvPr>
        <xdr:cNvCxnSpPr/>
      </xdr:nvCxnSpPr>
      <xdr:spPr>
        <a:xfrm>
          <a:off x="2678393" y="5833613"/>
          <a:ext cx="486103"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55843</xdr:colOff>
      <xdr:row>33</xdr:row>
      <xdr:rowOff>167269</xdr:rowOff>
    </xdr:from>
    <xdr:to>
      <xdr:col>4</xdr:col>
      <xdr:colOff>541946</xdr:colOff>
      <xdr:row>33</xdr:row>
      <xdr:rowOff>167269</xdr:rowOff>
    </xdr:to>
    <xdr:cxnSp macro="">
      <xdr:nvCxnSpPr>
        <xdr:cNvPr id="230" name="Straight Connector 229">
          <a:extLst>
            <a:ext uri="{FF2B5EF4-FFF2-40B4-BE49-F238E27FC236}">
              <a16:creationId xmlns:a16="http://schemas.microsoft.com/office/drawing/2014/main" id="{7A9F76AD-C206-4F6E-92C3-31D9B07343D9}"/>
            </a:ext>
          </a:extLst>
        </xdr:cNvPr>
        <xdr:cNvCxnSpPr/>
      </xdr:nvCxnSpPr>
      <xdr:spPr>
        <a:xfrm>
          <a:off x="2678393" y="6015619"/>
          <a:ext cx="486103"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55843</xdr:colOff>
      <xdr:row>26</xdr:row>
      <xdr:rowOff>139492</xdr:rowOff>
    </xdr:from>
    <xdr:to>
      <xdr:col>4</xdr:col>
      <xdr:colOff>541946</xdr:colOff>
      <xdr:row>26</xdr:row>
      <xdr:rowOff>139492</xdr:rowOff>
    </xdr:to>
    <xdr:cxnSp macro="">
      <xdr:nvCxnSpPr>
        <xdr:cNvPr id="231" name="Straight Connector 230">
          <a:extLst>
            <a:ext uri="{FF2B5EF4-FFF2-40B4-BE49-F238E27FC236}">
              <a16:creationId xmlns:a16="http://schemas.microsoft.com/office/drawing/2014/main" id="{DE758E51-55D7-4134-9EDF-862008F64F65}"/>
            </a:ext>
          </a:extLst>
        </xdr:cNvPr>
        <xdr:cNvCxnSpPr/>
      </xdr:nvCxnSpPr>
      <xdr:spPr>
        <a:xfrm>
          <a:off x="2678393" y="4686092"/>
          <a:ext cx="486103"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55843</xdr:colOff>
      <xdr:row>32</xdr:row>
      <xdr:rowOff>169413</xdr:rowOff>
    </xdr:from>
    <xdr:to>
      <xdr:col>4</xdr:col>
      <xdr:colOff>541946</xdr:colOff>
      <xdr:row>32</xdr:row>
      <xdr:rowOff>169413</xdr:rowOff>
    </xdr:to>
    <xdr:cxnSp macro="">
      <xdr:nvCxnSpPr>
        <xdr:cNvPr id="232" name="Straight Connector 231">
          <a:extLst>
            <a:ext uri="{FF2B5EF4-FFF2-40B4-BE49-F238E27FC236}">
              <a16:creationId xmlns:a16="http://schemas.microsoft.com/office/drawing/2014/main" id="{52611FDD-C245-4D36-963A-0BBC83B330AA}"/>
            </a:ext>
          </a:extLst>
        </xdr:cNvPr>
        <xdr:cNvCxnSpPr/>
      </xdr:nvCxnSpPr>
      <xdr:spPr>
        <a:xfrm>
          <a:off x="2678393" y="5833613"/>
          <a:ext cx="486103"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55843</xdr:colOff>
      <xdr:row>33</xdr:row>
      <xdr:rowOff>167269</xdr:rowOff>
    </xdr:from>
    <xdr:to>
      <xdr:col>4</xdr:col>
      <xdr:colOff>541946</xdr:colOff>
      <xdr:row>33</xdr:row>
      <xdr:rowOff>167269</xdr:rowOff>
    </xdr:to>
    <xdr:cxnSp macro="">
      <xdr:nvCxnSpPr>
        <xdr:cNvPr id="233" name="Straight Connector 232">
          <a:extLst>
            <a:ext uri="{FF2B5EF4-FFF2-40B4-BE49-F238E27FC236}">
              <a16:creationId xmlns:a16="http://schemas.microsoft.com/office/drawing/2014/main" id="{DEE6F6BF-E081-4A3A-A584-AEB6AB7D7B6A}"/>
            </a:ext>
          </a:extLst>
        </xdr:cNvPr>
        <xdr:cNvCxnSpPr/>
      </xdr:nvCxnSpPr>
      <xdr:spPr>
        <a:xfrm>
          <a:off x="2678393" y="6015619"/>
          <a:ext cx="486103"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25099</xdr:colOff>
      <xdr:row>38</xdr:row>
      <xdr:rowOff>175830</xdr:rowOff>
    </xdr:from>
    <xdr:to>
      <xdr:col>2</xdr:col>
      <xdr:colOff>665179</xdr:colOff>
      <xdr:row>38</xdr:row>
      <xdr:rowOff>175830</xdr:rowOff>
    </xdr:to>
    <xdr:cxnSp macro="">
      <xdr:nvCxnSpPr>
        <xdr:cNvPr id="234" name="Straight Connector 233">
          <a:extLst>
            <a:ext uri="{FF2B5EF4-FFF2-40B4-BE49-F238E27FC236}">
              <a16:creationId xmlns:a16="http://schemas.microsoft.com/office/drawing/2014/main" id="{3BB8C6FD-995F-4945-8C9A-65AD4D523E30}"/>
            </a:ext>
          </a:extLst>
        </xdr:cNvPr>
        <xdr:cNvCxnSpPr/>
      </xdr:nvCxnSpPr>
      <xdr:spPr>
        <a:xfrm>
          <a:off x="1244299" y="6805230"/>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26112</xdr:colOff>
      <xdr:row>38</xdr:row>
      <xdr:rowOff>170983</xdr:rowOff>
    </xdr:from>
    <xdr:to>
      <xdr:col>3</xdr:col>
      <xdr:colOff>593040</xdr:colOff>
      <xdr:row>38</xdr:row>
      <xdr:rowOff>170983</xdr:rowOff>
    </xdr:to>
    <xdr:cxnSp macro="">
      <xdr:nvCxnSpPr>
        <xdr:cNvPr id="235" name="Straight Connector 234">
          <a:extLst>
            <a:ext uri="{FF2B5EF4-FFF2-40B4-BE49-F238E27FC236}">
              <a16:creationId xmlns:a16="http://schemas.microsoft.com/office/drawing/2014/main" id="{AC328B08-93A8-488C-A78A-7EA8A45A7EEE}"/>
            </a:ext>
          </a:extLst>
        </xdr:cNvPr>
        <xdr:cNvCxnSpPr/>
      </xdr:nvCxnSpPr>
      <xdr:spPr>
        <a:xfrm>
          <a:off x="1975562" y="6800383"/>
          <a:ext cx="566928"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22202</xdr:colOff>
      <xdr:row>38</xdr:row>
      <xdr:rowOff>170983</xdr:rowOff>
    </xdr:from>
    <xdr:to>
      <xdr:col>4</xdr:col>
      <xdr:colOff>764659</xdr:colOff>
      <xdr:row>38</xdr:row>
      <xdr:rowOff>170983</xdr:rowOff>
    </xdr:to>
    <xdr:cxnSp macro="">
      <xdr:nvCxnSpPr>
        <xdr:cNvPr id="236" name="Straight Connector 235">
          <a:extLst>
            <a:ext uri="{FF2B5EF4-FFF2-40B4-BE49-F238E27FC236}">
              <a16:creationId xmlns:a16="http://schemas.microsoft.com/office/drawing/2014/main" id="{B54ADABB-8381-410A-9141-DEE5846D4C86}"/>
            </a:ext>
          </a:extLst>
        </xdr:cNvPr>
        <xdr:cNvCxnSpPr/>
      </xdr:nvCxnSpPr>
      <xdr:spPr>
        <a:xfrm>
          <a:off x="2644752" y="6800383"/>
          <a:ext cx="520207"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25099</xdr:colOff>
      <xdr:row>38</xdr:row>
      <xdr:rowOff>175830</xdr:rowOff>
    </xdr:from>
    <xdr:to>
      <xdr:col>2</xdr:col>
      <xdr:colOff>665179</xdr:colOff>
      <xdr:row>38</xdr:row>
      <xdr:rowOff>175830</xdr:rowOff>
    </xdr:to>
    <xdr:cxnSp macro="">
      <xdr:nvCxnSpPr>
        <xdr:cNvPr id="237" name="Straight Connector 236">
          <a:extLst>
            <a:ext uri="{FF2B5EF4-FFF2-40B4-BE49-F238E27FC236}">
              <a16:creationId xmlns:a16="http://schemas.microsoft.com/office/drawing/2014/main" id="{45F0C045-FB2F-482D-A056-114D028D5F55}"/>
            </a:ext>
          </a:extLst>
        </xdr:cNvPr>
        <xdr:cNvCxnSpPr/>
      </xdr:nvCxnSpPr>
      <xdr:spPr>
        <a:xfrm>
          <a:off x="1244299" y="6805230"/>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26112</xdr:colOff>
      <xdr:row>38</xdr:row>
      <xdr:rowOff>170983</xdr:rowOff>
    </xdr:from>
    <xdr:to>
      <xdr:col>3</xdr:col>
      <xdr:colOff>593040</xdr:colOff>
      <xdr:row>38</xdr:row>
      <xdr:rowOff>170983</xdr:rowOff>
    </xdr:to>
    <xdr:cxnSp macro="">
      <xdr:nvCxnSpPr>
        <xdr:cNvPr id="238" name="Straight Connector 237">
          <a:extLst>
            <a:ext uri="{FF2B5EF4-FFF2-40B4-BE49-F238E27FC236}">
              <a16:creationId xmlns:a16="http://schemas.microsoft.com/office/drawing/2014/main" id="{6458DF5C-94F4-400D-B960-4D2AF250C0AF}"/>
            </a:ext>
          </a:extLst>
        </xdr:cNvPr>
        <xdr:cNvCxnSpPr/>
      </xdr:nvCxnSpPr>
      <xdr:spPr>
        <a:xfrm>
          <a:off x="1975562" y="6800383"/>
          <a:ext cx="566928"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22202</xdr:colOff>
      <xdr:row>38</xdr:row>
      <xdr:rowOff>170983</xdr:rowOff>
    </xdr:from>
    <xdr:to>
      <xdr:col>4</xdr:col>
      <xdr:colOff>589130</xdr:colOff>
      <xdr:row>38</xdr:row>
      <xdr:rowOff>170983</xdr:rowOff>
    </xdr:to>
    <xdr:cxnSp macro="">
      <xdr:nvCxnSpPr>
        <xdr:cNvPr id="239" name="Straight Connector 238">
          <a:extLst>
            <a:ext uri="{FF2B5EF4-FFF2-40B4-BE49-F238E27FC236}">
              <a16:creationId xmlns:a16="http://schemas.microsoft.com/office/drawing/2014/main" id="{017BC642-7FB6-40EA-979B-ADF20A060C55}"/>
            </a:ext>
          </a:extLst>
        </xdr:cNvPr>
        <xdr:cNvCxnSpPr/>
      </xdr:nvCxnSpPr>
      <xdr:spPr>
        <a:xfrm>
          <a:off x="2644752" y="6800383"/>
          <a:ext cx="516128"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25099</xdr:colOff>
      <xdr:row>38</xdr:row>
      <xdr:rowOff>175830</xdr:rowOff>
    </xdr:from>
    <xdr:to>
      <xdr:col>2</xdr:col>
      <xdr:colOff>665179</xdr:colOff>
      <xdr:row>38</xdr:row>
      <xdr:rowOff>175830</xdr:rowOff>
    </xdr:to>
    <xdr:cxnSp macro="">
      <xdr:nvCxnSpPr>
        <xdr:cNvPr id="240" name="Straight Connector 239">
          <a:extLst>
            <a:ext uri="{FF2B5EF4-FFF2-40B4-BE49-F238E27FC236}">
              <a16:creationId xmlns:a16="http://schemas.microsoft.com/office/drawing/2014/main" id="{B86C3ADE-CC57-468D-BAD7-82F463D14412}"/>
            </a:ext>
          </a:extLst>
        </xdr:cNvPr>
        <xdr:cNvCxnSpPr/>
      </xdr:nvCxnSpPr>
      <xdr:spPr>
        <a:xfrm>
          <a:off x="1244299" y="6805230"/>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26112</xdr:colOff>
      <xdr:row>38</xdr:row>
      <xdr:rowOff>170983</xdr:rowOff>
    </xdr:from>
    <xdr:to>
      <xdr:col>3</xdr:col>
      <xdr:colOff>593040</xdr:colOff>
      <xdr:row>38</xdr:row>
      <xdr:rowOff>170983</xdr:rowOff>
    </xdr:to>
    <xdr:cxnSp macro="">
      <xdr:nvCxnSpPr>
        <xdr:cNvPr id="241" name="Straight Connector 240">
          <a:extLst>
            <a:ext uri="{FF2B5EF4-FFF2-40B4-BE49-F238E27FC236}">
              <a16:creationId xmlns:a16="http://schemas.microsoft.com/office/drawing/2014/main" id="{61EE8645-546D-4E93-916A-E1F7563748E8}"/>
            </a:ext>
          </a:extLst>
        </xdr:cNvPr>
        <xdr:cNvCxnSpPr/>
      </xdr:nvCxnSpPr>
      <xdr:spPr>
        <a:xfrm>
          <a:off x="1975562" y="6800383"/>
          <a:ext cx="566928"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22202</xdr:colOff>
      <xdr:row>38</xdr:row>
      <xdr:rowOff>170983</xdr:rowOff>
    </xdr:from>
    <xdr:to>
      <xdr:col>4</xdr:col>
      <xdr:colOff>589130</xdr:colOff>
      <xdr:row>38</xdr:row>
      <xdr:rowOff>170983</xdr:rowOff>
    </xdr:to>
    <xdr:cxnSp macro="">
      <xdr:nvCxnSpPr>
        <xdr:cNvPr id="242" name="Straight Connector 241">
          <a:extLst>
            <a:ext uri="{FF2B5EF4-FFF2-40B4-BE49-F238E27FC236}">
              <a16:creationId xmlns:a16="http://schemas.microsoft.com/office/drawing/2014/main" id="{1D55D2C4-4EBC-4F6F-A9B4-3BADFD9B66CC}"/>
            </a:ext>
          </a:extLst>
        </xdr:cNvPr>
        <xdr:cNvCxnSpPr/>
      </xdr:nvCxnSpPr>
      <xdr:spPr>
        <a:xfrm>
          <a:off x="2644752" y="6800383"/>
          <a:ext cx="516128"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25099</xdr:colOff>
      <xdr:row>38</xdr:row>
      <xdr:rowOff>175830</xdr:rowOff>
    </xdr:from>
    <xdr:to>
      <xdr:col>2</xdr:col>
      <xdr:colOff>665179</xdr:colOff>
      <xdr:row>38</xdr:row>
      <xdr:rowOff>175830</xdr:rowOff>
    </xdr:to>
    <xdr:cxnSp macro="">
      <xdr:nvCxnSpPr>
        <xdr:cNvPr id="243" name="Straight Connector 242">
          <a:extLst>
            <a:ext uri="{FF2B5EF4-FFF2-40B4-BE49-F238E27FC236}">
              <a16:creationId xmlns:a16="http://schemas.microsoft.com/office/drawing/2014/main" id="{B0DE6D0A-9ACA-485E-B988-6DB13BC1561B}"/>
            </a:ext>
          </a:extLst>
        </xdr:cNvPr>
        <xdr:cNvCxnSpPr/>
      </xdr:nvCxnSpPr>
      <xdr:spPr>
        <a:xfrm>
          <a:off x="1244299" y="6805230"/>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26112</xdr:colOff>
      <xdr:row>38</xdr:row>
      <xdr:rowOff>170983</xdr:rowOff>
    </xdr:from>
    <xdr:to>
      <xdr:col>3</xdr:col>
      <xdr:colOff>848540</xdr:colOff>
      <xdr:row>38</xdr:row>
      <xdr:rowOff>170983</xdr:rowOff>
    </xdr:to>
    <xdr:cxnSp macro="">
      <xdr:nvCxnSpPr>
        <xdr:cNvPr id="244" name="Straight Connector 243">
          <a:extLst>
            <a:ext uri="{FF2B5EF4-FFF2-40B4-BE49-F238E27FC236}">
              <a16:creationId xmlns:a16="http://schemas.microsoft.com/office/drawing/2014/main" id="{18F8946E-54FF-431D-A911-5D31975CE779}"/>
            </a:ext>
          </a:extLst>
        </xdr:cNvPr>
        <xdr:cNvCxnSpPr/>
      </xdr:nvCxnSpPr>
      <xdr:spPr>
        <a:xfrm>
          <a:off x="1975562" y="6800383"/>
          <a:ext cx="644628"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22202</xdr:colOff>
      <xdr:row>38</xdr:row>
      <xdr:rowOff>170983</xdr:rowOff>
    </xdr:from>
    <xdr:to>
      <xdr:col>4</xdr:col>
      <xdr:colOff>589130</xdr:colOff>
      <xdr:row>38</xdr:row>
      <xdr:rowOff>170983</xdr:rowOff>
    </xdr:to>
    <xdr:cxnSp macro="">
      <xdr:nvCxnSpPr>
        <xdr:cNvPr id="245" name="Straight Connector 244">
          <a:extLst>
            <a:ext uri="{FF2B5EF4-FFF2-40B4-BE49-F238E27FC236}">
              <a16:creationId xmlns:a16="http://schemas.microsoft.com/office/drawing/2014/main" id="{4E828CC3-1A1B-4CE7-8CB7-AEF9A26FD815}"/>
            </a:ext>
          </a:extLst>
        </xdr:cNvPr>
        <xdr:cNvCxnSpPr/>
      </xdr:nvCxnSpPr>
      <xdr:spPr>
        <a:xfrm>
          <a:off x="2644752" y="6800383"/>
          <a:ext cx="516128"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77421</xdr:colOff>
      <xdr:row>11</xdr:row>
      <xdr:rowOff>169534</xdr:rowOff>
    </xdr:from>
    <xdr:to>
      <xdr:col>16</xdr:col>
      <xdr:colOff>581369</xdr:colOff>
      <xdr:row>11</xdr:row>
      <xdr:rowOff>170691</xdr:rowOff>
    </xdr:to>
    <xdr:cxnSp macro="">
      <xdr:nvCxnSpPr>
        <xdr:cNvPr id="246" name="Straight Connector 245">
          <a:extLst>
            <a:ext uri="{FF2B5EF4-FFF2-40B4-BE49-F238E27FC236}">
              <a16:creationId xmlns:a16="http://schemas.microsoft.com/office/drawing/2014/main" id="{D0B57A55-4288-4A08-A2F9-412DFAE6ECFD}"/>
            </a:ext>
          </a:extLst>
        </xdr:cNvPr>
        <xdr:cNvCxnSpPr/>
      </xdr:nvCxnSpPr>
      <xdr:spPr>
        <a:xfrm flipV="1">
          <a:off x="9335721" y="208088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81638</xdr:colOff>
      <xdr:row>11</xdr:row>
      <xdr:rowOff>169534</xdr:rowOff>
    </xdr:from>
    <xdr:to>
      <xdr:col>18</xdr:col>
      <xdr:colOff>585586</xdr:colOff>
      <xdr:row>11</xdr:row>
      <xdr:rowOff>170691</xdr:rowOff>
    </xdr:to>
    <xdr:cxnSp macro="">
      <xdr:nvCxnSpPr>
        <xdr:cNvPr id="247" name="Straight Connector 246">
          <a:extLst>
            <a:ext uri="{FF2B5EF4-FFF2-40B4-BE49-F238E27FC236}">
              <a16:creationId xmlns:a16="http://schemas.microsoft.com/office/drawing/2014/main" id="{819FA007-82AB-4ED4-97EF-7EFD10412531}"/>
            </a:ext>
          </a:extLst>
        </xdr:cNvPr>
        <xdr:cNvCxnSpPr/>
      </xdr:nvCxnSpPr>
      <xdr:spPr>
        <a:xfrm flipV="1">
          <a:off x="10559138" y="208088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81505</xdr:colOff>
      <xdr:row>11</xdr:row>
      <xdr:rowOff>169534</xdr:rowOff>
    </xdr:from>
    <xdr:to>
      <xdr:col>20</xdr:col>
      <xdr:colOff>585453</xdr:colOff>
      <xdr:row>11</xdr:row>
      <xdr:rowOff>170691</xdr:rowOff>
    </xdr:to>
    <xdr:cxnSp macro="">
      <xdr:nvCxnSpPr>
        <xdr:cNvPr id="248" name="Straight Connector 247">
          <a:extLst>
            <a:ext uri="{FF2B5EF4-FFF2-40B4-BE49-F238E27FC236}">
              <a16:creationId xmlns:a16="http://schemas.microsoft.com/office/drawing/2014/main" id="{0E936E87-90DA-45C4-B07D-1E4662365846}"/>
            </a:ext>
          </a:extLst>
        </xdr:cNvPr>
        <xdr:cNvCxnSpPr/>
      </xdr:nvCxnSpPr>
      <xdr:spPr>
        <a:xfrm flipV="1">
          <a:off x="11778205" y="208088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81638</xdr:colOff>
      <xdr:row>11</xdr:row>
      <xdr:rowOff>169534</xdr:rowOff>
    </xdr:from>
    <xdr:to>
      <xdr:col>20</xdr:col>
      <xdr:colOff>585586</xdr:colOff>
      <xdr:row>11</xdr:row>
      <xdr:rowOff>170691</xdr:rowOff>
    </xdr:to>
    <xdr:cxnSp macro="">
      <xdr:nvCxnSpPr>
        <xdr:cNvPr id="249" name="Straight Connector 248">
          <a:extLst>
            <a:ext uri="{FF2B5EF4-FFF2-40B4-BE49-F238E27FC236}">
              <a16:creationId xmlns:a16="http://schemas.microsoft.com/office/drawing/2014/main" id="{59DE8CAF-61D5-475F-81CE-14ED4E6232C4}"/>
            </a:ext>
          </a:extLst>
        </xdr:cNvPr>
        <xdr:cNvCxnSpPr/>
      </xdr:nvCxnSpPr>
      <xdr:spPr>
        <a:xfrm flipV="1">
          <a:off x="11778338" y="208088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81638</xdr:colOff>
      <xdr:row>11</xdr:row>
      <xdr:rowOff>169534</xdr:rowOff>
    </xdr:from>
    <xdr:to>
      <xdr:col>20</xdr:col>
      <xdr:colOff>585586</xdr:colOff>
      <xdr:row>11</xdr:row>
      <xdr:rowOff>170691</xdr:rowOff>
    </xdr:to>
    <xdr:cxnSp macro="">
      <xdr:nvCxnSpPr>
        <xdr:cNvPr id="250" name="Straight Connector 249">
          <a:extLst>
            <a:ext uri="{FF2B5EF4-FFF2-40B4-BE49-F238E27FC236}">
              <a16:creationId xmlns:a16="http://schemas.microsoft.com/office/drawing/2014/main" id="{A93524DF-5F2E-4052-B993-C4302F6440A4}"/>
            </a:ext>
          </a:extLst>
        </xdr:cNvPr>
        <xdr:cNvCxnSpPr/>
      </xdr:nvCxnSpPr>
      <xdr:spPr>
        <a:xfrm flipV="1">
          <a:off x="11778338" y="208088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81638</xdr:colOff>
      <xdr:row>11</xdr:row>
      <xdr:rowOff>169534</xdr:rowOff>
    </xdr:from>
    <xdr:to>
      <xdr:col>20</xdr:col>
      <xdr:colOff>585586</xdr:colOff>
      <xdr:row>11</xdr:row>
      <xdr:rowOff>170691</xdr:rowOff>
    </xdr:to>
    <xdr:cxnSp macro="">
      <xdr:nvCxnSpPr>
        <xdr:cNvPr id="251" name="Straight Connector 250">
          <a:extLst>
            <a:ext uri="{FF2B5EF4-FFF2-40B4-BE49-F238E27FC236}">
              <a16:creationId xmlns:a16="http://schemas.microsoft.com/office/drawing/2014/main" id="{FC71004B-4EEF-4D56-8DE0-5A11AA40FBA1}"/>
            </a:ext>
          </a:extLst>
        </xdr:cNvPr>
        <xdr:cNvCxnSpPr/>
      </xdr:nvCxnSpPr>
      <xdr:spPr>
        <a:xfrm flipV="1">
          <a:off x="11778338" y="208088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77421</xdr:colOff>
      <xdr:row>11</xdr:row>
      <xdr:rowOff>169534</xdr:rowOff>
    </xdr:from>
    <xdr:to>
      <xdr:col>16</xdr:col>
      <xdr:colOff>581369</xdr:colOff>
      <xdr:row>11</xdr:row>
      <xdr:rowOff>170691</xdr:rowOff>
    </xdr:to>
    <xdr:cxnSp macro="">
      <xdr:nvCxnSpPr>
        <xdr:cNvPr id="252" name="Straight Connector 251">
          <a:extLst>
            <a:ext uri="{FF2B5EF4-FFF2-40B4-BE49-F238E27FC236}">
              <a16:creationId xmlns:a16="http://schemas.microsoft.com/office/drawing/2014/main" id="{817013A4-23E8-4A74-9489-3CC05BD5142A}"/>
            </a:ext>
          </a:extLst>
        </xdr:cNvPr>
        <xdr:cNvCxnSpPr/>
      </xdr:nvCxnSpPr>
      <xdr:spPr>
        <a:xfrm flipV="1">
          <a:off x="9335721" y="208088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81638</xdr:colOff>
      <xdr:row>11</xdr:row>
      <xdr:rowOff>169534</xdr:rowOff>
    </xdr:from>
    <xdr:to>
      <xdr:col>18</xdr:col>
      <xdr:colOff>585586</xdr:colOff>
      <xdr:row>11</xdr:row>
      <xdr:rowOff>170691</xdr:rowOff>
    </xdr:to>
    <xdr:cxnSp macro="">
      <xdr:nvCxnSpPr>
        <xdr:cNvPr id="253" name="Straight Connector 252">
          <a:extLst>
            <a:ext uri="{FF2B5EF4-FFF2-40B4-BE49-F238E27FC236}">
              <a16:creationId xmlns:a16="http://schemas.microsoft.com/office/drawing/2014/main" id="{359919D5-21B9-407C-BCF6-DD45292EEB65}"/>
            </a:ext>
          </a:extLst>
        </xdr:cNvPr>
        <xdr:cNvCxnSpPr/>
      </xdr:nvCxnSpPr>
      <xdr:spPr>
        <a:xfrm flipV="1">
          <a:off x="10559138" y="208088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81505</xdr:colOff>
      <xdr:row>11</xdr:row>
      <xdr:rowOff>169534</xdr:rowOff>
    </xdr:from>
    <xdr:to>
      <xdr:col>20</xdr:col>
      <xdr:colOff>585453</xdr:colOff>
      <xdr:row>11</xdr:row>
      <xdr:rowOff>170691</xdr:rowOff>
    </xdr:to>
    <xdr:cxnSp macro="">
      <xdr:nvCxnSpPr>
        <xdr:cNvPr id="254" name="Straight Connector 253">
          <a:extLst>
            <a:ext uri="{FF2B5EF4-FFF2-40B4-BE49-F238E27FC236}">
              <a16:creationId xmlns:a16="http://schemas.microsoft.com/office/drawing/2014/main" id="{189153DD-37DB-4FDC-A974-A4202F70DB11}"/>
            </a:ext>
          </a:extLst>
        </xdr:cNvPr>
        <xdr:cNvCxnSpPr/>
      </xdr:nvCxnSpPr>
      <xdr:spPr>
        <a:xfrm flipV="1">
          <a:off x="11778205" y="208088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81638</xdr:colOff>
      <xdr:row>11</xdr:row>
      <xdr:rowOff>169534</xdr:rowOff>
    </xdr:from>
    <xdr:to>
      <xdr:col>20</xdr:col>
      <xdr:colOff>585586</xdr:colOff>
      <xdr:row>11</xdr:row>
      <xdr:rowOff>170691</xdr:rowOff>
    </xdr:to>
    <xdr:cxnSp macro="">
      <xdr:nvCxnSpPr>
        <xdr:cNvPr id="255" name="Straight Connector 254">
          <a:extLst>
            <a:ext uri="{FF2B5EF4-FFF2-40B4-BE49-F238E27FC236}">
              <a16:creationId xmlns:a16="http://schemas.microsoft.com/office/drawing/2014/main" id="{E6587C8E-4F39-4A31-BC2B-EECAA3B1DD91}"/>
            </a:ext>
          </a:extLst>
        </xdr:cNvPr>
        <xdr:cNvCxnSpPr/>
      </xdr:nvCxnSpPr>
      <xdr:spPr>
        <a:xfrm flipV="1">
          <a:off x="11778338" y="208088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81638</xdr:colOff>
      <xdr:row>11</xdr:row>
      <xdr:rowOff>169534</xdr:rowOff>
    </xdr:from>
    <xdr:to>
      <xdr:col>20</xdr:col>
      <xdr:colOff>585586</xdr:colOff>
      <xdr:row>11</xdr:row>
      <xdr:rowOff>170691</xdr:rowOff>
    </xdr:to>
    <xdr:cxnSp macro="">
      <xdr:nvCxnSpPr>
        <xdr:cNvPr id="256" name="Straight Connector 255">
          <a:extLst>
            <a:ext uri="{FF2B5EF4-FFF2-40B4-BE49-F238E27FC236}">
              <a16:creationId xmlns:a16="http://schemas.microsoft.com/office/drawing/2014/main" id="{CA243A55-8C8B-4B82-A2E8-9CB94F975C1A}"/>
            </a:ext>
          </a:extLst>
        </xdr:cNvPr>
        <xdr:cNvCxnSpPr/>
      </xdr:nvCxnSpPr>
      <xdr:spPr>
        <a:xfrm flipV="1">
          <a:off x="11778338" y="208088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81638</xdr:colOff>
      <xdr:row>11</xdr:row>
      <xdr:rowOff>169534</xdr:rowOff>
    </xdr:from>
    <xdr:to>
      <xdr:col>20</xdr:col>
      <xdr:colOff>585586</xdr:colOff>
      <xdr:row>11</xdr:row>
      <xdr:rowOff>170691</xdr:rowOff>
    </xdr:to>
    <xdr:cxnSp macro="">
      <xdr:nvCxnSpPr>
        <xdr:cNvPr id="257" name="Straight Connector 256">
          <a:extLst>
            <a:ext uri="{FF2B5EF4-FFF2-40B4-BE49-F238E27FC236}">
              <a16:creationId xmlns:a16="http://schemas.microsoft.com/office/drawing/2014/main" id="{A6C9A623-A4A9-4926-9E7C-C3B23E9C5007}"/>
            </a:ext>
          </a:extLst>
        </xdr:cNvPr>
        <xdr:cNvCxnSpPr/>
      </xdr:nvCxnSpPr>
      <xdr:spPr>
        <a:xfrm flipV="1">
          <a:off x="11778338" y="208088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77421</xdr:colOff>
      <xdr:row>11</xdr:row>
      <xdr:rowOff>169534</xdr:rowOff>
    </xdr:from>
    <xdr:to>
      <xdr:col>16</xdr:col>
      <xdr:colOff>581369</xdr:colOff>
      <xdr:row>11</xdr:row>
      <xdr:rowOff>170691</xdr:rowOff>
    </xdr:to>
    <xdr:cxnSp macro="">
      <xdr:nvCxnSpPr>
        <xdr:cNvPr id="258" name="Straight Connector 257">
          <a:extLst>
            <a:ext uri="{FF2B5EF4-FFF2-40B4-BE49-F238E27FC236}">
              <a16:creationId xmlns:a16="http://schemas.microsoft.com/office/drawing/2014/main" id="{BDC43370-3419-444E-B9B3-0D26959A5BB7}"/>
            </a:ext>
          </a:extLst>
        </xdr:cNvPr>
        <xdr:cNvCxnSpPr/>
      </xdr:nvCxnSpPr>
      <xdr:spPr>
        <a:xfrm flipV="1">
          <a:off x="9335721" y="208088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81638</xdr:colOff>
      <xdr:row>11</xdr:row>
      <xdr:rowOff>169534</xdr:rowOff>
    </xdr:from>
    <xdr:to>
      <xdr:col>18</xdr:col>
      <xdr:colOff>585586</xdr:colOff>
      <xdr:row>11</xdr:row>
      <xdr:rowOff>170691</xdr:rowOff>
    </xdr:to>
    <xdr:cxnSp macro="">
      <xdr:nvCxnSpPr>
        <xdr:cNvPr id="259" name="Straight Connector 258">
          <a:extLst>
            <a:ext uri="{FF2B5EF4-FFF2-40B4-BE49-F238E27FC236}">
              <a16:creationId xmlns:a16="http://schemas.microsoft.com/office/drawing/2014/main" id="{9B23936E-BB08-45E6-A07F-2B4F0F06DD07}"/>
            </a:ext>
          </a:extLst>
        </xdr:cNvPr>
        <xdr:cNvCxnSpPr/>
      </xdr:nvCxnSpPr>
      <xdr:spPr>
        <a:xfrm flipV="1">
          <a:off x="10559138" y="208088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81505</xdr:colOff>
      <xdr:row>11</xdr:row>
      <xdr:rowOff>169534</xdr:rowOff>
    </xdr:from>
    <xdr:to>
      <xdr:col>20</xdr:col>
      <xdr:colOff>585453</xdr:colOff>
      <xdr:row>11</xdr:row>
      <xdr:rowOff>170691</xdr:rowOff>
    </xdr:to>
    <xdr:cxnSp macro="">
      <xdr:nvCxnSpPr>
        <xdr:cNvPr id="260" name="Straight Connector 259">
          <a:extLst>
            <a:ext uri="{FF2B5EF4-FFF2-40B4-BE49-F238E27FC236}">
              <a16:creationId xmlns:a16="http://schemas.microsoft.com/office/drawing/2014/main" id="{D5E72953-06E6-454D-9692-BD5B4DE9EFAA}"/>
            </a:ext>
          </a:extLst>
        </xdr:cNvPr>
        <xdr:cNvCxnSpPr/>
      </xdr:nvCxnSpPr>
      <xdr:spPr>
        <a:xfrm flipV="1">
          <a:off x="11778205" y="208088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81638</xdr:colOff>
      <xdr:row>11</xdr:row>
      <xdr:rowOff>169534</xdr:rowOff>
    </xdr:from>
    <xdr:to>
      <xdr:col>20</xdr:col>
      <xdr:colOff>585586</xdr:colOff>
      <xdr:row>11</xdr:row>
      <xdr:rowOff>170691</xdr:rowOff>
    </xdr:to>
    <xdr:cxnSp macro="">
      <xdr:nvCxnSpPr>
        <xdr:cNvPr id="261" name="Straight Connector 260">
          <a:extLst>
            <a:ext uri="{FF2B5EF4-FFF2-40B4-BE49-F238E27FC236}">
              <a16:creationId xmlns:a16="http://schemas.microsoft.com/office/drawing/2014/main" id="{380FB026-08BC-4FC6-8D45-721EC4AFB0C2}"/>
            </a:ext>
          </a:extLst>
        </xdr:cNvPr>
        <xdr:cNvCxnSpPr/>
      </xdr:nvCxnSpPr>
      <xdr:spPr>
        <a:xfrm flipV="1">
          <a:off x="11778338" y="208088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81638</xdr:colOff>
      <xdr:row>11</xdr:row>
      <xdr:rowOff>169534</xdr:rowOff>
    </xdr:from>
    <xdr:to>
      <xdr:col>20</xdr:col>
      <xdr:colOff>585586</xdr:colOff>
      <xdr:row>11</xdr:row>
      <xdr:rowOff>170691</xdr:rowOff>
    </xdr:to>
    <xdr:cxnSp macro="">
      <xdr:nvCxnSpPr>
        <xdr:cNvPr id="262" name="Straight Connector 261">
          <a:extLst>
            <a:ext uri="{FF2B5EF4-FFF2-40B4-BE49-F238E27FC236}">
              <a16:creationId xmlns:a16="http://schemas.microsoft.com/office/drawing/2014/main" id="{D1DCA399-69BE-4307-AF07-F0CBD4E1CEF4}"/>
            </a:ext>
          </a:extLst>
        </xdr:cNvPr>
        <xdr:cNvCxnSpPr/>
      </xdr:nvCxnSpPr>
      <xdr:spPr>
        <a:xfrm flipV="1">
          <a:off x="11778338" y="208088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81638</xdr:colOff>
      <xdr:row>11</xdr:row>
      <xdr:rowOff>169534</xdr:rowOff>
    </xdr:from>
    <xdr:to>
      <xdr:col>20</xdr:col>
      <xdr:colOff>585586</xdr:colOff>
      <xdr:row>11</xdr:row>
      <xdr:rowOff>170691</xdr:rowOff>
    </xdr:to>
    <xdr:cxnSp macro="">
      <xdr:nvCxnSpPr>
        <xdr:cNvPr id="263" name="Straight Connector 262">
          <a:extLst>
            <a:ext uri="{FF2B5EF4-FFF2-40B4-BE49-F238E27FC236}">
              <a16:creationId xmlns:a16="http://schemas.microsoft.com/office/drawing/2014/main" id="{D56F04A8-2DEA-4FCD-85D1-571C592ECB14}"/>
            </a:ext>
          </a:extLst>
        </xdr:cNvPr>
        <xdr:cNvCxnSpPr/>
      </xdr:nvCxnSpPr>
      <xdr:spPr>
        <a:xfrm flipV="1">
          <a:off x="11778338" y="208088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77421</xdr:colOff>
      <xdr:row>11</xdr:row>
      <xdr:rowOff>169534</xdr:rowOff>
    </xdr:from>
    <xdr:to>
      <xdr:col>16</xdr:col>
      <xdr:colOff>581369</xdr:colOff>
      <xdr:row>11</xdr:row>
      <xdr:rowOff>170691</xdr:rowOff>
    </xdr:to>
    <xdr:cxnSp macro="">
      <xdr:nvCxnSpPr>
        <xdr:cNvPr id="264" name="Straight Connector 263">
          <a:extLst>
            <a:ext uri="{FF2B5EF4-FFF2-40B4-BE49-F238E27FC236}">
              <a16:creationId xmlns:a16="http://schemas.microsoft.com/office/drawing/2014/main" id="{949D2199-61EE-4457-92E2-3D34C286B28C}"/>
            </a:ext>
          </a:extLst>
        </xdr:cNvPr>
        <xdr:cNvCxnSpPr/>
      </xdr:nvCxnSpPr>
      <xdr:spPr>
        <a:xfrm flipV="1">
          <a:off x="9335721" y="208088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81638</xdr:colOff>
      <xdr:row>11</xdr:row>
      <xdr:rowOff>169534</xdr:rowOff>
    </xdr:from>
    <xdr:to>
      <xdr:col>18</xdr:col>
      <xdr:colOff>585586</xdr:colOff>
      <xdr:row>11</xdr:row>
      <xdr:rowOff>170691</xdr:rowOff>
    </xdr:to>
    <xdr:cxnSp macro="">
      <xdr:nvCxnSpPr>
        <xdr:cNvPr id="265" name="Straight Connector 264">
          <a:extLst>
            <a:ext uri="{FF2B5EF4-FFF2-40B4-BE49-F238E27FC236}">
              <a16:creationId xmlns:a16="http://schemas.microsoft.com/office/drawing/2014/main" id="{800DCE52-1A60-4A69-A61C-A0614097921B}"/>
            </a:ext>
          </a:extLst>
        </xdr:cNvPr>
        <xdr:cNvCxnSpPr/>
      </xdr:nvCxnSpPr>
      <xdr:spPr>
        <a:xfrm flipV="1">
          <a:off x="10559138" y="208088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81505</xdr:colOff>
      <xdr:row>11</xdr:row>
      <xdr:rowOff>169534</xdr:rowOff>
    </xdr:from>
    <xdr:to>
      <xdr:col>20</xdr:col>
      <xdr:colOff>585453</xdr:colOff>
      <xdr:row>11</xdr:row>
      <xdr:rowOff>170691</xdr:rowOff>
    </xdr:to>
    <xdr:cxnSp macro="">
      <xdr:nvCxnSpPr>
        <xdr:cNvPr id="266" name="Straight Connector 265">
          <a:extLst>
            <a:ext uri="{FF2B5EF4-FFF2-40B4-BE49-F238E27FC236}">
              <a16:creationId xmlns:a16="http://schemas.microsoft.com/office/drawing/2014/main" id="{8E496401-8733-450C-BC4A-2E416F066C39}"/>
            </a:ext>
          </a:extLst>
        </xdr:cNvPr>
        <xdr:cNvCxnSpPr/>
      </xdr:nvCxnSpPr>
      <xdr:spPr>
        <a:xfrm flipV="1">
          <a:off x="11778205" y="208088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81638</xdr:colOff>
      <xdr:row>11</xdr:row>
      <xdr:rowOff>169534</xdr:rowOff>
    </xdr:from>
    <xdr:to>
      <xdr:col>20</xdr:col>
      <xdr:colOff>585586</xdr:colOff>
      <xdr:row>11</xdr:row>
      <xdr:rowOff>170691</xdr:rowOff>
    </xdr:to>
    <xdr:cxnSp macro="">
      <xdr:nvCxnSpPr>
        <xdr:cNvPr id="267" name="Straight Connector 266">
          <a:extLst>
            <a:ext uri="{FF2B5EF4-FFF2-40B4-BE49-F238E27FC236}">
              <a16:creationId xmlns:a16="http://schemas.microsoft.com/office/drawing/2014/main" id="{F21E6033-424F-4428-AEF2-A729B58430C0}"/>
            </a:ext>
          </a:extLst>
        </xdr:cNvPr>
        <xdr:cNvCxnSpPr/>
      </xdr:nvCxnSpPr>
      <xdr:spPr>
        <a:xfrm flipV="1">
          <a:off x="11778338" y="208088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81638</xdr:colOff>
      <xdr:row>11</xdr:row>
      <xdr:rowOff>169534</xdr:rowOff>
    </xdr:from>
    <xdr:to>
      <xdr:col>20</xdr:col>
      <xdr:colOff>585586</xdr:colOff>
      <xdr:row>11</xdr:row>
      <xdr:rowOff>170691</xdr:rowOff>
    </xdr:to>
    <xdr:cxnSp macro="">
      <xdr:nvCxnSpPr>
        <xdr:cNvPr id="268" name="Straight Connector 267">
          <a:extLst>
            <a:ext uri="{FF2B5EF4-FFF2-40B4-BE49-F238E27FC236}">
              <a16:creationId xmlns:a16="http://schemas.microsoft.com/office/drawing/2014/main" id="{908C0283-4906-49D4-97C4-6014FF84C9E1}"/>
            </a:ext>
          </a:extLst>
        </xdr:cNvPr>
        <xdr:cNvCxnSpPr/>
      </xdr:nvCxnSpPr>
      <xdr:spPr>
        <a:xfrm flipV="1">
          <a:off x="11778338" y="208088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81638</xdr:colOff>
      <xdr:row>11</xdr:row>
      <xdr:rowOff>169534</xdr:rowOff>
    </xdr:from>
    <xdr:to>
      <xdr:col>20</xdr:col>
      <xdr:colOff>585586</xdr:colOff>
      <xdr:row>11</xdr:row>
      <xdr:rowOff>170691</xdr:rowOff>
    </xdr:to>
    <xdr:cxnSp macro="">
      <xdr:nvCxnSpPr>
        <xdr:cNvPr id="269" name="Straight Connector 268">
          <a:extLst>
            <a:ext uri="{FF2B5EF4-FFF2-40B4-BE49-F238E27FC236}">
              <a16:creationId xmlns:a16="http://schemas.microsoft.com/office/drawing/2014/main" id="{8E40304D-2512-4B6E-A1D7-23F09FAD12DC}"/>
            </a:ext>
          </a:extLst>
        </xdr:cNvPr>
        <xdr:cNvCxnSpPr/>
      </xdr:nvCxnSpPr>
      <xdr:spPr>
        <a:xfrm flipV="1">
          <a:off x="11778338" y="208088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wsDr>
</file>

<file path=xl/drawings/drawing10.xml><?xml version="1.0" encoding="utf-8"?>
<xdr:wsDr xmlns:xdr="http://schemas.openxmlformats.org/drawingml/2006/spreadsheetDrawing" xmlns:a="http://schemas.openxmlformats.org/drawingml/2006/main">
  <xdr:twoCellAnchor>
    <xdr:from>
      <xdr:col>4</xdr:col>
      <xdr:colOff>55843</xdr:colOff>
      <xdr:row>26</xdr:row>
      <xdr:rowOff>139492</xdr:rowOff>
    </xdr:from>
    <xdr:to>
      <xdr:col>4</xdr:col>
      <xdr:colOff>541946</xdr:colOff>
      <xdr:row>26</xdr:row>
      <xdr:rowOff>139492</xdr:rowOff>
    </xdr:to>
    <xdr:cxnSp macro="">
      <xdr:nvCxnSpPr>
        <xdr:cNvPr id="2" name="Straight Connector 1">
          <a:extLst>
            <a:ext uri="{FF2B5EF4-FFF2-40B4-BE49-F238E27FC236}">
              <a16:creationId xmlns:a16="http://schemas.microsoft.com/office/drawing/2014/main" id="{C92A4D33-0FDA-4D9A-BD8B-6BA151248476}"/>
            </a:ext>
          </a:extLst>
        </xdr:cNvPr>
        <xdr:cNvCxnSpPr/>
      </xdr:nvCxnSpPr>
      <xdr:spPr>
        <a:xfrm>
          <a:off x="2678393" y="4686092"/>
          <a:ext cx="486103"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55843</xdr:colOff>
      <xdr:row>32</xdr:row>
      <xdr:rowOff>169413</xdr:rowOff>
    </xdr:from>
    <xdr:to>
      <xdr:col>4</xdr:col>
      <xdr:colOff>541946</xdr:colOff>
      <xdr:row>32</xdr:row>
      <xdr:rowOff>169413</xdr:rowOff>
    </xdr:to>
    <xdr:cxnSp macro="">
      <xdr:nvCxnSpPr>
        <xdr:cNvPr id="3" name="Straight Connector 2">
          <a:extLst>
            <a:ext uri="{FF2B5EF4-FFF2-40B4-BE49-F238E27FC236}">
              <a16:creationId xmlns:a16="http://schemas.microsoft.com/office/drawing/2014/main" id="{61FE3EA7-3BE9-4CB5-ABD2-6C37BCF99E57}"/>
            </a:ext>
          </a:extLst>
        </xdr:cNvPr>
        <xdr:cNvCxnSpPr/>
      </xdr:nvCxnSpPr>
      <xdr:spPr>
        <a:xfrm>
          <a:off x="2678393" y="5833613"/>
          <a:ext cx="486103"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55843</xdr:colOff>
      <xdr:row>33</xdr:row>
      <xdr:rowOff>167269</xdr:rowOff>
    </xdr:from>
    <xdr:to>
      <xdr:col>4</xdr:col>
      <xdr:colOff>541946</xdr:colOff>
      <xdr:row>33</xdr:row>
      <xdr:rowOff>167269</xdr:rowOff>
    </xdr:to>
    <xdr:cxnSp macro="">
      <xdr:nvCxnSpPr>
        <xdr:cNvPr id="4" name="Straight Connector 3">
          <a:extLst>
            <a:ext uri="{FF2B5EF4-FFF2-40B4-BE49-F238E27FC236}">
              <a16:creationId xmlns:a16="http://schemas.microsoft.com/office/drawing/2014/main" id="{947C2F8F-D352-40D3-B80D-45AE79C946E1}"/>
            </a:ext>
          </a:extLst>
        </xdr:cNvPr>
        <xdr:cNvCxnSpPr/>
      </xdr:nvCxnSpPr>
      <xdr:spPr>
        <a:xfrm>
          <a:off x="2678393" y="6015619"/>
          <a:ext cx="486103"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25099</xdr:colOff>
      <xdr:row>38</xdr:row>
      <xdr:rowOff>175830</xdr:rowOff>
    </xdr:from>
    <xdr:to>
      <xdr:col>2</xdr:col>
      <xdr:colOff>665179</xdr:colOff>
      <xdr:row>38</xdr:row>
      <xdr:rowOff>175830</xdr:rowOff>
    </xdr:to>
    <xdr:cxnSp macro="">
      <xdr:nvCxnSpPr>
        <xdr:cNvPr id="5" name="Straight Connector 4">
          <a:extLst>
            <a:ext uri="{FF2B5EF4-FFF2-40B4-BE49-F238E27FC236}">
              <a16:creationId xmlns:a16="http://schemas.microsoft.com/office/drawing/2014/main" id="{3C2CA05A-AE6D-4BE1-8D3C-0615D8FAA7AD}"/>
            </a:ext>
          </a:extLst>
        </xdr:cNvPr>
        <xdr:cNvCxnSpPr/>
      </xdr:nvCxnSpPr>
      <xdr:spPr>
        <a:xfrm>
          <a:off x="1244299" y="6805230"/>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26112</xdr:colOff>
      <xdr:row>38</xdr:row>
      <xdr:rowOff>170983</xdr:rowOff>
    </xdr:from>
    <xdr:to>
      <xdr:col>3</xdr:col>
      <xdr:colOff>593040</xdr:colOff>
      <xdr:row>38</xdr:row>
      <xdr:rowOff>170983</xdr:rowOff>
    </xdr:to>
    <xdr:cxnSp macro="">
      <xdr:nvCxnSpPr>
        <xdr:cNvPr id="6" name="Straight Connector 5">
          <a:extLst>
            <a:ext uri="{FF2B5EF4-FFF2-40B4-BE49-F238E27FC236}">
              <a16:creationId xmlns:a16="http://schemas.microsoft.com/office/drawing/2014/main" id="{F8F326EC-EB22-4D22-9BC3-FB5BF11DD969}"/>
            </a:ext>
          </a:extLst>
        </xdr:cNvPr>
        <xdr:cNvCxnSpPr/>
      </xdr:nvCxnSpPr>
      <xdr:spPr>
        <a:xfrm>
          <a:off x="1975562" y="6800383"/>
          <a:ext cx="566928"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22202</xdr:colOff>
      <xdr:row>38</xdr:row>
      <xdr:rowOff>170983</xdr:rowOff>
    </xdr:from>
    <xdr:to>
      <xdr:col>4</xdr:col>
      <xdr:colOff>589130</xdr:colOff>
      <xdr:row>38</xdr:row>
      <xdr:rowOff>170983</xdr:rowOff>
    </xdr:to>
    <xdr:cxnSp macro="">
      <xdr:nvCxnSpPr>
        <xdr:cNvPr id="7" name="Straight Connector 6">
          <a:extLst>
            <a:ext uri="{FF2B5EF4-FFF2-40B4-BE49-F238E27FC236}">
              <a16:creationId xmlns:a16="http://schemas.microsoft.com/office/drawing/2014/main" id="{F4D413E9-FCA1-4D60-914F-A7B6623BF078}"/>
            </a:ext>
          </a:extLst>
        </xdr:cNvPr>
        <xdr:cNvCxnSpPr/>
      </xdr:nvCxnSpPr>
      <xdr:spPr>
        <a:xfrm>
          <a:off x="2644752" y="6800383"/>
          <a:ext cx="516128"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30719</xdr:colOff>
      <xdr:row>65</xdr:row>
      <xdr:rowOff>145082</xdr:rowOff>
    </xdr:from>
    <xdr:to>
      <xdr:col>2</xdr:col>
      <xdr:colOff>670799</xdr:colOff>
      <xdr:row>65</xdr:row>
      <xdr:rowOff>145082</xdr:rowOff>
    </xdr:to>
    <xdr:cxnSp macro="">
      <xdr:nvCxnSpPr>
        <xdr:cNvPr id="8" name="Straight Connector 7">
          <a:extLst>
            <a:ext uri="{FF2B5EF4-FFF2-40B4-BE49-F238E27FC236}">
              <a16:creationId xmlns:a16="http://schemas.microsoft.com/office/drawing/2014/main" id="{F2643A46-929A-4987-97B8-D4C93826BCE1}"/>
            </a:ext>
          </a:extLst>
        </xdr:cNvPr>
        <xdr:cNvCxnSpPr/>
      </xdr:nvCxnSpPr>
      <xdr:spPr>
        <a:xfrm>
          <a:off x="1249919" y="11473482"/>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26112</xdr:colOff>
      <xdr:row>65</xdr:row>
      <xdr:rowOff>145082</xdr:rowOff>
    </xdr:from>
    <xdr:to>
      <xdr:col>3</xdr:col>
      <xdr:colOff>593040</xdr:colOff>
      <xdr:row>65</xdr:row>
      <xdr:rowOff>145082</xdr:rowOff>
    </xdr:to>
    <xdr:cxnSp macro="">
      <xdr:nvCxnSpPr>
        <xdr:cNvPr id="9" name="Straight Connector 8">
          <a:extLst>
            <a:ext uri="{FF2B5EF4-FFF2-40B4-BE49-F238E27FC236}">
              <a16:creationId xmlns:a16="http://schemas.microsoft.com/office/drawing/2014/main" id="{E9AA85A5-B628-4F4B-8B59-54631B805D5A}"/>
            </a:ext>
          </a:extLst>
        </xdr:cNvPr>
        <xdr:cNvCxnSpPr/>
      </xdr:nvCxnSpPr>
      <xdr:spPr>
        <a:xfrm>
          <a:off x="1975562" y="11473482"/>
          <a:ext cx="566928"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22202</xdr:colOff>
      <xdr:row>65</xdr:row>
      <xdr:rowOff>145082</xdr:rowOff>
    </xdr:from>
    <xdr:to>
      <xdr:col>4</xdr:col>
      <xdr:colOff>589130</xdr:colOff>
      <xdr:row>65</xdr:row>
      <xdr:rowOff>145082</xdr:rowOff>
    </xdr:to>
    <xdr:cxnSp macro="">
      <xdr:nvCxnSpPr>
        <xdr:cNvPr id="10" name="Straight Connector 9">
          <a:extLst>
            <a:ext uri="{FF2B5EF4-FFF2-40B4-BE49-F238E27FC236}">
              <a16:creationId xmlns:a16="http://schemas.microsoft.com/office/drawing/2014/main" id="{13B5E72A-0F38-4E1D-B9DD-306E657C7994}"/>
            </a:ext>
          </a:extLst>
        </xdr:cNvPr>
        <xdr:cNvCxnSpPr/>
      </xdr:nvCxnSpPr>
      <xdr:spPr>
        <a:xfrm>
          <a:off x="2644752" y="11473482"/>
          <a:ext cx="516128"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81981</xdr:colOff>
      <xdr:row>11</xdr:row>
      <xdr:rowOff>169534</xdr:rowOff>
    </xdr:from>
    <xdr:to>
      <xdr:col>10</xdr:col>
      <xdr:colOff>585928</xdr:colOff>
      <xdr:row>11</xdr:row>
      <xdr:rowOff>170691</xdr:rowOff>
    </xdr:to>
    <xdr:cxnSp macro="">
      <xdr:nvCxnSpPr>
        <xdr:cNvPr id="11" name="Straight Connector 10">
          <a:extLst>
            <a:ext uri="{FF2B5EF4-FFF2-40B4-BE49-F238E27FC236}">
              <a16:creationId xmlns:a16="http://schemas.microsoft.com/office/drawing/2014/main" id="{25C0E33B-8C81-4DC5-89B4-6AD94F28FABE}"/>
            </a:ext>
          </a:extLst>
        </xdr:cNvPr>
        <xdr:cNvCxnSpPr/>
      </xdr:nvCxnSpPr>
      <xdr:spPr>
        <a:xfrm flipV="1">
          <a:off x="5682681" y="2080884"/>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84473</xdr:colOff>
      <xdr:row>11</xdr:row>
      <xdr:rowOff>169534</xdr:rowOff>
    </xdr:from>
    <xdr:to>
      <xdr:col>12</xdr:col>
      <xdr:colOff>588420</xdr:colOff>
      <xdr:row>11</xdr:row>
      <xdr:rowOff>170691</xdr:rowOff>
    </xdr:to>
    <xdr:cxnSp macro="">
      <xdr:nvCxnSpPr>
        <xdr:cNvPr id="12" name="Straight Connector 11">
          <a:extLst>
            <a:ext uri="{FF2B5EF4-FFF2-40B4-BE49-F238E27FC236}">
              <a16:creationId xmlns:a16="http://schemas.microsoft.com/office/drawing/2014/main" id="{F8AF18F9-CAE2-4C4A-8D22-B26DEF75FBE1}"/>
            </a:ext>
          </a:extLst>
        </xdr:cNvPr>
        <xdr:cNvCxnSpPr/>
      </xdr:nvCxnSpPr>
      <xdr:spPr>
        <a:xfrm flipV="1">
          <a:off x="6904373" y="2080884"/>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82797</xdr:colOff>
      <xdr:row>11</xdr:row>
      <xdr:rowOff>169534</xdr:rowOff>
    </xdr:from>
    <xdr:to>
      <xdr:col>14</xdr:col>
      <xdr:colOff>586744</xdr:colOff>
      <xdr:row>11</xdr:row>
      <xdr:rowOff>170691</xdr:rowOff>
    </xdr:to>
    <xdr:cxnSp macro="">
      <xdr:nvCxnSpPr>
        <xdr:cNvPr id="13" name="Straight Connector 12">
          <a:extLst>
            <a:ext uri="{FF2B5EF4-FFF2-40B4-BE49-F238E27FC236}">
              <a16:creationId xmlns:a16="http://schemas.microsoft.com/office/drawing/2014/main" id="{0259A326-B988-48ED-B9C3-F57311946949}"/>
            </a:ext>
          </a:extLst>
        </xdr:cNvPr>
        <xdr:cNvCxnSpPr/>
      </xdr:nvCxnSpPr>
      <xdr:spPr>
        <a:xfrm flipV="1">
          <a:off x="8121897" y="2080884"/>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77421</xdr:colOff>
      <xdr:row>11</xdr:row>
      <xdr:rowOff>169534</xdr:rowOff>
    </xdr:from>
    <xdr:to>
      <xdr:col>16</xdr:col>
      <xdr:colOff>581369</xdr:colOff>
      <xdr:row>11</xdr:row>
      <xdr:rowOff>170691</xdr:rowOff>
    </xdr:to>
    <xdr:cxnSp macro="">
      <xdr:nvCxnSpPr>
        <xdr:cNvPr id="14" name="Straight Connector 13">
          <a:extLst>
            <a:ext uri="{FF2B5EF4-FFF2-40B4-BE49-F238E27FC236}">
              <a16:creationId xmlns:a16="http://schemas.microsoft.com/office/drawing/2014/main" id="{C949427B-58BC-4C57-9859-0E40CDAC787A}"/>
            </a:ext>
          </a:extLst>
        </xdr:cNvPr>
        <xdr:cNvCxnSpPr/>
      </xdr:nvCxnSpPr>
      <xdr:spPr>
        <a:xfrm flipV="1">
          <a:off x="9335721" y="208088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81638</xdr:colOff>
      <xdr:row>11</xdr:row>
      <xdr:rowOff>169534</xdr:rowOff>
    </xdr:from>
    <xdr:to>
      <xdr:col>18</xdr:col>
      <xdr:colOff>585586</xdr:colOff>
      <xdr:row>11</xdr:row>
      <xdr:rowOff>170691</xdr:rowOff>
    </xdr:to>
    <xdr:cxnSp macro="">
      <xdr:nvCxnSpPr>
        <xdr:cNvPr id="15" name="Straight Connector 14">
          <a:extLst>
            <a:ext uri="{FF2B5EF4-FFF2-40B4-BE49-F238E27FC236}">
              <a16:creationId xmlns:a16="http://schemas.microsoft.com/office/drawing/2014/main" id="{D5F1BB3D-B120-4FEB-BFA9-545B7F3A7360}"/>
            </a:ext>
          </a:extLst>
        </xdr:cNvPr>
        <xdr:cNvCxnSpPr/>
      </xdr:nvCxnSpPr>
      <xdr:spPr>
        <a:xfrm flipV="1">
          <a:off x="10559138" y="208088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81505</xdr:colOff>
      <xdr:row>11</xdr:row>
      <xdr:rowOff>169534</xdr:rowOff>
    </xdr:from>
    <xdr:to>
      <xdr:col>20</xdr:col>
      <xdr:colOff>585453</xdr:colOff>
      <xdr:row>11</xdr:row>
      <xdr:rowOff>170691</xdr:rowOff>
    </xdr:to>
    <xdr:cxnSp macro="">
      <xdr:nvCxnSpPr>
        <xdr:cNvPr id="16" name="Straight Connector 15">
          <a:extLst>
            <a:ext uri="{FF2B5EF4-FFF2-40B4-BE49-F238E27FC236}">
              <a16:creationId xmlns:a16="http://schemas.microsoft.com/office/drawing/2014/main" id="{1BCFE78C-8306-4AA7-A1CA-D55A7EC50E07}"/>
            </a:ext>
          </a:extLst>
        </xdr:cNvPr>
        <xdr:cNvCxnSpPr/>
      </xdr:nvCxnSpPr>
      <xdr:spPr>
        <a:xfrm flipV="1">
          <a:off x="11778205" y="208088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81981</xdr:colOff>
      <xdr:row>13</xdr:row>
      <xdr:rowOff>154837</xdr:rowOff>
    </xdr:from>
    <xdr:to>
      <xdr:col>10</xdr:col>
      <xdr:colOff>585928</xdr:colOff>
      <xdr:row>13</xdr:row>
      <xdr:rowOff>155994</xdr:rowOff>
    </xdr:to>
    <xdr:cxnSp macro="">
      <xdr:nvCxnSpPr>
        <xdr:cNvPr id="17" name="Straight Connector 16">
          <a:extLst>
            <a:ext uri="{FF2B5EF4-FFF2-40B4-BE49-F238E27FC236}">
              <a16:creationId xmlns:a16="http://schemas.microsoft.com/office/drawing/2014/main" id="{9AFF6BD3-C080-402C-A1F7-D1484FC4789F}"/>
            </a:ext>
          </a:extLst>
        </xdr:cNvPr>
        <xdr:cNvCxnSpPr/>
      </xdr:nvCxnSpPr>
      <xdr:spPr>
        <a:xfrm flipV="1">
          <a:off x="5682681" y="244083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84473</xdr:colOff>
      <xdr:row>13</xdr:row>
      <xdr:rowOff>154837</xdr:rowOff>
    </xdr:from>
    <xdr:to>
      <xdr:col>12</xdr:col>
      <xdr:colOff>588420</xdr:colOff>
      <xdr:row>13</xdr:row>
      <xdr:rowOff>155994</xdr:rowOff>
    </xdr:to>
    <xdr:cxnSp macro="">
      <xdr:nvCxnSpPr>
        <xdr:cNvPr id="18" name="Straight Connector 17">
          <a:extLst>
            <a:ext uri="{FF2B5EF4-FFF2-40B4-BE49-F238E27FC236}">
              <a16:creationId xmlns:a16="http://schemas.microsoft.com/office/drawing/2014/main" id="{4F026191-A85D-4B3E-9A6C-A53A1C88AE29}"/>
            </a:ext>
          </a:extLst>
        </xdr:cNvPr>
        <xdr:cNvCxnSpPr/>
      </xdr:nvCxnSpPr>
      <xdr:spPr>
        <a:xfrm flipV="1">
          <a:off x="6904373" y="244083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82797</xdr:colOff>
      <xdr:row>13</xdr:row>
      <xdr:rowOff>154837</xdr:rowOff>
    </xdr:from>
    <xdr:to>
      <xdr:col>14</xdr:col>
      <xdr:colOff>586744</xdr:colOff>
      <xdr:row>13</xdr:row>
      <xdr:rowOff>155994</xdr:rowOff>
    </xdr:to>
    <xdr:cxnSp macro="">
      <xdr:nvCxnSpPr>
        <xdr:cNvPr id="19" name="Straight Connector 18">
          <a:extLst>
            <a:ext uri="{FF2B5EF4-FFF2-40B4-BE49-F238E27FC236}">
              <a16:creationId xmlns:a16="http://schemas.microsoft.com/office/drawing/2014/main" id="{CF31E6E4-208E-43CB-A374-A2FB9C85EFD8}"/>
            </a:ext>
          </a:extLst>
        </xdr:cNvPr>
        <xdr:cNvCxnSpPr/>
      </xdr:nvCxnSpPr>
      <xdr:spPr>
        <a:xfrm flipV="1">
          <a:off x="8121897" y="244083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92541</xdr:colOff>
      <xdr:row>13</xdr:row>
      <xdr:rowOff>154837</xdr:rowOff>
    </xdr:from>
    <xdr:to>
      <xdr:col>16</xdr:col>
      <xdr:colOff>596489</xdr:colOff>
      <xdr:row>13</xdr:row>
      <xdr:rowOff>155994</xdr:rowOff>
    </xdr:to>
    <xdr:cxnSp macro="">
      <xdr:nvCxnSpPr>
        <xdr:cNvPr id="20" name="Straight Connector 19">
          <a:extLst>
            <a:ext uri="{FF2B5EF4-FFF2-40B4-BE49-F238E27FC236}">
              <a16:creationId xmlns:a16="http://schemas.microsoft.com/office/drawing/2014/main" id="{7D48009C-9B79-42C7-97D0-ACEA37143FA6}"/>
            </a:ext>
          </a:extLst>
        </xdr:cNvPr>
        <xdr:cNvCxnSpPr/>
      </xdr:nvCxnSpPr>
      <xdr:spPr>
        <a:xfrm flipV="1">
          <a:off x="9350841" y="2440837"/>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81638</xdr:colOff>
      <xdr:row>13</xdr:row>
      <xdr:rowOff>154837</xdr:rowOff>
    </xdr:from>
    <xdr:to>
      <xdr:col>18</xdr:col>
      <xdr:colOff>585586</xdr:colOff>
      <xdr:row>13</xdr:row>
      <xdr:rowOff>155994</xdr:rowOff>
    </xdr:to>
    <xdr:cxnSp macro="">
      <xdr:nvCxnSpPr>
        <xdr:cNvPr id="21" name="Straight Connector 20">
          <a:extLst>
            <a:ext uri="{FF2B5EF4-FFF2-40B4-BE49-F238E27FC236}">
              <a16:creationId xmlns:a16="http://schemas.microsoft.com/office/drawing/2014/main" id="{CF731FBE-1539-42DD-99DD-8070150AC772}"/>
            </a:ext>
          </a:extLst>
        </xdr:cNvPr>
        <xdr:cNvCxnSpPr/>
      </xdr:nvCxnSpPr>
      <xdr:spPr>
        <a:xfrm flipV="1">
          <a:off x="10559138" y="2440837"/>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81505</xdr:colOff>
      <xdr:row>13</xdr:row>
      <xdr:rowOff>154837</xdr:rowOff>
    </xdr:from>
    <xdr:to>
      <xdr:col>20</xdr:col>
      <xdr:colOff>585453</xdr:colOff>
      <xdr:row>13</xdr:row>
      <xdr:rowOff>155994</xdr:rowOff>
    </xdr:to>
    <xdr:cxnSp macro="">
      <xdr:nvCxnSpPr>
        <xdr:cNvPr id="22" name="Straight Connector 21">
          <a:extLst>
            <a:ext uri="{FF2B5EF4-FFF2-40B4-BE49-F238E27FC236}">
              <a16:creationId xmlns:a16="http://schemas.microsoft.com/office/drawing/2014/main" id="{FA276E87-38EE-444E-8B80-22CDD4DD9338}"/>
            </a:ext>
          </a:extLst>
        </xdr:cNvPr>
        <xdr:cNvCxnSpPr/>
      </xdr:nvCxnSpPr>
      <xdr:spPr>
        <a:xfrm flipV="1">
          <a:off x="11778205" y="2440837"/>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81981</xdr:colOff>
      <xdr:row>16</xdr:row>
      <xdr:rowOff>158334</xdr:rowOff>
    </xdr:from>
    <xdr:to>
      <xdr:col>10</xdr:col>
      <xdr:colOff>585928</xdr:colOff>
      <xdr:row>16</xdr:row>
      <xdr:rowOff>159491</xdr:rowOff>
    </xdr:to>
    <xdr:cxnSp macro="">
      <xdr:nvCxnSpPr>
        <xdr:cNvPr id="23" name="Straight Connector 22">
          <a:extLst>
            <a:ext uri="{FF2B5EF4-FFF2-40B4-BE49-F238E27FC236}">
              <a16:creationId xmlns:a16="http://schemas.microsoft.com/office/drawing/2014/main" id="{8A305DF9-F742-41E3-B1A1-6B589FAE59A2}"/>
            </a:ext>
          </a:extLst>
        </xdr:cNvPr>
        <xdr:cNvCxnSpPr/>
      </xdr:nvCxnSpPr>
      <xdr:spPr>
        <a:xfrm flipV="1">
          <a:off x="5682681" y="2996784"/>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84473</xdr:colOff>
      <xdr:row>16</xdr:row>
      <xdr:rowOff>158334</xdr:rowOff>
    </xdr:from>
    <xdr:to>
      <xdr:col>12</xdr:col>
      <xdr:colOff>588420</xdr:colOff>
      <xdr:row>16</xdr:row>
      <xdr:rowOff>159491</xdr:rowOff>
    </xdr:to>
    <xdr:cxnSp macro="">
      <xdr:nvCxnSpPr>
        <xdr:cNvPr id="24" name="Straight Connector 23">
          <a:extLst>
            <a:ext uri="{FF2B5EF4-FFF2-40B4-BE49-F238E27FC236}">
              <a16:creationId xmlns:a16="http://schemas.microsoft.com/office/drawing/2014/main" id="{C8DFD5B3-BC7E-48D8-9368-BE7A01AAD85F}"/>
            </a:ext>
          </a:extLst>
        </xdr:cNvPr>
        <xdr:cNvCxnSpPr/>
      </xdr:nvCxnSpPr>
      <xdr:spPr>
        <a:xfrm flipV="1">
          <a:off x="6904373" y="2996784"/>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82797</xdr:colOff>
      <xdr:row>16</xdr:row>
      <xdr:rowOff>158334</xdr:rowOff>
    </xdr:from>
    <xdr:to>
      <xdr:col>14</xdr:col>
      <xdr:colOff>586744</xdr:colOff>
      <xdr:row>16</xdr:row>
      <xdr:rowOff>159491</xdr:rowOff>
    </xdr:to>
    <xdr:cxnSp macro="">
      <xdr:nvCxnSpPr>
        <xdr:cNvPr id="25" name="Straight Connector 24">
          <a:extLst>
            <a:ext uri="{FF2B5EF4-FFF2-40B4-BE49-F238E27FC236}">
              <a16:creationId xmlns:a16="http://schemas.microsoft.com/office/drawing/2014/main" id="{DB227032-850B-4D15-898B-8463FBFB6B82}"/>
            </a:ext>
          </a:extLst>
        </xdr:cNvPr>
        <xdr:cNvCxnSpPr/>
      </xdr:nvCxnSpPr>
      <xdr:spPr>
        <a:xfrm flipV="1">
          <a:off x="8121897" y="2996784"/>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75886</xdr:colOff>
      <xdr:row>16</xdr:row>
      <xdr:rowOff>158334</xdr:rowOff>
    </xdr:from>
    <xdr:to>
      <xdr:col>16</xdr:col>
      <xdr:colOff>579834</xdr:colOff>
      <xdr:row>16</xdr:row>
      <xdr:rowOff>159491</xdr:rowOff>
    </xdr:to>
    <xdr:cxnSp macro="">
      <xdr:nvCxnSpPr>
        <xdr:cNvPr id="26" name="Straight Connector 25">
          <a:extLst>
            <a:ext uri="{FF2B5EF4-FFF2-40B4-BE49-F238E27FC236}">
              <a16:creationId xmlns:a16="http://schemas.microsoft.com/office/drawing/2014/main" id="{E9748D8B-F661-4C17-86C3-147727DEC836}"/>
            </a:ext>
          </a:extLst>
        </xdr:cNvPr>
        <xdr:cNvCxnSpPr/>
      </xdr:nvCxnSpPr>
      <xdr:spPr>
        <a:xfrm flipV="1">
          <a:off x="9334186" y="299678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81638</xdr:colOff>
      <xdr:row>16</xdr:row>
      <xdr:rowOff>158334</xdr:rowOff>
    </xdr:from>
    <xdr:to>
      <xdr:col>18</xdr:col>
      <xdr:colOff>585586</xdr:colOff>
      <xdr:row>16</xdr:row>
      <xdr:rowOff>159491</xdr:rowOff>
    </xdr:to>
    <xdr:cxnSp macro="">
      <xdr:nvCxnSpPr>
        <xdr:cNvPr id="27" name="Straight Connector 26">
          <a:extLst>
            <a:ext uri="{FF2B5EF4-FFF2-40B4-BE49-F238E27FC236}">
              <a16:creationId xmlns:a16="http://schemas.microsoft.com/office/drawing/2014/main" id="{4C6F17D1-3BDB-4E98-9A89-616C30551269}"/>
            </a:ext>
          </a:extLst>
        </xdr:cNvPr>
        <xdr:cNvCxnSpPr/>
      </xdr:nvCxnSpPr>
      <xdr:spPr>
        <a:xfrm flipV="1">
          <a:off x="10559138" y="299678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81505</xdr:colOff>
      <xdr:row>16</xdr:row>
      <xdr:rowOff>158334</xdr:rowOff>
    </xdr:from>
    <xdr:to>
      <xdr:col>20</xdr:col>
      <xdr:colOff>585453</xdr:colOff>
      <xdr:row>16</xdr:row>
      <xdr:rowOff>159491</xdr:rowOff>
    </xdr:to>
    <xdr:cxnSp macro="">
      <xdr:nvCxnSpPr>
        <xdr:cNvPr id="28" name="Straight Connector 27">
          <a:extLst>
            <a:ext uri="{FF2B5EF4-FFF2-40B4-BE49-F238E27FC236}">
              <a16:creationId xmlns:a16="http://schemas.microsoft.com/office/drawing/2014/main" id="{B97F9CC0-5D94-498B-A48A-A4CD3F63FF8F}"/>
            </a:ext>
          </a:extLst>
        </xdr:cNvPr>
        <xdr:cNvCxnSpPr/>
      </xdr:nvCxnSpPr>
      <xdr:spPr>
        <a:xfrm flipV="1">
          <a:off x="11778205" y="299678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81981</xdr:colOff>
      <xdr:row>18</xdr:row>
      <xdr:rowOff>166215</xdr:rowOff>
    </xdr:from>
    <xdr:to>
      <xdr:col>10</xdr:col>
      <xdr:colOff>585928</xdr:colOff>
      <xdr:row>18</xdr:row>
      <xdr:rowOff>167372</xdr:rowOff>
    </xdr:to>
    <xdr:cxnSp macro="">
      <xdr:nvCxnSpPr>
        <xdr:cNvPr id="29" name="Straight Connector 28">
          <a:extLst>
            <a:ext uri="{FF2B5EF4-FFF2-40B4-BE49-F238E27FC236}">
              <a16:creationId xmlns:a16="http://schemas.microsoft.com/office/drawing/2014/main" id="{245CEB78-4AA8-4296-9897-6F961C387953}"/>
            </a:ext>
          </a:extLst>
        </xdr:cNvPr>
        <xdr:cNvCxnSpPr/>
      </xdr:nvCxnSpPr>
      <xdr:spPr>
        <a:xfrm flipV="1">
          <a:off x="5682681" y="337296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84473</xdr:colOff>
      <xdr:row>18</xdr:row>
      <xdr:rowOff>166215</xdr:rowOff>
    </xdr:from>
    <xdr:to>
      <xdr:col>12</xdr:col>
      <xdr:colOff>588420</xdr:colOff>
      <xdr:row>18</xdr:row>
      <xdr:rowOff>167372</xdr:rowOff>
    </xdr:to>
    <xdr:cxnSp macro="">
      <xdr:nvCxnSpPr>
        <xdr:cNvPr id="30" name="Straight Connector 29">
          <a:extLst>
            <a:ext uri="{FF2B5EF4-FFF2-40B4-BE49-F238E27FC236}">
              <a16:creationId xmlns:a16="http://schemas.microsoft.com/office/drawing/2014/main" id="{E3021B0F-411E-41AD-8392-499C710CC1D1}"/>
            </a:ext>
          </a:extLst>
        </xdr:cNvPr>
        <xdr:cNvCxnSpPr/>
      </xdr:nvCxnSpPr>
      <xdr:spPr>
        <a:xfrm flipV="1">
          <a:off x="6904373" y="337296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82797</xdr:colOff>
      <xdr:row>18</xdr:row>
      <xdr:rowOff>166215</xdr:rowOff>
    </xdr:from>
    <xdr:to>
      <xdr:col>14</xdr:col>
      <xdr:colOff>586744</xdr:colOff>
      <xdr:row>18</xdr:row>
      <xdr:rowOff>167372</xdr:rowOff>
    </xdr:to>
    <xdr:cxnSp macro="">
      <xdr:nvCxnSpPr>
        <xdr:cNvPr id="31" name="Straight Connector 30">
          <a:extLst>
            <a:ext uri="{FF2B5EF4-FFF2-40B4-BE49-F238E27FC236}">
              <a16:creationId xmlns:a16="http://schemas.microsoft.com/office/drawing/2014/main" id="{569CA2EA-34DA-4B0B-9412-D0DBF19C50ED}"/>
            </a:ext>
          </a:extLst>
        </xdr:cNvPr>
        <xdr:cNvCxnSpPr/>
      </xdr:nvCxnSpPr>
      <xdr:spPr>
        <a:xfrm flipV="1">
          <a:off x="8121897" y="337296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92941</xdr:colOff>
      <xdr:row>18</xdr:row>
      <xdr:rowOff>166215</xdr:rowOff>
    </xdr:from>
    <xdr:to>
      <xdr:col>16</xdr:col>
      <xdr:colOff>596889</xdr:colOff>
      <xdr:row>18</xdr:row>
      <xdr:rowOff>167372</xdr:rowOff>
    </xdr:to>
    <xdr:cxnSp macro="">
      <xdr:nvCxnSpPr>
        <xdr:cNvPr id="32" name="Straight Connector 31">
          <a:extLst>
            <a:ext uri="{FF2B5EF4-FFF2-40B4-BE49-F238E27FC236}">
              <a16:creationId xmlns:a16="http://schemas.microsoft.com/office/drawing/2014/main" id="{F82EF659-FD8E-4023-8498-64DF1915360E}"/>
            </a:ext>
          </a:extLst>
        </xdr:cNvPr>
        <xdr:cNvCxnSpPr/>
      </xdr:nvCxnSpPr>
      <xdr:spPr>
        <a:xfrm flipV="1">
          <a:off x="9351241" y="3372965"/>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81638</xdr:colOff>
      <xdr:row>18</xdr:row>
      <xdr:rowOff>166215</xdr:rowOff>
    </xdr:from>
    <xdr:to>
      <xdr:col>18</xdr:col>
      <xdr:colOff>585586</xdr:colOff>
      <xdr:row>18</xdr:row>
      <xdr:rowOff>167372</xdr:rowOff>
    </xdr:to>
    <xdr:cxnSp macro="">
      <xdr:nvCxnSpPr>
        <xdr:cNvPr id="33" name="Straight Connector 32">
          <a:extLst>
            <a:ext uri="{FF2B5EF4-FFF2-40B4-BE49-F238E27FC236}">
              <a16:creationId xmlns:a16="http://schemas.microsoft.com/office/drawing/2014/main" id="{DEE0E1BA-1E14-4FD2-A877-2D3F1201F112}"/>
            </a:ext>
          </a:extLst>
        </xdr:cNvPr>
        <xdr:cNvCxnSpPr/>
      </xdr:nvCxnSpPr>
      <xdr:spPr>
        <a:xfrm flipV="1">
          <a:off x="10559138" y="3372965"/>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81505</xdr:colOff>
      <xdr:row>18</xdr:row>
      <xdr:rowOff>166215</xdr:rowOff>
    </xdr:from>
    <xdr:to>
      <xdr:col>20</xdr:col>
      <xdr:colOff>585453</xdr:colOff>
      <xdr:row>18</xdr:row>
      <xdr:rowOff>167372</xdr:rowOff>
    </xdr:to>
    <xdr:cxnSp macro="">
      <xdr:nvCxnSpPr>
        <xdr:cNvPr id="34" name="Straight Connector 33">
          <a:extLst>
            <a:ext uri="{FF2B5EF4-FFF2-40B4-BE49-F238E27FC236}">
              <a16:creationId xmlns:a16="http://schemas.microsoft.com/office/drawing/2014/main" id="{6544CA00-04F6-4AF8-8598-00B514BF8ECE}"/>
            </a:ext>
          </a:extLst>
        </xdr:cNvPr>
        <xdr:cNvCxnSpPr/>
      </xdr:nvCxnSpPr>
      <xdr:spPr>
        <a:xfrm flipV="1">
          <a:off x="11778205" y="3372965"/>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96981</xdr:colOff>
      <xdr:row>23</xdr:row>
      <xdr:rowOff>152197</xdr:rowOff>
    </xdr:from>
    <xdr:to>
      <xdr:col>10</xdr:col>
      <xdr:colOff>600928</xdr:colOff>
      <xdr:row>23</xdr:row>
      <xdr:rowOff>153354</xdr:rowOff>
    </xdr:to>
    <xdr:cxnSp macro="">
      <xdr:nvCxnSpPr>
        <xdr:cNvPr id="35" name="Straight Connector 34">
          <a:extLst>
            <a:ext uri="{FF2B5EF4-FFF2-40B4-BE49-F238E27FC236}">
              <a16:creationId xmlns:a16="http://schemas.microsoft.com/office/drawing/2014/main" id="{8F2F6865-BE37-4045-AD08-1C9CE75F25A0}"/>
            </a:ext>
          </a:extLst>
        </xdr:cNvPr>
        <xdr:cNvCxnSpPr/>
      </xdr:nvCxnSpPr>
      <xdr:spPr>
        <a:xfrm flipV="1">
          <a:off x="5697681" y="414634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99035</xdr:colOff>
      <xdr:row>23</xdr:row>
      <xdr:rowOff>152197</xdr:rowOff>
    </xdr:from>
    <xdr:to>
      <xdr:col>12</xdr:col>
      <xdr:colOff>603858</xdr:colOff>
      <xdr:row>23</xdr:row>
      <xdr:rowOff>153354</xdr:rowOff>
    </xdr:to>
    <xdr:cxnSp macro="">
      <xdr:nvCxnSpPr>
        <xdr:cNvPr id="36" name="Straight Connector 35">
          <a:extLst>
            <a:ext uri="{FF2B5EF4-FFF2-40B4-BE49-F238E27FC236}">
              <a16:creationId xmlns:a16="http://schemas.microsoft.com/office/drawing/2014/main" id="{37A4E1D8-BBD6-4F0A-8DA7-BE96AA41C7B1}"/>
            </a:ext>
          </a:extLst>
        </xdr:cNvPr>
        <xdr:cNvCxnSpPr/>
      </xdr:nvCxnSpPr>
      <xdr:spPr>
        <a:xfrm flipV="1">
          <a:off x="6918935" y="4146347"/>
          <a:ext cx="1114423"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97360</xdr:colOff>
      <xdr:row>23</xdr:row>
      <xdr:rowOff>152197</xdr:rowOff>
    </xdr:from>
    <xdr:to>
      <xdr:col>14</xdr:col>
      <xdr:colOff>602182</xdr:colOff>
      <xdr:row>23</xdr:row>
      <xdr:rowOff>153354</xdr:rowOff>
    </xdr:to>
    <xdr:cxnSp macro="">
      <xdr:nvCxnSpPr>
        <xdr:cNvPr id="37" name="Straight Connector 36">
          <a:extLst>
            <a:ext uri="{FF2B5EF4-FFF2-40B4-BE49-F238E27FC236}">
              <a16:creationId xmlns:a16="http://schemas.microsoft.com/office/drawing/2014/main" id="{730ECC89-0136-4B47-BF0D-B731947BD9D9}"/>
            </a:ext>
          </a:extLst>
        </xdr:cNvPr>
        <xdr:cNvCxnSpPr/>
      </xdr:nvCxnSpPr>
      <xdr:spPr>
        <a:xfrm flipV="1">
          <a:off x="8136460" y="4146347"/>
          <a:ext cx="1114422"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107963</xdr:colOff>
      <xdr:row>23</xdr:row>
      <xdr:rowOff>152197</xdr:rowOff>
    </xdr:from>
    <xdr:to>
      <xdr:col>17</xdr:col>
      <xdr:colOff>1866</xdr:colOff>
      <xdr:row>23</xdr:row>
      <xdr:rowOff>153354</xdr:rowOff>
    </xdr:to>
    <xdr:cxnSp macro="">
      <xdr:nvCxnSpPr>
        <xdr:cNvPr id="38" name="Straight Connector 37">
          <a:extLst>
            <a:ext uri="{FF2B5EF4-FFF2-40B4-BE49-F238E27FC236}">
              <a16:creationId xmlns:a16="http://schemas.microsoft.com/office/drawing/2014/main" id="{95EA0581-B803-4F02-8542-2F0397C888A5}"/>
            </a:ext>
          </a:extLst>
        </xdr:cNvPr>
        <xdr:cNvCxnSpPr/>
      </xdr:nvCxnSpPr>
      <xdr:spPr>
        <a:xfrm flipV="1">
          <a:off x="9366263" y="4146347"/>
          <a:ext cx="1113103"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96661</xdr:colOff>
      <xdr:row>23</xdr:row>
      <xdr:rowOff>152197</xdr:rowOff>
    </xdr:from>
    <xdr:to>
      <xdr:col>18</xdr:col>
      <xdr:colOff>600563</xdr:colOff>
      <xdr:row>23</xdr:row>
      <xdr:rowOff>153354</xdr:rowOff>
    </xdr:to>
    <xdr:cxnSp macro="">
      <xdr:nvCxnSpPr>
        <xdr:cNvPr id="39" name="Straight Connector 38">
          <a:extLst>
            <a:ext uri="{FF2B5EF4-FFF2-40B4-BE49-F238E27FC236}">
              <a16:creationId xmlns:a16="http://schemas.microsoft.com/office/drawing/2014/main" id="{E52C2F4F-0BE6-4954-9C52-615FD3BC3A43}"/>
            </a:ext>
          </a:extLst>
        </xdr:cNvPr>
        <xdr:cNvCxnSpPr/>
      </xdr:nvCxnSpPr>
      <xdr:spPr>
        <a:xfrm flipV="1">
          <a:off x="10574161" y="4146347"/>
          <a:ext cx="1113502"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81527</xdr:colOff>
      <xdr:row>23</xdr:row>
      <xdr:rowOff>152197</xdr:rowOff>
    </xdr:from>
    <xdr:to>
      <xdr:col>20</xdr:col>
      <xdr:colOff>585430</xdr:colOff>
      <xdr:row>23</xdr:row>
      <xdr:rowOff>153354</xdr:rowOff>
    </xdr:to>
    <xdr:cxnSp macro="">
      <xdr:nvCxnSpPr>
        <xdr:cNvPr id="40" name="Straight Connector 39">
          <a:extLst>
            <a:ext uri="{FF2B5EF4-FFF2-40B4-BE49-F238E27FC236}">
              <a16:creationId xmlns:a16="http://schemas.microsoft.com/office/drawing/2014/main" id="{40515CBB-BA5E-45F2-B7BC-EEA1F310EDCB}"/>
            </a:ext>
          </a:extLst>
        </xdr:cNvPr>
        <xdr:cNvCxnSpPr/>
      </xdr:nvCxnSpPr>
      <xdr:spPr>
        <a:xfrm flipV="1">
          <a:off x="11778227" y="4146347"/>
          <a:ext cx="1113503"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81981</xdr:colOff>
      <xdr:row>24</xdr:row>
      <xdr:rowOff>191437</xdr:rowOff>
    </xdr:from>
    <xdr:to>
      <xdr:col>10</xdr:col>
      <xdr:colOff>585928</xdr:colOff>
      <xdr:row>24</xdr:row>
      <xdr:rowOff>192594</xdr:rowOff>
    </xdr:to>
    <xdr:cxnSp macro="">
      <xdr:nvCxnSpPr>
        <xdr:cNvPr id="41" name="Straight Connector 40">
          <a:extLst>
            <a:ext uri="{FF2B5EF4-FFF2-40B4-BE49-F238E27FC236}">
              <a16:creationId xmlns:a16="http://schemas.microsoft.com/office/drawing/2014/main" id="{1349E522-5C17-4AC3-981B-3842EF9A15FA}"/>
            </a:ext>
          </a:extLst>
        </xdr:cNvPr>
        <xdr:cNvCxnSpPr/>
      </xdr:nvCxnSpPr>
      <xdr:spPr>
        <a:xfrm flipV="1">
          <a:off x="5682681" y="436338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84473</xdr:colOff>
      <xdr:row>24</xdr:row>
      <xdr:rowOff>191437</xdr:rowOff>
    </xdr:from>
    <xdr:to>
      <xdr:col>12</xdr:col>
      <xdr:colOff>588420</xdr:colOff>
      <xdr:row>24</xdr:row>
      <xdr:rowOff>192594</xdr:rowOff>
    </xdr:to>
    <xdr:cxnSp macro="">
      <xdr:nvCxnSpPr>
        <xdr:cNvPr id="42" name="Straight Connector 41">
          <a:extLst>
            <a:ext uri="{FF2B5EF4-FFF2-40B4-BE49-F238E27FC236}">
              <a16:creationId xmlns:a16="http://schemas.microsoft.com/office/drawing/2014/main" id="{CB0DDC98-AA52-4C03-8841-E2FE0F2458C9}"/>
            </a:ext>
          </a:extLst>
        </xdr:cNvPr>
        <xdr:cNvCxnSpPr/>
      </xdr:nvCxnSpPr>
      <xdr:spPr>
        <a:xfrm flipV="1">
          <a:off x="6904373" y="436338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82797</xdr:colOff>
      <xdr:row>24</xdr:row>
      <xdr:rowOff>191437</xdr:rowOff>
    </xdr:from>
    <xdr:to>
      <xdr:col>14</xdr:col>
      <xdr:colOff>586744</xdr:colOff>
      <xdr:row>24</xdr:row>
      <xdr:rowOff>192594</xdr:rowOff>
    </xdr:to>
    <xdr:cxnSp macro="">
      <xdr:nvCxnSpPr>
        <xdr:cNvPr id="43" name="Straight Connector 42">
          <a:extLst>
            <a:ext uri="{FF2B5EF4-FFF2-40B4-BE49-F238E27FC236}">
              <a16:creationId xmlns:a16="http://schemas.microsoft.com/office/drawing/2014/main" id="{EBC81AAC-5489-4A67-AD05-64B3261E094D}"/>
            </a:ext>
          </a:extLst>
        </xdr:cNvPr>
        <xdr:cNvCxnSpPr/>
      </xdr:nvCxnSpPr>
      <xdr:spPr>
        <a:xfrm flipV="1">
          <a:off x="8121897" y="436338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92941</xdr:colOff>
      <xdr:row>24</xdr:row>
      <xdr:rowOff>191437</xdr:rowOff>
    </xdr:from>
    <xdr:to>
      <xdr:col>16</xdr:col>
      <xdr:colOff>596889</xdr:colOff>
      <xdr:row>24</xdr:row>
      <xdr:rowOff>192594</xdr:rowOff>
    </xdr:to>
    <xdr:cxnSp macro="">
      <xdr:nvCxnSpPr>
        <xdr:cNvPr id="44" name="Straight Connector 43">
          <a:extLst>
            <a:ext uri="{FF2B5EF4-FFF2-40B4-BE49-F238E27FC236}">
              <a16:creationId xmlns:a16="http://schemas.microsoft.com/office/drawing/2014/main" id="{DFE2E330-10CF-4761-8060-7711B40D7E13}"/>
            </a:ext>
          </a:extLst>
        </xdr:cNvPr>
        <xdr:cNvCxnSpPr/>
      </xdr:nvCxnSpPr>
      <xdr:spPr>
        <a:xfrm flipV="1">
          <a:off x="9351241" y="4363387"/>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81638</xdr:colOff>
      <xdr:row>24</xdr:row>
      <xdr:rowOff>191437</xdr:rowOff>
    </xdr:from>
    <xdr:to>
      <xdr:col>18</xdr:col>
      <xdr:colOff>585586</xdr:colOff>
      <xdr:row>24</xdr:row>
      <xdr:rowOff>192594</xdr:rowOff>
    </xdr:to>
    <xdr:cxnSp macro="">
      <xdr:nvCxnSpPr>
        <xdr:cNvPr id="45" name="Straight Connector 44">
          <a:extLst>
            <a:ext uri="{FF2B5EF4-FFF2-40B4-BE49-F238E27FC236}">
              <a16:creationId xmlns:a16="http://schemas.microsoft.com/office/drawing/2014/main" id="{3FE0C703-6C07-4735-B78E-3DD19206BB50}"/>
            </a:ext>
          </a:extLst>
        </xdr:cNvPr>
        <xdr:cNvCxnSpPr/>
      </xdr:nvCxnSpPr>
      <xdr:spPr>
        <a:xfrm flipV="1">
          <a:off x="10559138" y="4363387"/>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81505</xdr:colOff>
      <xdr:row>24</xdr:row>
      <xdr:rowOff>191437</xdr:rowOff>
    </xdr:from>
    <xdr:to>
      <xdr:col>20</xdr:col>
      <xdr:colOff>585453</xdr:colOff>
      <xdr:row>24</xdr:row>
      <xdr:rowOff>192594</xdr:rowOff>
    </xdr:to>
    <xdr:cxnSp macro="">
      <xdr:nvCxnSpPr>
        <xdr:cNvPr id="46" name="Straight Connector 45">
          <a:extLst>
            <a:ext uri="{FF2B5EF4-FFF2-40B4-BE49-F238E27FC236}">
              <a16:creationId xmlns:a16="http://schemas.microsoft.com/office/drawing/2014/main" id="{2BEE753E-14C5-4A3A-A212-56EA5FD4BF50}"/>
            </a:ext>
          </a:extLst>
        </xdr:cNvPr>
        <xdr:cNvCxnSpPr/>
      </xdr:nvCxnSpPr>
      <xdr:spPr>
        <a:xfrm flipV="1">
          <a:off x="11778205" y="4363387"/>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81981</xdr:colOff>
      <xdr:row>25</xdr:row>
      <xdr:rowOff>5545</xdr:rowOff>
    </xdr:from>
    <xdr:to>
      <xdr:col>10</xdr:col>
      <xdr:colOff>585928</xdr:colOff>
      <xdr:row>25</xdr:row>
      <xdr:rowOff>6702</xdr:rowOff>
    </xdr:to>
    <xdr:cxnSp macro="">
      <xdr:nvCxnSpPr>
        <xdr:cNvPr id="47" name="Straight Connector 46">
          <a:extLst>
            <a:ext uri="{FF2B5EF4-FFF2-40B4-BE49-F238E27FC236}">
              <a16:creationId xmlns:a16="http://schemas.microsoft.com/office/drawing/2014/main" id="{5969371F-44E0-46F4-9DBF-8AACD1ACE14C}"/>
            </a:ext>
          </a:extLst>
        </xdr:cNvPr>
        <xdr:cNvCxnSpPr/>
      </xdr:nvCxnSpPr>
      <xdr:spPr>
        <a:xfrm flipV="1">
          <a:off x="5682681" y="436799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84473</xdr:colOff>
      <xdr:row>25</xdr:row>
      <xdr:rowOff>5545</xdr:rowOff>
    </xdr:from>
    <xdr:to>
      <xdr:col>12</xdr:col>
      <xdr:colOff>588420</xdr:colOff>
      <xdr:row>25</xdr:row>
      <xdr:rowOff>6702</xdr:rowOff>
    </xdr:to>
    <xdr:cxnSp macro="">
      <xdr:nvCxnSpPr>
        <xdr:cNvPr id="48" name="Straight Connector 47">
          <a:extLst>
            <a:ext uri="{FF2B5EF4-FFF2-40B4-BE49-F238E27FC236}">
              <a16:creationId xmlns:a16="http://schemas.microsoft.com/office/drawing/2014/main" id="{55899CA2-21C8-4723-A4FC-07336627787C}"/>
            </a:ext>
          </a:extLst>
        </xdr:cNvPr>
        <xdr:cNvCxnSpPr/>
      </xdr:nvCxnSpPr>
      <xdr:spPr>
        <a:xfrm flipV="1">
          <a:off x="6904373" y="436799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82797</xdr:colOff>
      <xdr:row>25</xdr:row>
      <xdr:rowOff>5545</xdr:rowOff>
    </xdr:from>
    <xdr:to>
      <xdr:col>14</xdr:col>
      <xdr:colOff>586744</xdr:colOff>
      <xdr:row>25</xdr:row>
      <xdr:rowOff>6702</xdr:rowOff>
    </xdr:to>
    <xdr:cxnSp macro="">
      <xdr:nvCxnSpPr>
        <xdr:cNvPr id="49" name="Straight Connector 48">
          <a:extLst>
            <a:ext uri="{FF2B5EF4-FFF2-40B4-BE49-F238E27FC236}">
              <a16:creationId xmlns:a16="http://schemas.microsoft.com/office/drawing/2014/main" id="{8751781B-66FB-4794-97DA-DD43DA76E47D}"/>
            </a:ext>
          </a:extLst>
        </xdr:cNvPr>
        <xdr:cNvCxnSpPr/>
      </xdr:nvCxnSpPr>
      <xdr:spPr>
        <a:xfrm flipV="1">
          <a:off x="8121897" y="436799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92941</xdr:colOff>
      <xdr:row>25</xdr:row>
      <xdr:rowOff>5545</xdr:rowOff>
    </xdr:from>
    <xdr:to>
      <xdr:col>16</xdr:col>
      <xdr:colOff>596889</xdr:colOff>
      <xdr:row>25</xdr:row>
      <xdr:rowOff>6702</xdr:rowOff>
    </xdr:to>
    <xdr:cxnSp macro="">
      <xdr:nvCxnSpPr>
        <xdr:cNvPr id="50" name="Straight Connector 49">
          <a:extLst>
            <a:ext uri="{FF2B5EF4-FFF2-40B4-BE49-F238E27FC236}">
              <a16:creationId xmlns:a16="http://schemas.microsoft.com/office/drawing/2014/main" id="{1983255F-AF18-4299-AD01-CD40A4B9A32C}"/>
            </a:ext>
          </a:extLst>
        </xdr:cNvPr>
        <xdr:cNvCxnSpPr/>
      </xdr:nvCxnSpPr>
      <xdr:spPr>
        <a:xfrm flipV="1">
          <a:off x="9351241" y="4367995"/>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81638</xdr:colOff>
      <xdr:row>25</xdr:row>
      <xdr:rowOff>5545</xdr:rowOff>
    </xdr:from>
    <xdr:to>
      <xdr:col>18</xdr:col>
      <xdr:colOff>585586</xdr:colOff>
      <xdr:row>25</xdr:row>
      <xdr:rowOff>6702</xdr:rowOff>
    </xdr:to>
    <xdr:cxnSp macro="">
      <xdr:nvCxnSpPr>
        <xdr:cNvPr id="51" name="Straight Connector 50">
          <a:extLst>
            <a:ext uri="{FF2B5EF4-FFF2-40B4-BE49-F238E27FC236}">
              <a16:creationId xmlns:a16="http://schemas.microsoft.com/office/drawing/2014/main" id="{ADFF1DB5-673B-4FB4-A488-FFAF92CF6510}"/>
            </a:ext>
          </a:extLst>
        </xdr:cNvPr>
        <xdr:cNvCxnSpPr/>
      </xdr:nvCxnSpPr>
      <xdr:spPr>
        <a:xfrm flipV="1">
          <a:off x="10559138" y="4367995"/>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81505</xdr:colOff>
      <xdr:row>25</xdr:row>
      <xdr:rowOff>5545</xdr:rowOff>
    </xdr:from>
    <xdr:to>
      <xdr:col>20</xdr:col>
      <xdr:colOff>585453</xdr:colOff>
      <xdr:row>25</xdr:row>
      <xdr:rowOff>6702</xdr:rowOff>
    </xdr:to>
    <xdr:cxnSp macro="">
      <xdr:nvCxnSpPr>
        <xdr:cNvPr id="52" name="Straight Connector 51">
          <a:extLst>
            <a:ext uri="{FF2B5EF4-FFF2-40B4-BE49-F238E27FC236}">
              <a16:creationId xmlns:a16="http://schemas.microsoft.com/office/drawing/2014/main" id="{AF6B5744-1ED9-40E9-A7F0-F5249C44D3EA}"/>
            </a:ext>
          </a:extLst>
        </xdr:cNvPr>
        <xdr:cNvCxnSpPr/>
      </xdr:nvCxnSpPr>
      <xdr:spPr>
        <a:xfrm flipV="1">
          <a:off x="11778205" y="4367995"/>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66609</xdr:colOff>
      <xdr:row>10</xdr:row>
      <xdr:rowOff>179312</xdr:rowOff>
    </xdr:from>
    <xdr:to>
      <xdr:col>14</xdr:col>
      <xdr:colOff>581713</xdr:colOff>
      <xdr:row>10</xdr:row>
      <xdr:rowOff>179312</xdr:rowOff>
    </xdr:to>
    <xdr:cxnSp macro="">
      <xdr:nvCxnSpPr>
        <xdr:cNvPr id="53" name="Straight Connector 52">
          <a:extLst>
            <a:ext uri="{FF2B5EF4-FFF2-40B4-BE49-F238E27FC236}">
              <a16:creationId xmlns:a16="http://schemas.microsoft.com/office/drawing/2014/main" id="{CEF1DB9F-CB51-488C-AF2D-A5B1DB38A9B0}"/>
            </a:ext>
          </a:extLst>
        </xdr:cNvPr>
        <xdr:cNvCxnSpPr/>
      </xdr:nvCxnSpPr>
      <xdr:spPr>
        <a:xfrm>
          <a:off x="5667309" y="1906512"/>
          <a:ext cx="3563104"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9641</xdr:colOff>
      <xdr:row>31</xdr:row>
      <xdr:rowOff>163361</xdr:rowOff>
    </xdr:from>
    <xdr:to>
      <xdr:col>21</xdr:col>
      <xdr:colOff>41413</xdr:colOff>
      <xdr:row>31</xdr:row>
      <xdr:rowOff>163361</xdr:rowOff>
    </xdr:to>
    <xdr:cxnSp macro="">
      <xdr:nvCxnSpPr>
        <xdr:cNvPr id="54" name="Straight Connector 53">
          <a:extLst>
            <a:ext uri="{FF2B5EF4-FFF2-40B4-BE49-F238E27FC236}">
              <a16:creationId xmlns:a16="http://schemas.microsoft.com/office/drawing/2014/main" id="{7275D6D9-7309-48DE-B9A6-586CC049968B}"/>
            </a:ext>
          </a:extLst>
        </xdr:cNvPr>
        <xdr:cNvCxnSpPr/>
      </xdr:nvCxnSpPr>
      <xdr:spPr>
        <a:xfrm>
          <a:off x="3781541" y="5637061"/>
          <a:ext cx="9175772" cy="0"/>
        </a:xfrm>
        <a:prstGeom prst="line">
          <a:avLst/>
        </a:prstGeom>
        <a:ln w="12700">
          <a:solidFill>
            <a:schemeClr val="bg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76881</xdr:colOff>
      <xdr:row>33</xdr:row>
      <xdr:rowOff>162327</xdr:rowOff>
    </xdr:from>
    <xdr:to>
      <xdr:col>10</xdr:col>
      <xdr:colOff>580828</xdr:colOff>
      <xdr:row>33</xdr:row>
      <xdr:rowOff>163484</xdr:rowOff>
    </xdr:to>
    <xdr:cxnSp macro="">
      <xdr:nvCxnSpPr>
        <xdr:cNvPr id="55" name="Straight Connector 54">
          <a:extLst>
            <a:ext uri="{FF2B5EF4-FFF2-40B4-BE49-F238E27FC236}">
              <a16:creationId xmlns:a16="http://schemas.microsoft.com/office/drawing/2014/main" id="{E36C3B2C-BEA5-4FEC-BE2F-6756D9A959FF}"/>
            </a:ext>
          </a:extLst>
        </xdr:cNvPr>
        <xdr:cNvCxnSpPr/>
      </xdr:nvCxnSpPr>
      <xdr:spPr>
        <a:xfrm flipV="1">
          <a:off x="5677581" y="601067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78935</xdr:colOff>
      <xdr:row>33</xdr:row>
      <xdr:rowOff>162327</xdr:rowOff>
    </xdr:from>
    <xdr:to>
      <xdr:col>12</xdr:col>
      <xdr:colOff>583758</xdr:colOff>
      <xdr:row>33</xdr:row>
      <xdr:rowOff>163484</xdr:rowOff>
    </xdr:to>
    <xdr:cxnSp macro="">
      <xdr:nvCxnSpPr>
        <xdr:cNvPr id="56" name="Straight Connector 55">
          <a:extLst>
            <a:ext uri="{FF2B5EF4-FFF2-40B4-BE49-F238E27FC236}">
              <a16:creationId xmlns:a16="http://schemas.microsoft.com/office/drawing/2014/main" id="{68A43A5F-1730-4FAD-B67E-9CCBF7E9A1B0}"/>
            </a:ext>
          </a:extLst>
        </xdr:cNvPr>
        <xdr:cNvCxnSpPr/>
      </xdr:nvCxnSpPr>
      <xdr:spPr>
        <a:xfrm flipV="1">
          <a:off x="6898835" y="6010677"/>
          <a:ext cx="1114423"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77260</xdr:colOff>
      <xdr:row>33</xdr:row>
      <xdr:rowOff>162327</xdr:rowOff>
    </xdr:from>
    <xdr:to>
      <xdr:col>14</xdr:col>
      <xdr:colOff>582082</xdr:colOff>
      <xdr:row>33</xdr:row>
      <xdr:rowOff>163484</xdr:rowOff>
    </xdr:to>
    <xdr:cxnSp macro="">
      <xdr:nvCxnSpPr>
        <xdr:cNvPr id="57" name="Straight Connector 56">
          <a:extLst>
            <a:ext uri="{FF2B5EF4-FFF2-40B4-BE49-F238E27FC236}">
              <a16:creationId xmlns:a16="http://schemas.microsoft.com/office/drawing/2014/main" id="{150609A2-831A-4251-96FB-51B814DEF8FB}"/>
            </a:ext>
          </a:extLst>
        </xdr:cNvPr>
        <xdr:cNvCxnSpPr/>
      </xdr:nvCxnSpPr>
      <xdr:spPr>
        <a:xfrm flipV="1">
          <a:off x="8116360" y="6010677"/>
          <a:ext cx="1114422"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87863</xdr:colOff>
      <xdr:row>33</xdr:row>
      <xdr:rowOff>162327</xdr:rowOff>
    </xdr:from>
    <xdr:to>
      <xdr:col>16</xdr:col>
      <xdr:colOff>591766</xdr:colOff>
      <xdr:row>33</xdr:row>
      <xdr:rowOff>163484</xdr:rowOff>
    </xdr:to>
    <xdr:cxnSp macro="">
      <xdr:nvCxnSpPr>
        <xdr:cNvPr id="58" name="Straight Connector 57">
          <a:extLst>
            <a:ext uri="{FF2B5EF4-FFF2-40B4-BE49-F238E27FC236}">
              <a16:creationId xmlns:a16="http://schemas.microsoft.com/office/drawing/2014/main" id="{919C2EB3-4DB9-44C8-B3E6-052EE21AD8F6}"/>
            </a:ext>
          </a:extLst>
        </xdr:cNvPr>
        <xdr:cNvCxnSpPr/>
      </xdr:nvCxnSpPr>
      <xdr:spPr>
        <a:xfrm flipV="1">
          <a:off x="9346163" y="6010677"/>
          <a:ext cx="1113503"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76561</xdr:colOff>
      <xdr:row>33</xdr:row>
      <xdr:rowOff>162327</xdr:rowOff>
    </xdr:from>
    <xdr:to>
      <xdr:col>18</xdr:col>
      <xdr:colOff>580463</xdr:colOff>
      <xdr:row>33</xdr:row>
      <xdr:rowOff>163484</xdr:rowOff>
    </xdr:to>
    <xdr:cxnSp macro="">
      <xdr:nvCxnSpPr>
        <xdr:cNvPr id="59" name="Straight Connector 58">
          <a:extLst>
            <a:ext uri="{FF2B5EF4-FFF2-40B4-BE49-F238E27FC236}">
              <a16:creationId xmlns:a16="http://schemas.microsoft.com/office/drawing/2014/main" id="{810BD082-2D85-40B5-9126-FC12C5C9DE3A}"/>
            </a:ext>
          </a:extLst>
        </xdr:cNvPr>
        <xdr:cNvCxnSpPr/>
      </xdr:nvCxnSpPr>
      <xdr:spPr>
        <a:xfrm flipV="1">
          <a:off x="10554061" y="6010677"/>
          <a:ext cx="1113502"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61427</xdr:colOff>
      <xdr:row>33</xdr:row>
      <xdr:rowOff>162327</xdr:rowOff>
    </xdr:from>
    <xdr:to>
      <xdr:col>20</xdr:col>
      <xdr:colOff>565330</xdr:colOff>
      <xdr:row>33</xdr:row>
      <xdr:rowOff>163484</xdr:rowOff>
    </xdr:to>
    <xdr:cxnSp macro="">
      <xdr:nvCxnSpPr>
        <xdr:cNvPr id="60" name="Straight Connector 59">
          <a:extLst>
            <a:ext uri="{FF2B5EF4-FFF2-40B4-BE49-F238E27FC236}">
              <a16:creationId xmlns:a16="http://schemas.microsoft.com/office/drawing/2014/main" id="{74061250-8121-4865-B579-DD23898FDC4A}"/>
            </a:ext>
          </a:extLst>
        </xdr:cNvPr>
        <xdr:cNvCxnSpPr/>
      </xdr:nvCxnSpPr>
      <xdr:spPr>
        <a:xfrm flipV="1">
          <a:off x="11758127" y="6010677"/>
          <a:ext cx="1113503"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76881</xdr:colOff>
      <xdr:row>40</xdr:row>
      <xdr:rowOff>159727</xdr:rowOff>
    </xdr:from>
    <xdr:to>
      <xdr:col>10</xdr:col>
      <xdr:colOff>580828</xdr:colOff>
      <xdr:row>40</xdr:row>
      <xdr:rowOff>160884</xdr:rowOff>
    </xdr:to>
    <xdr:cxnSp macro="">
      <xdr:nvCxnSpPr>
        <xdr:cNvPr id="61" name="Straight Connector 60">
          <a:extLst>
            <a:ext uri="{FF2B5EF4-FFF2-40B4-BE49-F238E27FC236}">
              <a16:creationId xmlns:a16="http://schemas.microsoft.com/office/drawing/2014/main" id="{0272CC4B-39C5-4845-9075-ABD673FA80CF}"/>
            </a:ext>
          </a:extLst>
        </xdr:cNvPr>
        <xdr:cNvCxnSpPr/>
      </xdr:nvCxnSpPr>
      <xdr:spPr>
        <a:xfrm flipV="1">
          <a:off x="5677581" y="715742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78935</xdr:colOff>
      <xdr:row>40</xdr:row>
      <xdr:rowOff>159727</xdr:rowOff>
    </xdr:from>
    <xdr:to>
      <xdr:col>12</xdr:col>
      <xdr:colOff>583758</xdr:colOff>
      <xdr:row>40</xdr:row>
      <xdr:rowOff>160884</xdr:rowOff>
    </xdr:to>
    <xdr:cxnSp macro="">
      <xdr:nvCxnSpPr>
        <xdr:cNvPr id="62" name="Straight Connector 61">
          <a:extLst>
            <a:ext uri="{FF2B5EF4-FFF2-40B4-BE49-F238E27FC236}">
              <a16:creationId xmlns:a16="http://schemas.microsoft.com/office/drawing/2014/main" id="{6F5222FB-9865-4059-BE15-BD4501911C11}"/>
            </a:ext>
          </a:extLst>
        </xdr:cNvPr>
        <xdr:cNvCxnSpPr/>
      </xdr:nvCxnSpPr>
      <xdr:spPr>
        <a:xfrm flipV="1">
          <a:off x="6898835" y="7157427"/>
          <a:ext cx="1114423"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77260</xdr:colOff>
      <xdr:row>40</xdr:row>
      <xdr:rowOff>159727</xdr:rowOff>
    </xdr:from>
    <xdr:to>
      <xdr:col>14</xdr:col>
      <xdr:colOff>582082</xdr:colOff>
      <xdr:row>40</xdr:row>
      <xdr:rowOff>160884</xdr:rowOff>
    </xdr:to>
    <xdr:cxnSp macro="">
      <xdr:nvCxnSpPr>
        <xdr:cNvPr id="63" name="Straight Connector 62">
          <a:extLst>
            <a:ext uri="{FF2B5EF4-FFF2-40B4-BE49-F238E27FC236}">
              <a16:creationId xmlns:a16="http://schemas.microsoft.com/office/drawing/2014/main" id="{7E2919F6-5F64-4515-9156-E4E093AB503B}"/>
            </a:ext>
          </a:extLst>
        </xdr:cNvPr>
        <xdr:cNvCxnSpPr/>
      </xdr:nvCxnSpPr>
      <xdr:spPr>
        <a:xfrm flipV="1">
          <a:off x="8116360" y="7157427"/>
          <a:ext cx="1114422"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87863</xdr:colOff>
      <xdr:row>40</xdr:row>
      <xdr:rowOff>159727</xdr:rowOff>
    </xdr:from>
    <xdr:to>
      <xdr:col>16</xdr:col>
      <xdr:colOff>591766</xdr:colOff>
      <xdr:row>40</xdr:row>
      <xdr:rowOff>160884</xdr:rowOff>
    </xdr:to>
    <xdr:cxnSp macro="">
      <xdr:nvCxnSpPr>
        <xdr:cNvPr id="64" name="Straight Connector 63">
          <a:extLst>
            <a:ext uri="{FF2B5EF4-FFF2-40B4-BE49-F238E27FC236}">
              <a16:creationId xmlns:a16="http://schemas.microsoft.com/office/drawing/2014/main" id="{10F4E232-CA42-4A2A-9960-737CF3E8103E}"/>
            </a:ext>
          </a:extLst>
        </xdr:cNvPr>
        <xdr:cNvCxnSpPr/>
      </xdr:nvCxnSpPr>
      <xdr:spPr>
        <a:xfrm flipV="1">
          <a:off x="9346163" y="7157427"/>
          <a:ext cx="1113503"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76561</xdr:colOff>
      <xdr:row>40</xdr:row>
      <xdr:rowOff>159727</xdr:rowOff>
    </xdr:from>
    <xdr:to>
      <xdr:col>18</xdr:col>
      <xdr:colOff>580463</xdr:colOff>
      <xdr:row>40</xdr:row>
      <xdr:rowOff>160884</xdr:rowOff>
    </xdr:to>
    <xdr:cxnSp macro="">
      <xdr:nvCxnSpPr>
        <xdr:cNvPr id="65" name="Straight Connector 64">
          <a:extLst>
            <a:ext uri="{FF2B5EF4-FFF2-40B4-BE49-F238E27FC236}">
              <a16:creationId xmlns:a16="http://schemas.microsoft.com/office/drawing/2014/main" id="{A4E53D4F-95C1-4B19-AF4B-02C66B54966A}"/>
            </a:ext>
          </a:extLst>
        </xdr:cNvPr>
        <xdr:cNvCxnSpPr/>
      </xdr:nvCxnSpPr>
      <xdr:spPr>
        <a:xfrm flipV="1">
          <a:off x="10554061" y="7157427"/>
          <a:ext cx="1113502"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61427</xdr:colOff>
      <xdr:row>40</xdr:row>
      <xdr:rowOff>159727</xdr:rowOff>
    </xdr:from>
    <xdr:to>
      <xdr:col>20</xdr:col>
      <xdr:colOff>565330</xdr:colOff>
      <xdr:row>40</xdr:row>
      <xdr:rowOff>160884</xdr:rowOff>
    </xdr:to>
    <xdr:cxnSp macro="">
      <xdr:nvCxnSpPr>
        <xdr:cNvPr id="66" name="Straight Connector 65">
          <a:extLst>
            <a:ext uri="{FF2B5EF4-FFF2-40B4-BE49-F238E27FC236}">
              <a16:creationId xmlns:a16="http://schemas.microsoft.com/office/drawing/2014/main" id="{378004E1-9CB1-409B-AF88-E465D94EA416}"/>
            </a:ext>
          </a:extLst>
        </xdr:cNvPr>
        <xdr:cNvCxnSpPr/>
      </xdr:nvCxnSpPr>
      <xdr:spPr>
        <a:xfrm flipV="1">
          <a:off x="11758127" y="7157427"/>
          <a:ext cx="1113503"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58081</xdr:colOff>
      <xdr:row>44</xdr:row>
      <xdr:rowOff>162046</xdr:rowOff>
    </xdr:from>
    <xdr:to>
      <xdr:col>10</xdr:col>
      <xdr:colOff>562028</xdr:colOff>
      <xdr:row>44</xdr:row>
      <xdr:rowOff>163364</xdr:rowOff>
    </xdr:to>
    <xdr:cxnSp macro="">
      <xdr:nvCxnSpPr>
        <xdr:cNvPr id="67" name="Straight Connector 66">
          <a:extLst>
            <a:ext uri="{FF2B5EF4-FFF2-40B4-BE49-F238E27FC236}">
              <a16:creationId xmlns:a16="http://schemas.microsoft.com/office/drawing/2014/main" id="{5A5DA08C-B329-4C2F-8252-6BC99011F63B}"/>
            </a:ext>
          </a:extLst>
        </xdr:cNvPr>
        <xdr:cNvCxnSpPr/>
      </xdr:nvCxnSpPr>
      <xdr:spPr>
        <a:xfrm flipV="1">
          <a:off x="5658781" y="78963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60135</xdr:colOff>
      <xdr:row>44</xdr:row>
      <xdr:rowOff>162046</xdr:rowOff>
    </xdr:from>
    <xdr:to>
      <xdr:col>12</xdr:col>
      <xdr:colOff>564958</xdr:colOff>
      <xdr:row>44</xdr:row>
      <xdr:rowOff>163364</xdr:rowOff>
    </xdr:to>
    <xdr:cxnSp macro="">
      <xdr:nvCxnSpPr>
        <xdr:cNvPr id="68" name="Straight Connector 67">
          <a:extLst>
            <a:ext uri="{FF2B5EF4-FFF2-40B4-BE49-F238E27FC236}">
              <a16:creationId xmlns:a16="http://schemas.microsoft.com/office/drawing/2014/main" id="{BCD7BB63-CCB7-4E2A-8F8A-3B59DA620E1D}"/>
            </a:ext>
          </a:extLst>
        </xdr:cNvPr>
        <xdr:cNvCxnSpPr/>
      </xdr:nvCxnSpPr>
      <xdr:spPr>
        <a:xfrm flipV="1">
          <a:off x="6880035" y="7896346"/>
          <a:ext cx="1114423"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58460</xdr:colOff>
      <xdr:row>44</xdr:row>
      <xdr:rowOff>162046</xdr:rowOff>
    </xdr:from>
    <xdr:to>
      <xdr:col>14</xdr:col>
      <xdr:colOff>563282</xdr:colOff>
      <xdr:row>44</xdr:row>
      <xdr:rowOff>163364</xdr:rowOff>
    </xdr:to>
    <xdr:cxnSp macro="">
      <xdr:nvCxnSpPr>
        <xdr:cNvPr id="69" name="Straight Connector 68">
          <a:extLst>
            <a:ext uri="{FF2B5EF4-FFF2-40B4-BE49-F238E27FC236}">
              <a16:creationId xmlns:a16="http://schemas.microsoft.com/office/drawing/2014/main" id="{B643F342-1AA9-4541-968F-9A9D4237486D}"/>
            </a:ext>
          </a:extLst>
        </xdr:cNvPr>
        <xdr:cNvCxnSpPr/>
      </xdr:nvCxnSpPr>
      <xdr:spPr>
        <a:xfrm flipV="1">
          <a:off x="8097560" y="7896346"/>
          <a:ext cx="1114422"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69063</xdr:colOff>
      <xdr:row>44</xdr:row>
      <xdr:rowOff>162046</xdr:rowOff>
    </xdr:from>
    <xdr:to>
      <xdr:col>16</xdr:col>
      <xdr:colOff>572966</xdr:colOff>
      <xdr:row>44</xdr:row>
      <xdr:rowOff>163364</xdr:rowOff>
    </xdr:to>
    <xdr:cxnSp macro="">
      <xdr:nvCxnSpPr>
        <xdr:cNvPr id="70" name="Straight Connector 69">
          <a:extLst>
            <a:ext uri="{FF2B5EF4-FFF2-40B4-BE49-F238E27FC236}">
              <a16:creationId xmlns:a16="http://schemas.microsoft.com/office/drawing/2014/main" id="{DF29DA97-5AF5-462F-BAC7-D24074E86D09}"/>
            </a:ext>
          </a:extLst>
        </xdr:cNvPr>
        <xdr:cNvCxnSpPr/>
      </xdr:nvCxnSpPr>
      <xdr:spPr>
        <a:xfrm flipV="1">
          <a:off x="9327363" y="7896346"/>
          <a:ext cx="1113503"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57761</xdr:colOff>
      <xdr:row>44</xdr:row>
      <xdr:rowOff>162046</xdr:rowOff>
    </xdr:from>
    <xdr:to>
      <xdr:col>18</xdr:col>
      <xdr:colOff>561663</xdr:colOff>
      <xdr:row>44</xdr:row>
      <xdr:rowOff>163364</xdr:rowOff>
    </xdr:to>
    <xdr:cxnSp macro="">
      <xdr:nvCxnSpPr>
        <xdr:cNvPr id="71" name="Straight Connector 70">
          <a:extLst>
            <a:ext uri="{FF2B5EF4-FFF2-40B4-BE49-F238E27FC236}">
              <a16:creationId xmlns:a16="http://schemas.microsoft.com/office/drawing/2014/main" id="{C4C2EF14-09DE-47C3-8A6A-02D364DCEB02}"/>
            </a:ext>
          </a:extLst>
        </xdr:cNvPr>
        <xdr:cNvCxnSpPr/>
      </xdr:nvCxnSpPr>
      <xdr:spPr>
        <a:xfrm flipV="1">
          <a:off x="10535261" y="7896346"/>
          <a:ext cx="1113502"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42627</xdr:colOff>
      <xdr:row>44</xdr:row>
      <xdr:rowOff>162046</xdr:rowOff>
    </xdr:from>
    <xdr:to>
      <xdr:col>20</xdr:col>
      <xdr:colOff>546530</xdr:colOff>
      <xdr:row>44</xdr:row>
      <xdr:rowOff>163364</xdr:rowOff>
    </xdr:to>
    <xdr:cxnSp macro="">
      <xdr:nvCxnSpPr>
        <xdr:cNvPr id="72" name="Straight Connector 71">
          <a:extLst>
            <a:ext uri="{FF2B5EF4-FFF2-40B4-BE49-F238E27FC236}">
              <a16:creationId xmlns:a16="http://schemas.microsoft.com/office/drawing/2014/main" id="{18D5B50E-AD1B-4C2A-A4D8-1B8C87788866}"/>
            </a:ext>
          </a:extLst>
        </xdr:cNvPr>
        <xdr:cNvCxnSpPr/>
      </xdr:nvCxnSpPr>
      <xdr:spPr>
        <a:xfrm flipV="1">
          <a:off x="11739327" y="7896346"/>
          <a:ext cx="1113503"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58081</xdr:colOff>
      <xdr:row>53</xdr:row>
      <xdr:rowOff>159446</xdr:rowOff>
    </xdr:from>
    <xdr:to>
      <xdr:col>10</xdr:col>
      <xdr:colOff>562028</xdr:colOff>
      <xdr:row>53</xdr:row>
      <xdr:rowOff>160764</xdr:rowOff>
    </xdr:to>
    <xdr:cxnSp macro="">
      <xdr:nvCxnSpPr>
        <xdr:cNvPr id="73" name="Straight Connector 72">
          <a:extLst>
            <a:ext uri="{FF2B5EF4-FFF2-40B4-BE49-F238E27FC236}">
              <a16:creationId xmlns:a16="http://schemas.microsoft.com/office/drawing/2014/main" id="{43207E6F-30F2-4DF6-9873-B5FAFE617236}"/>
            </a:ext>
          </a:extLst>
        </xdr:cNvPr>
        <xdr:cNvCxnSpPr/>
      </xdr:nvCxnSpPr>
      <xdr:spPr>
        <a:xfrm flipV="1">
          <a:off x="5658781" y="93986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60135</xdr:colOff>
      <xdr:row>53</xdr:row>
      <xdr:rowOff>159446</xdr:rowOff>
    </xdr:from>
    <xdr:to>
      <xdr:col>12</xdr:col>
      <xdr:colOff>564958</xdr:colOff>
      <xdr:row>53</xdr:row>
      <xdr:rowOff>160764</xdr:rowOff>
    </xdr:to>
    <xdr:cxnSp macro="">
      <xdr:nvCxnSpPr>
        <xdr:cNvPr id="74" name="Straight Connector 73">
          <a:extLst>
            <a:ext uri="{FF2B5EF4-FFF2-40B4-BE49-F238E27FC236}">
              <a16:creationId xmlns:a16="http://schemas.microsoft.com/office/drawing/2014/main" id="{83D548FC-179F-4FDF-AB26-AE502A8E5522}"/>
            </a:ext>
          </a:extLst>
        </xdr:cNvPr>
        <xdr:cNvCxnSpPr/>
      </xdr:nvCxnSpPr>
      <xdr:spPr>
        <a:xfrm flipV="1">
          <a:off x="6880035" y="9398696"/>
          <a:ext cx="1114423"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58460</xdr:colOff>
      <xdr:row>53</xdr:row>
      <xdr:rowOff>159446</xdr:rowOff>
    </xdr:from>
    <xdr:to>
      <xdr:col>14</xdr:col>
      <xdr:colOff>563282</xdr:colOff>
      <xdr:row>53</xdr:row>
      <xdr:rowOff>160764</xdr:rowOff>
    </xdr:to>
    <xdr:cxnSp macro="">
      <xdr:nvCxnSpPr>
        <xdr:cNvPr id="75" name="Straight Connector 74">
          <a:extLst>
            <a:ext uri="{FF2B5EF4-FFF2-40B4-BE49-F238E27FC236}">
              <a16:creationId xmlns:a16="http://schemas.microsoft.com/office/drawing/2014/main" id="{DEB24843-CFE6-465B-8ED2-6D19844A0AA8}"/>
            </a:ext>
          </a:extLst>
        </xdr:cNvPr>
        <xdr:cNvCxnSpPr/>
      </xdr:nvCxnSpPr>
      <xdr:spPr>
        <a:xfrm flipV="1">
          <a:off x="8097560" y="9398696"/>
          <a:ext cx="1114422"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69063</xdr:colOff>
      <xdr:row>53</xdr:row>
      <xdr:rowOff>159446</xdr:rowOff>
    </xdr:from>
    <xdr:to>
      <xdr:col>16</xdr:col>
      <xdr:colOff>572966</xdr:colOff>
      <xdr:row>53</xdr:row>
      <xdr:rowOff>160764</xdr:rowOff>
    </xdr:to>
    <xdr:cxnSp macro="">
      <xdr:nvCxnSpPr>
        <xdr:cNvPr id="76" name="Straight Connector 75">
          <a:extLst>
            <a:ext uri="{FF2B5EF4-FFF2-40B4-BE49-F238E27FC236}">
              <a16:creationId xmlns:a16="http://schemas.microsoft.com/office/drawing/2014/main" id="{B84F6607-234F-4D36-8215-DBA3727426E1}"/>
            </a:ext>
          </a:extLst>
        </xdr:cNvPr>
        <xdr:cNvCxnSpPr/>
      </xdr:nvCxnSpPr>
      <xdr:spPr>
        <a:xfrm flipV="1">
          <a:off x="9327363" y="9398696"/>
          <a:ext cx="1113503"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57761</xdr:colOff>
      <xdr:row>53</xdr:row>
      <xdr:rowOff>159446</xdr:rowOff>
    </xdr:from>
    <xdr:to>
      <xdr:col>18</xdr:col>
      <xdr:colOff>561663</xdr:colOff>
      <xdr:row>53</xdr:row>
      <xdr:rowOff>160764</xdr:rowOff>
    </xdr:to>
    <xdr:cxnSp macro="">
      <xdr:nvCxnSpPr>
        <xdr:cNvPr id="77" name="Straight Connector 76">
          <a:extLst>
            <a:ext uri="{FF2B5EF4-FFF2-40B4-BE49-F238E27FC236}">
              <a16:creationId xmlns:a16="http://schemas.microsoft.com/office/drawing/2014/main" id="{77413279-C4A7-4E28-AA28-F8C934F2FCBA}"/>
            </a:ext>
          </a:extLst>
        </xdr:cNvPr>
        <xdr:cNvCxnSpPr/>
      </xdr:nvCxnSpPr>
      <xdr:spPr>
        <a:xfrm flipV="1">
          <a:off x="10535261" y="9398696"/>
          <a:ext cx="1113502"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42627</xdr:colOff>
      <xdr:row>53</xdr:row>
      <xdr:rowOff>159446</xdr:rowOff>
    </xdr:from>
    <xdr:to>
      <xdr:col>20</xdr:col>
      <xdr:colOff>546530</xdr:colOff>
      <xdr:row>53</xdr:row>
      <xdr:rowOff>160764</xdr:rowOff>
    </xdr:to>
    <xdr:cxnSp macro="">
      <xdr:nvCxnSpPr>
        <xdr:cNvPr id="78" name="Straight Connector 77">
          <a:extLst>
            <a:ext uri="{FF2B5EF4-FFF2-40B4-BE49-F238E27FC236}">
              <a16:creationId xmlns:a16="http://schemas.microsoft.com/office/drawing/2014/main" id="{417EDC25-9437-4334-9549-2242D72B5E94}"/>
            </a:ext>
          </a:extLst>
        </xdr:cNvPr>
        <xdr:cNvCxnSpPr/>
      </xdr:nvCxnSpPr>
      <xdr:spPr>
        <a:xfrm flipV="1">
          <a:off x="11739327" y="9398696"/>
          <a:ext cx="1113503"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58081</xdr:colOff>
      <xdr:row>54</xdr:row>
      <xdr:rowOff>161846</xdr:rowOff>
    </xdr:from>
    <xdr:to>
      <xdr:col>10</xdr:col>
      <xdr:colOff>562028</xdr:colOff>
      <xdr:row>54</xdr:row>
      <xdr:rowOff>163164</xdr:rowOff>
    </xdr:to>
    <xdr:cxnSp macro="">
      <xdr:nvCxnSpPr>
        <xdr:cNvPr id="79" name="Straight Connector 78">
          <a:extLst>
            <a:ext uri="{FF2B5EF4-FFF2-40B4-BE49-F238E27FC236}">
              <a16:creationId xmlns:a16="http://schemas.microsoft.com/office/drawing/2014/main" id="{D31D4046-B6D6-4673-BA38-372EC85C8E2F}"/>
            </a:ext>
          </a:extLst>
        </xdr:cNvPr>
        <xdr:cNvCxnSpPr/>
      </xdr:nvCxnSpPr>
      <xdr:spPr>
        <a:xfrm flipV="1">
          <a:off x="5658781" y="95852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60135</xdr:colOff>
      <xdr:row>54</xdr:row>
      <xdr:rowOff>161846</xdr:rowOff>
    </xdr:from>
    <xdr:to>
      <xdr:col>12</xdr:col>
      <xdr:colOff>564958</xdr:colOff>
      <xdr:row>54</xdr:row>
      <xdr:rowOff>163164</xdr:rowOff>
    </xdr:to>
    <xdr:cxnSp macro="">
      <xdr:nvCxnSpPr>
        <xdr:cNvPr id="80" name="Straight Connector 79">
          <a:extLst>
            <a:ext uri="{FF2B5EF4-FFF2-40B4-BE49-F238E27FC236}">
              <a16:creationId xmlns:a16="http://schemas.microsoft.com/office/drawing/2014/main" id="{8818AD36-87C7-4F8D-BA02-2FE98BE96367}"/>
            </a:ext>
          </a:extLst>
        </xdr:cNvPr>
        <xdr:cNvCxnSpPr/>
      </xdr:nvCxnSpPr>
      <xdr:spPr>
        <a:xfrm flipV="1">
          <a:off x="6880035" y="9585246"/>
          <a:ext cx="1114423"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58460</xdr:colOff>
      <xdr:row>54</xdr:row>
      <xdr:rowOff>161846</xdr:rowOff>
    </xdr:from>
    <xdr:to>
      <xdr:col>14</xdr:col>
      <xdr:colOff>563282</xdr:colOff>
      <xdr:row>54</xdr:row>
      <xdr:rowOff>163164</xdr:rowOff>
    </xdr:to>
    <xdr:cxnSp macro="">
      <xdr:nvCxnSpPr>
        <xdr:cNvPr id="81" name="Straight Connector 80">
          <a:extLst>
            <a:ext uri="{FF2B5EF4-FFF2-40B4-BE49-F238E27FC236}">
              <a16:creationId xmlns:a16="http://schemas.microsoft.com/office/drawing/2014/main" id="{8D5C23ED-5F50-48C6-ADBB-4C10B99EF611}"/>
            </a:ext>
          </a:extLst>
        </xdr:cNvPr>
        <xdr:cNvCxnSpPr/>
      </xdr:nvCxnSpPr>
      <xdr:spPr>
        <a:xfrm flipV="1">
          <a:off x="8097560" y="9585246"/>
          <a:ext cx="1114422"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69063</xdr:colOff>
      <xdr:row>54</xdr:row>
      <xdr:rowOff>161846</xdr:rowOff>
    </xdr:from>
    <xdr:to>
      <xdr:col>16</xdr:col>
      <xdr:colOff>572966</xdr:colOff>
      <xdr:row>54</xdr:row>
      <xdr:rowOff>163164</xdr:rowOff>
    </xdr:to>
    <xdr:cxnSp macro="">
      <xdr:nvCxnSpPr>
        <xdr:cNvPr id="82" name="Straight Connector 81">
          <a:extLst>
            <a:ext uri="{FF2B5EF4-FFF2-40B4-BE49-F238E27FC236}">
              <a16:creationId xmlns:a16="http://schemas.microsoft.com/office/drawing/2014/main" id="{F544DFD6-4CA5-4B8B-A777-80349D4FA559}"/>
            </a:ext>
          </a:extLst>
        </xdr:cNvPr>
        <xdr:cNvCxnSpPr/>
      </xdr:nvCxnSpPr>
      <xdr:spPr>
        <a:xfrm flipV="1">
          <a:off x="9327363" y="9585246"/>
          <a:ext cx="1113503"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57761</xdr:colOff>
      <xdr:row>54</xdr:row>
      <xdr:rowOff>161846</xdr:rowOff>
    </xdr:from>
    <xdr:to>
      <xdr:col>18</xdr:col>
      <xdr:colOff>561663</xdr:colOff>
      <xdr:row>54</xdr:row>
      <xdr:rowOff>163164</xdr:rowOff>
    </xdr:to>
    <xdr:cxnSp macro="">
      <xdr:nvCxnSpPr>
        <xdr:cNvPr id="83" name="Straight Connector 82">
          <a:extLst>
            <a:ext uri="{FF2B5EF4-FFF2-40B4-BE49-F238E27FC236}">
              <a16:creationId xmlns:a16="http://schemas.microsoft.com/office/drawing/2014/main" id="{F23ED04E-6628-457D-8EE1-1262376E62E9}"/>
            </a:ext>
          </a:extLst>
        </xdr:cNvPr>
        <xdr:cNvCxnSpPr/>
      </xdr:nvCxnSpPr>
      <xdr:spPr>
        <a:xfrm flipV="1">
          <a:off x="10535261" y="9585246"/>
          <a:ext cx="1113502"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42627</xdr:colOff>
      <xdr:row>54</xdr:row>
      <xdr:rowOff>161846</xdr:rowOff>
    </xdr:from>
    <xdr:to>
      <xdr:col>20</xdr:col>
      <xdr:colOff>546530</xdr:colOff>
      <xdr:row>54</xdr:row>
      <xdr:rowOff>163164</xdr:rowOff>
    </xdr:to>
    <xdr:cxnSp macro="">
      <xdr:nvCxnSpPr>
        <xdr:cNvPr id="84" name="Straight Connector 83">
          <a:extLst>
            <a:ext uri="{FF2B5EF4-FFF2-40B4-BE49-F238E27FC236}">
              <a16:creationId xmlns:a16="http://schemas.microsoft.com/office/drawing/2014/main" id="{71F41DB0-D10E-43A4-8DED-B7EB0981C2F0}"/>
            </a:ext>
          </a:extLst>
        </xdr:cNvPr>
        <xdr:cNvCxnSpPr/>
      </xdr:nvCxnSpPr>
      <xdr:spPr>
        <a:xfrm flipV="1">
          <a:off x="11739327" y="9585246"/>
          <a:ext cx="1113503"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58081</xdr:colOff>
      <xdr:row>55</xdr:row>
      <xdr:rowOff>4246</xdr:rowOff>
    </xdr:from>
    <xdr:to>
      <xdr:col>10</xdr:col>
      <xdr:colOff>562028</xdr:colOff>
      <xdr:row>55</xdr:row>
      <xdr:rowOff>5564</xdr:rowOff>
    </xdr:to>
    <xdr:cxnSp macro="">
      <xdr:nvCxnSpPr>
        <xdr:cNvPr id="85" name="Straight Connector 84">
          <a:extLst>
            <a:ext uri="{FF2B5EF4-FFF2-40B4-BE49-F238E27FC236}">
              <a16:creationId xmlns:a16="http://schemas.microsoft.com/office/drawing/2014/main" id="{64246039-F985-4A85-87FF-B8C36DFF3F8C}"/>
            </a:ext>
          </a:extLst>
        </xdr:cNvPr>
        <xdr:cNvCxnSpPr/>
      </xdr:nvCxnSpPr>
      <xdr:spPr>
        <a:xfrm flipV="1">
          <a:off x="5658781" y="96117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60135</xdr:colOff>
      <xdr:row>55</xdr:row>
      <xdr:rowOff>4246</xdr:rowOff>
    </xdr:from>
    <xdr:to>
      <xdr:col>12</xdr:col>
      <xdr:colOff>564958</xdr:colOff>
      <xdr:row>55</xdr:row>
      <xdr:rowOff>5564</xdr:rowOff>
    </xdr:to>
    <xdr:cxnSp macro="">
      <xdr:nvCxnSpPr>
        <xdr:cNvPr id="86" name="Straight Connector 85">
          <a:extLst>
            <a:ext uri="{FF2B5EF4-FFF2-40B4-BE49-F238E27FC236}">
              <a16:creationId xmlns:a16="http://schemas.microsoft.com/office/drawing/2014/main" id="{CEDDECB6-4CE4-432D-B603-F231D7C6666F}"/>
            </a:ext>
          </a:extLst>
        </xdr:cNvPr>
        <xdr:cNvCxnSpPr/>
      </xdr:nvCxnSpPr>
      <xdr:spPr>
        <a:xfrm flipV="1">
          <a:off x="6880035" y="9611796"/>
          <a:ext cx="1114423"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58460</xdr:colOff>
      <xdr:row>55</xdr:row>
      <xdr:rowOff>4246</xdr:rowOff>
    </xdr:from>
    <xdr:to>
      <xdr:col>14</xdr:col>
      <xdr:colOff>563282</xdr:colOff>
      <xdr:row>55</xdr:row>
      <xdr:rowOff>5564</xdr:rowOff>
    </xdr:to>
    <xdr:cxnSp macro="">
      <xdr:nvCxnSpPr>
        <xdr:cNvPr id="87" name="Straight Connector 86">
          <a:extLst>
            <a:ext uri="{FF2B5EF4-FFF2-40B4-BE49-F238E27FC236}">
              <a16:creationId xmlns:a16="http://schemas.microsoft.com/office/drawing/2014/main" id="{2F7AA16E-DB88-44E6-A8F2-7B9FFE63FB9C}"/>
            </a:ext>
          </a:extLst>
        </xdr:cNvPr>
        <xdr:cNvCxnSpPr/>
      </xdr:nvCxnSpPr>
      <xdr:spPr>
        <a:xfrm flipV="1">
          <a:off x="8097560" y="9611796"/>
          <a:ext cx="1114422"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69063</xdr:colOff>
      <xdr:row>55</xdr:row>
      <xdr:rowOff>4246</xdr:rowOff>
    </xdr:from>
    <xdr:to>
      <xdr:col>16</xdr:col>
      <xdr:colOff>572966</xdr:colOff>
      <xdr:row>55</xdr:row>
      <xdr:rowOff>5564</xdr:rowOff>
    </xdr:to>
    <xdr:cxnSp macro="">
      <xdr:nvCxnSpPr>
        <xdr:cNvPr id="88" name="Straight Connector 87">
          <a:extLst>
            <a:ext uri="{FF2B5EF4-FFF2-40B4-BE49-F238E27FC236}">
              <a16:creationId xmlns:a16="http://schemas.microsoft.com/office/drawing/2014/main" id="{1FDBFAED-7CAF-48B7-9D54-9C400B42067D}"/>
            </a:ext>
          </a:extLst>
        </xdr:cNvPr>
        <xdr:cNvCxnSpPr/>
      </xdr:nvCxnSpPr>
      <xdr:spPr>
        <a:xfrm flipV="1">
          <a:off x="9327363" y="9611796"/>
          <a:ext cx="1113503"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57761</xdr:colOff>
      <xdr:row>55</xdr:row>
      <xdr:rowOff>4246</xdr:rowOff>
    </xdr:from>
    <xdr:to>
      <xdr:col>18</xdr:col>
      <xdr:colOff>561663</xdr:colOff>
      <xdr:row>55</xdr:row>
      <xdr:rowOff>5564</xdr:rowOff>
    </xdr:to>
    <xdr:cxnSp macro="">
      <xdr:nvCxnSpPr>
        <xdr:cNvPr id="89" name="Straight Connector 88">
          <a:extLst>
            <a:ext uri="{FF2B5EF4-FFF2-40B4-BE49-F238E27FC236}">
              <a16:creationId xmlns:a16="http://schemas.microsoft.com/office/drawing/2014/main" id="{14E81FAE-E0DA-4EC5-8A2F-452D17A00F8F}"/>
            </a:ext>
          </a:extLst>
        </xdr:cNvPr>
        <xdr:cNvCxnSpPr/>
      </xdr:nvCxnSpPr>
      <xdr:spPr>
        <a:xfrm flipV="1">
          <a:off x="10535261" y="9611796"/>
          <a:ext cx="1113502"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42627</xdr:colOff>
      <xdr:row>55</xdr:row>
      <xdr:rowOff>4246</xdr:rowOff>
    </xdr:from>
    <xdr:to>
      <xdr:col>20</xdr:col>
      <xdr:colOff>546530</xdr:colOff>
      <xdr:row>55</xdr:row>
      <xdr:rowOff>5564</xdr:rowOff>
    </xdr:to>
    <xdr:cxnSp macro="">
      <xdr:nvCxnSpPr>
        <xdr:cNvPr id="90" name="Straight Connector 89">
          <a:extLst>
            <a:ext uri="{FF2B5EF4-FFF2-40B4-BE49-F238E27FC236}">
              <a16:creationId xmlns:a16="http://schemas.microsoft.com/office/drawing/2014/main" id="{9CFF2D63-7050-4663-A4D2-96AAF41DED6E}"/>
            </a:ext>
          </a:extLst>
        </xdr:cNvPr>
        <xdr:cNvCxnSpPr/>
      </xdr:nvCxnSpPr>
      <xdr:spPr>
        <a:xfrm flipV="1">
          <a:off x="11739327" y="9611796"/>
          <a:ext cx="1113503"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9641</xdr:colOff>
      <xdr:row>61</xdr:row>
      <xdr:rowOff>152722</xdr:rowOff>
    </xdr:from>
    <xdr:to>
      <xdr:col>21</xdr:col>
      <xdr:colOff>41413</xdr:colOff>
      <xdr:row>61</xdr:row>
      <xdr:rowOff>152722</xdr:rowOff>
    </xdr:to>
    <xdr:cxnSp macro="">
      <xdr:nvCxnSpPr>
        <xdr:cNvPr id="91" name="Straight Connector 90">
          <a:extLst>
            <a:ext uri="{FF2B5EF4-FFF2-40B4-BE49-F238E27FC236}">
              <a16:creationId xmlns:a16="http://schemas.microsoft.com/office/drawing/2014/main" id="{0DC3AFFE-9DBE-4488-B0D9-A31ECA133C91}"/>
            </a:ext>
          </a:extLst>
        </xdr:cNvPr>
        <xdr:cNvCxnSpPr/>
      </xdr:nvCxnSpPr>
      <xdr:spPr>
        <a:xfrm>
          <a:off x="3781541" y="10738172"/>
          <a:ext cx="9175772" cy="0"/>
        </a:xfrm>
        <a:prstGeom prst="line">
          <a:avLst/>
        </a:prstGeom>
        <a:ln w="12700">
          <a:solidFill>
            <a:schemeClr val="bg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0</xdr:colOff>
      <xdr:row>64</xdr:row>
      <xdr:rowOff>155963</xdr:rowOff>
    </xdr:from>
    <xdr:to>
      <xdr:col>5</xdr:col>
      <xdr:colOff>0</xdr:colOff>
      <xdr:row>64</xdr:row>
      <xdr:rowOff>163262</xdr:rowOff>
    </xdr:to>
    <xdr:cxnSp macro="">
      <xdr:nvCxnSpPr>
        <xdr:cNvPr id="92" name="Straight Connector 91">
          <a:extLst>
            <a:ext uri="{FF2B5EF4-FFF2-40B4-BE49-F238E27FC236}">
              <a16:creationId xmlns:a16="http://schemas.microsoft.com/office/drawing/2014/main" id="{A3E770E4-3524-4B5B-80C6-5208711EF756}"/>
            </a:ext>
          </a:extLst>
        </xdr:cNvPr>
        <xdr:cNvCxnSpPr/>
      </xdr:nvCxnSpPr>
      <xdr:spPr>
        <a:xfrm>
          <a:off x="609600" y="11300213"/>
          <a:ext cx="2552700" cy="7299"/>
        </a:xfrm>
        <a:prstGeom prst="line">
          <a:avLst/>
        </a:prstGeom>
        <a:ln w="12700">
          <a:solidFill>
            <a:schemeClr val="bg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604796</xdr:colOff>
      <xdr:row>68</xdr:row>
      <xdr:rowOff>154145</xdr:rowOff>
    </xdr:from>
    <xdr:to>
      <xdr:col>27</xdr:col>
      <xdr:colOff>0</xdr:colOff>
      <xdr:row>68</xdr:row>
      <xdr:rowOff>157534</xdr:rowOff>
    </xdr:to>
    <xdr:cxnSp macro="">
      <xdr:nvCxnSpPr>
        <xdr:cNvPr id="93" name="Straight Connector 92">
          <a:extLst>
            <a:ext uri="{FF2B5EF4-FFF2-40B4-BE49-F238E27FC236}">
              <a16:creationId xmlns:a16="http://schemas.microsoft.com/office/drawing/2014/main" id="{B8E61354-265E-4EAD-A8C7-661107F87217}"/>
            </a:ext>
          </a:extLst>
        </xdr:cNvPr>
        <xdr:cNvCxnSpPr/>
      </xdr:nvCxnSpPr>
      <xdr:spPr>
        <a:xfrm flipV="1">
          <a:off x="3767096" y="12041345"/>
          <a:ext cx="13454104" cy="3389"/>
        </a:xfrm>
        <a:prstGeom prst="line">
          <a:avLst/>
        </a:prstGeom>
        <a:ln w="12700">
          <a:solidFill>
            <a:schemeClr val="bg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0</xdr:colOff>
      <xdr:row>38</xdr:row>
      <xdr:rowOff>155032</xdr:rowOff>
    </xdr:from>
    <xdr:to>
      <xdr:col>27</xdr:col>
      <xdr:colOff>0</xdr:colOff>
      <xdr:row>38</xdr:row>
      <xdr:rowOff>155124</xdr:rowOff>
    </xdr:to>
    <xdr:cxnSp macro="">
      <xdr:nvCxnSpPr>
        <xdr:cNvPr id="94" name="Straight Connector 93">
          <a:extLst>
            <a:ext uri="{FF2B5EF4-FFF2-40B4-BE49-F238E27FC236}">
              <a16:creationId xmlns:a16="http://schemas.microsoft.com/office/drawing/2014/main" id="{92275834-4B39-4B92-89BF-C6C99DCEAD27}"/>
            </a:ext>
          </a:extLst>
        </xdr:cNvPr>
        <xdr:cNvCxnSpPr/>
      </xdr:nvCxnSpPr>
      <xdr:spPr>
        <a:xfrm flipV="1">
          <a:off x="13525500" y="6784432"/>
          <a:ext cx="3695700" cy="92"/>
        </a:xfrm>
        <a:prstGeom prst="line">
          <a:avLst/>
        </a:prstGeom>
        <a:ln w="12700">
          <a:solidFill>
            <a:schemeClr val="bg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62365</xdr:colOff>
      <xdr:row>9</xdr:row>
      <xdr:rowOff>159148</xdr:rowOff>
    </xdr:from>
    <xdr:to>
      <xdr:col>25</xdr:col>
      <xdr:colOff>702445</xdr:colOff>
      <xdr:row>9</xdr:row>
      <xdr:rowOff>159148</xdr:rowOff>
    </xdr:to>
    <xdr:cxnSp macro="">
      <xdr:nvCxnSpPr>
        <xdr:cNvPr id="95" name="Straight Connector 94">
          <a:extLst>
            <a:ext uri="{FF2B5EF4-FFF2-40B4-BE49-F238E27FC236}">
              <a16:creationId xmlns:a16="http://schemas.microsoft.com/office/drawing/2014/main" id="{138FB292-C0E7-4AB9-B8B3-8A51CBDDF5F9}"/>
            </a:ext>
          </a:extLst>
        </xdr:cNvPr>
        <xdr:cNvCxnSpPr/>
      </xdr:nvCxnSpPr>
      <xdr:spPr>
        <a:xfrm>
          <a:off x="15873865" y="1702198"/>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58251</xdr:colOff>
      <xdr:row>9</xdr:row>
      <xdr:rowOff>159148</xdr:rowOff>
    </xdr:from>
    <xdr:to>
      <xdr:col>26</xdr:col>
      <xdr:colOff>698331</xdr:colOff>
      <xdr:row>9</xdr:row>
      <xdr:rowOff>159148</xdr:rowOff>
    </xdr:to>
    <xdr:cxnSp macro="">
      <xdr:nvCxnSpPr>
        <xdr:cNvPr id="96" name="Straight Connector 95">
          <a:extLst>
            <a:ext uri="{FF2B5EF4-FFF2-40B4-BE49-F238E27FC236}">
              <a16:creationId xmlns:a16="http://schemas.microsoft.com/office/drawing/2014/main" id="{CAC976C1-113D-456A-AD26-22405AA617BC}"/>
            </a:ext>
          </a:extLst>
        </xdr:cNvPr>
        <xdr:cNvCxnSpPr/>
      </xdr:nvCxnSpPr>
      <xdr:spPr>
        <a:xfrm>
          <a:off x="16631751" y="1702198"/>
          <a:ext cx="5892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67196</xdr:colOff>
      <xdr:row>13</xdr:row>
      <xdr:rowOff>159506</xdr:rowOff>
    </xdr:from>
    <xdr:to>
      <xdr:col>25</xdr:col>
      <xdr:colOff>707276</xdr:colOff>
      <xdr:row>13</xdr:row>
      <xdr:rowOff>159506</xdr:rowOff>
    </xdr:to>
    <xdr:cxnSp macro="">
      <xdr:nvCxnSpPr>
        <xdr:cNvPr id="97" name="Straight Connector 96">
          <a:extLst>
            <a:ext uri="{FF2B5EF4-FFF2-40B4-BE49-F238E27FC236}">
              <a16:creationId xmlns:a16="http://schemas.microsoft.com/office/drawing/2014/main" id="{14C542EE-347B-4073-8BD7-ADD2B9CC677B}"/>
            </a:ext>
          </a:extLst>
        </xdr:cNvPr>
        <xdr:cNvCxnSpPr/>
      </xdr:nvCxnSpPr>
      <xdr:spPr>
        <a:xfrm>
          <a:off x="15878696" y="2445506"/>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63082</xdr:colOff>
      <xdr:row>13</xdr:row>
      <xdr:rowOff>159506</xdr:rowOff>
    </xdr:from>
    <xdr:to>
      <xdr:col>26</xdr:col>
      <xdr:colOff>703162</xdr:colOff>
      <xdr:row>13</xdr:row>
      <xdr:rowOff>159506</xdr:rowOff>
    </xdr:to>
    <xdr:cxnSp macro="">
      <xdr:nvCxnSpPr>
        <xdr:cNvPr id="98" name="Straight Connector 97">
          <a:extLst>
            <a:ext uri="{FF2B5EF4-FFF2-40B4-BE49-F238E27FC236}">
              <a16:creationId xmlns:a16="http://schemas.microsoft.com/office/drawing/2014/main" id="{D223CAE3-8390-4C56-AC97-A9EA770272A7}"/>
            </a:ext>
          </a:extLst>
        </xdr:cNvPr>
        <xdr:cNvCxnSpPr/>
      </xdr:nvCxnSpPr>
      <xdr:spPr>
        <a:xfrm>
          <a:off x="16636582" y="2445506"/>
          <a:ext cx="58293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68004</xdr:colOff>
      <xdr:row>18</xdr:row>
      <xdr:rowOff>171282</xdr:rowOff>
    </xdr:from>
    <xdr:to>
      <xdr:col>25</xdr:col>
      <xdr:colOff>708084</xdr:colOff>
      <xdr:row>18</xdr:row>
      <xdr:rowOff>171282</xdr:rowOff>
    </xdr:to>
    <xdr:cxnSp macro="">
      <xdr:nvCxnSpPr>
        <xdr:cNvPr id="99" name="Straight Connector 98">
          <a:extLst>
            <a:ext uri="{FF2B5EF4-FFF2-40B4-BE49-F238E27FC236}">
              <a16:creationId xmlns:a16="http://schemas.microsoft.com/office/drawing/2014/main" id="{973C5782-2FB9-4057-A4A6-6C06F3FA4275}"/>
            </a:ext>
          </a:extLst>
        </xdr:cNvPr>
        <xdr:cNvCxnSpPr/>
      </xdr:nvCxnSpPr>
      <xdr:spPr>
        <a:xfrm>
          <a:off x="15879504" y="3378032"/>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63890</xdr:colOff>
      <xdr:row>18</xdr:row>
      <xdr:rowOff>171282</xdr:rowOff>
    </xdr:from>
    <xdr:to>
      <xdr:col>26</xdr:col>
      <xdr:colOff>703970</xdr:colOff>
      <xdr:row>18</xdr:row>
      <xdr:rowOff>171282</xdr:rowOff>
    </xdr:to>
    <xdr:cxnSp macro="">
      <xdr:nvCxnSpPr>
        <xdr:cNvPr id="100" name="Straight Connector 99">
          <a:extLst>
            <a:ext uri="{FF2B5EF4-FFF2-40B4-BE49-F238E27FC236}">
              <a16:creationId xmlns:a16="http://schemas.microsoft.com/office/drawing/2014/main" id="{73A9C0AC-900E-452E-8591-CE43F881D977}"/>
            </a:ext>
          </a:extLst>
        </xdr:cNvPr>
        <xdr:cNvCxnSpPr/>
      </xdr:nvCxnSpPr>
      <xdr:spPr>
        <a:xfrm>
          <a:off x="16637390" y="3378032"/>
          <a:ext cx="58293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69448</xdr:colOff>
      <xdr:row>20</xdr:row>
      <xdr:rowOff>166161</xdr:rowOff>
    </xdr:from>
    <xdr:to>
      <xdr:col>25</xdr:col>
      <xdr:colOff>709528</xdr:colOff>
      <xdr:row>20</xdr:row>
      <xdr:rowOff>166161</xdr:rowOff>
    </xdr:to>
    <xdr:cxnSp macro="">
      <xdr:nvCxnSpPr>
        <xdr:cNvPr id="101" name="Straight Connector 100">
          <a:extLst>
            <a:ext uri="{FF2B5EF4-FFF2-40B4-BE49-F238E27FC236}">
              <a16:creationId xmlns:a16="http://schemas.microsoft.com/office/drawing/2014/main" id="{1F70BF10-5F00-4F3D-8B99-96FB3C9D0769}"/>
            </a:ext>
          </a:extLst>
        </xdr:cNvPr>
        <xdr:cNvCxnSpPr/>
      </xdr:nvCxnSpPr>
      <xdr:spPr>
        <a:xfrm>
          <a:off x="15880948" y="3607861"/>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65334</xdr:colOff>
      <xdr:row>20</xdr:row>
      <xdr:rowOff>166161</xdr:rowOff>
    </xdr:from>
    <xdr:to>
      <xdr:col>26</xdr:col>
      <xdr:colOff>705414</xdr:colOff>
      <xdr:row>20</xdr:row>
      <xdr:rowOff>166161</xdr:rowOff>
    </xdr:to>
    <xdr:cxnSp macro="">
      <xdr:nvCxnSpPr>
        <xdr:cNvPr id="102" name="Straight Connector 101">
          <a:extLst>
            <a:ext uri="{FF2B5EF4-FFF2-40B4-BE49-F238E27FC236}">
              <a16:creationId xmlns:a16="http://schemas.microsoft.com/office/drawing/2014/main" id="{7334CBF0-D26F-4852-BD5A-9F6F24433627}"/>
            </a:ext>
          </a:extLst>
        </xdr:cNvPr>
        <xdr:cNvCxnSpPr/>
      </xdr:nvCxnSpPr>
      <xdr:spPr>
        <a:xfrm>
          <a:off x="16638834" y="3607861"/>
          <a:ext cx="58293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74167</xdr:colOff>
      <xdr:row>24</xdr:row>
      <xdr:rowOff>159033</xdr:rowOff>
    </xdr:from>
    <xdr:to>
      <xdr:col>25</xdr:col>
      <xdr:colOff>714247</xdr:colOff>
      <xdr:row>24</xdr:row>
      <xdr:rowOff>159033</xdr:rowOff>
    </xdr:to>
    <xdr:cxnSp macro="">
      <xdr:nvCxnSpPr>
        <xdr:cNvPr id="103" name="Straight Connector 102">
          <a:extLst>
            <a:ext uri="{FF2B5EF4-FFF2-40B4-BE49-F238E27FC236}">
              <a16:creationId xmlns:a16="http://schemas.microsoft.com/office/drawing/2014/main" id="{F64FAF26-C1B1-45BE-B9F5-857EFD9ECE37}"/>
            </a:ext>
          </a:extLst>
        </xdr:cNvPr>
        <xdr:cNvCxnSpPr/>
      </xdr:nvCxnSpPr>
      <xdr:spPr>
        <a:xfrm>
          <a:off x="15885667" y="4337333"/>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70053</xdr:colOff>
      <xdr:row>24</xdr:row>
      <xdr:rowOff>159033</xdr:rowOff>
    </xdr:from>
    <xdr:to>
      <xdr:col>26</xdr:col>
      <xdr:colOff>710133</xdr:colOff>
      <xdr:row>24</xdr:row>
      <xdr:rowOff>159033</xdr:rowOff>
    </xdr:to>
    <xdr:cxnSp macro="">
      <xdr:nvCxnSpPr>
        <xdr:cNvPr id="104" name="Straight Connector 103">
          <a:extLst>
            <a:ext uri="{FF2B5EF4-FFF2-40B4-BE49-F238E27FC236}">
              <a16:creationId xmlns:a16="http://schemas.microsoft.com/office/drawing/2014/main" id="{30716A70-471C-4AB8-9AE7-622855099BF5}"/>
            </a:ext>
          </a:extLst>
        </xdr:cNvPr>
        <xdr:cNvCxnSpPr/>
      </xdr:nvCxnSpPr>
      <xdr:spPr>
        <a:xfrm>
          <a:off x="16643553" y="4337333"/>
          <a:ext cx="5765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74167</xdr:colOff>
      <xdr:row>28</xdr:row>
      <xdr:rowOff>166653</xdr:rowOff>
    </xdr:from>
    <xdr:to>
      <xdr:col>25</xdr:col>
      <xdr:colOff>714247</xdr:colOff>
      <xdr:row>28</xdr:row>
      <xdr:rowOff>166653</xdr:rowOff>
    </xdr:to>
    <xdr:cxnSp macro="">
      <xdr:nvCxnSpPr>
        <xdr:cNvPr id="105" name="Straight Connector 104">
          <a:extLst>
            <a:ext uri="{FF2B5EF4-FFF2-40B4-BE49-F238E27FC236}">
              <a16:creationId xmlns:a16="http://schemas.microsoft.com/office/drawing/2014/main" id="{5C86C925-D769-4A23-A818-2B16A1E4222A}"/>
            </a:ext>
          </a:extLst>
        </xdr:cNvPr>
        <xdr:cNvCxnSpPr/>
      </xdr:nvCxnSpPr>
      <xdr:spPr>
        <a:xfrm>
          <a:off x="15885667" y="5081553"/>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70053</xdr:colOff>
      <xdr:row>28</xdr:row>
      <xdr:rowOff>166653</xdr:rowOff>
    </xdr:from>
    <xdr:to>
      <xdr:col>26</xdr:col>
      <xdr:colOff>710133</xdr:colOff>
      <xdr:row>28</xdr:row>
      <xdr:rowOff>166653</xdr:rowOff>
    </xdr:to>
    <xdr:cxnSp macro="">
      <xdr:nvCxnSpPr>
        <xdr:cNvPr id="106" name="Straight Connector 105">
          <a:extLst>
            <a:ext uri="{FF2B5EF4-FFF2-40B4-BE49-F238E27FC236}">
              <a16:creationId xmlns:a16="http://schemas.microsoft.com/office/drawing/2014/main" id="{FEA76C77-10B3-44C8-9FDD-B4DE22887349}"/>
            </a:ext>
          </a:extLst>
        </xdr:cNvPr>
        <xdr:cNvCxnSpPr/>
      </xdr:nvCxnSpPr>
      <xdr:spPr>
        <a:xfrm>
          <a:off x="16643553" y="5081553"/>
          <a:ext cx="5765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74167</xdr:colOff>
      <xdr:row>33</xdr:row>
      <xdr:rowOff>161573</xdr:rowOff>
    </xdr:from>
    <xdr:to>
      <xdr:col>25</xdr:col>
      <xdr:colOff>714247</xdr:colOff>
      <xdr:row>33</xdr:row>
      <xdr:rowOff>161573</xdr:rowOff>
    </xdr:to>
    <xdr:cxnSp macro="">
      <xdr:nvCxnSpPr>
        <xdr:cNvPr id="107" name="Straight Connector 106">
          <a:extLst>
            <a:ext uri="{FF2B5EF4-FFF2-40B4-BE49-F238E27FC236}">
              <a16:creationId xmlns:a16="http://schemas.microsoft.com/office/drawing/2014/main" id="{DC67D9CC-F00F-472D-8284-1F1F56AA48D6}"/>
            </a:ext>
          </a:extLst>
        </xdr:cNvPr>
        <xdr:cNvCxnSpPr/>
      </xdr:nvCxnSpPr>
      <xdr:spPr>
        <a:xfrm>
          <a:off x="15885667" y="6009923"/>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70053</xdr:colOff>
      <xdr:row>33</xdr:row>
      <xdr:rowOff>161573</xdr:rowOff>
    </xdr:from>
    <xdr:to>
      <xdr:col>26</xdr:col>
      <xdr:colOff>710133</xdr:colOff>
      <xdr:row>33</xdr:row>
      <xdr:rowOff>161573</xdr:rowOff>
    </xdr:to>
    <xdr:cxnSp macro="">
      <xdr:nvCxnSpPr>
        <xdr:cNvPr id="108" name="Straight Connector 107">
          <a:extLst>
            <a:ext uri="{FF2B5EF4-FFF2-40B4-BE49-F238E27FC236}">
              <a16:creationId xmlns:a16="http://schemas.microsoft.com/office/drawing/2014/main" id="{B9BD2691-1474-4B21-9BE1-ED52E6175F60}"/>
            </a:ext>
          </a:extLst>
        </xdr:cNvPr>
        <xdr:cNvCxnSpPr/>
      </xdr:nvCxnSpPr>
      <xdr:spPr>
        <a:xfrm>
          <a:off x="16643553" y="6009923"/>
          <a:ext cx="5765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71627</xdr:colOff>
      <xdr:row>34</xdr:row>
      <xdr:rowOff>164113</xdr:rowOff>
    </xdr:from>
    <xdr:to>
      <xdr:col>25</xdr:col>
      <xdr:colOff>711707</xdr:colOff>
      <xdr:row>34</xdr:row>
      <xdr:rowOff>164113</xdr:rowOff>
    </xdr:to>
    <xdr:cxnSp macro="">
      <xdr:nvCxnSpPr>
        <xdr:cNvPr id="109" name="Straight Connector 108">
          <a:extLst>
            <a:ext uri="{FF2B5EF4-FFF2-40B4-BE49-F238E27FC236}">
              <a16:creationId xmlns:a16="http://schemas.microsoft.com/office/drawing/2014/main" id="{18B172BF-EE49-49A8-A006-DC93F987522A}"/>
            </a:ext>
          </a:extLst>
        </xdr:cNvPr>
        <xdr:cNvCxnSpPr/>
      </xdr:nvCxnSpPr>
      <xdr:spPr>
        <a:xfrm>
          <a:off x="15883127" y="6196613"/>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67513</xdr:colOff>
      <xdr:row>34</xdr:row>
      <xdr:rowOff>164113</xdr:rowOff>
    </xdr:from>
    <xdr:to>
      <xdr:col>26</xdr:col>
      <xdr:colOff>707593</xdr:colOff>
      <xdr:row>34</xdr:row>
      <xdr:rowOff>164113</xdr:rowOff>
    </xdr:to>
    <xdr:cxnSp macro="">
      <xdr:nvCxnSpPr>
        <xdr:cNvPr id="110" name="Straight Connector 109">
          <a:extLst>
            <a:ext uri="{FF2B5EF4-FFF2-40B4-BE49-F238E27FC236}">
              <a16:creationId xmlns:a16="http://schemas.microsoft.com/office/drawing/2014/main" id="{46ECE7C7-6965-4985-B5AE-81D63E83FE35}"/>
            </a:ext>
          </a:extLst>
        </xdr:cNvPr>
        <xdr:cNvCxnSpPr/>
      </xdr:nvCxnSpPr>
      <xdr:spPr>
        <a:xfrm>
          <a:off x="16641013" y="6196613"/>
          <a:ext cx="58293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67221</xdr:colOff>
      <xdr:row>41</xdr:row>
      <xdr:rowOff>164521</xdr:rowOff>
    </xdr:from>
    <xdr:to>
      <xdr:col>26</xdr:col>
      <xdr:colOff>707301</xdr:colOff>
      <xdr:row>41</xdr:row>
      <xdr:rowOff>164521</xdr:rowOff>
    </xdr:to>
    <xdr:cxnSp macro="">
      <xdr:nvCxnSpPr>
        <xdr:cNvPr id="111" name="Straight Connector 110">
          <a:extLst>
            <a:ext uri="{FF2B5EF4-FFF2-40B4-BE49-F238E27FC236}">
              <a16:creationId xmlns:a16="http://schemas.microsoft.com/office/drawing/2014/main" id="{5B6BD4D2-2E70-40C8-9281-F4635B560ED6}"/>
            </a:ext>
          </a:extLst>
        </xdr:cNvPr>
        <xdr:cNvCxnSpPr/>
      </xdr:nvCxnSpPr>
      <xdr:spPr>
        <a:xfrm>
          <a:off x="16640721" y="7346371"/>
          <a:ext cx="58293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67221</xdr:colOff>
      <xdr:row>43</xdr:row>
      <xdr:rowOff>165008</xdr:rowOff>
    </xdr:from>
    <xdr:to>
      <xdr:col>26</xdr:col>
      <xdr:colOff>707301</xdr:colOff>
      <xdr:row>43</xdr:row>
      <xdr:rowOff>165008</xdr:rowOff>
    </xdr:to>
    <xdr:cxnSp macro="">
      <xdr:nvCxnSpPr>
        <xdr:cNvPr id="112" name="Straight Connector 111">
          <a:extLst>
            <a:ext uri="{FF2B5EF4-FFF2-40B4-BE49-F238E27FC236}">
              <a16:creationId xmlns:a16="http://schemas.microsoft.com/office/drawing/2014/main" id="{69CA6741-4809-42E2-A8AA-469223BADB2B}"/>
            </a:ext>
          </a:extLst>
        </xdr:cNvPr>
        <xdr:cNvCxnSpPr/>
      </xdr:nvCxnSpPr>
      <xdr:spPr>
        <a:xfrm>
          <a:off x="16640721" y="7715158"/>
          <a:ext cx="58293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64183</xdr:colOff>
      <xdr:row>48</xdr:row>
      <xdr:rowOff>167497</xdr:rowOff>
    </xdr:from>
    <xdr:to>
      <xdr:col>22</xdr:col>
      <xdr:colOff>704263</xdr:colOff>
      <xdr:row>48</xdr:row>
      <xdr:rowOff>167497</xdr:rowOff>
    </xdr:to>
    <xdr:cxnSp macro="">
      <xdr:nvCxnSpPr>
        <xdr:cNvPr id="113" name="Straight Connector 112">
          <a:extLst>
            <a:ext uri="{FF2B5EF4-FFF2-40B4-BE49-F238E27FC236}">
              <a16:creationId xmlns:a16="http://schemas.microsoft.com/office/drawing/2014/main" id="{E9190567-DE75-45CE-B93D-528780FBEA8F}"/>
            </a:ext>
          </a:extLst>
        </xdr:cNvPr>
        <xdr:cNvCxnSpPr/>
      </xdr:nvCxnSpPr>
      <xdr:spPr>
        <a:xfrm>
          <a:off x="13589683" y="8638397"/>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606525</xdr:colOff>
      <xdr:row>46</xdr:row>
      <xdr:rowOff>139367</xdr:rowOff>
    </xdr:from>
    <xdr:to>
      <xdr:col>27</xdr:col>
      <xdr:colOff>0</xdr:colOff>
      <xdr:row>46</xdr:row>
      <xdr:rowOff>139367</xdr:rowOff>
    </xdr:to>
    <xdr:cxnSp macro="">
      <xdr:nvCxnSpPr>
        <xdr:cNvPr id="114" name="Straight Connector 113">
          <a:extLst>
            <a:ext uri="{FF2B5EF4-FFF2-40B4-BE49-F238E27FC236}">
              <a16:creationId xmlns:a16="http://schemas.microsoft.com/office/drawing/2014/main" id="{0ACE0187-C79C-4E8C-883D-677459D1737F}"/>
            </a:ext>
          </a:extLst>
        </xdr:cNvPr>
        <xdr:cNvCxnSpPr/>
      </xdr:nvCxnSpPr>
      <xdr:spPr>
        <a:xfrm>
          <a:off x="13522425" y="8241967"/>
          <a:ext cx="3698775"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61632</xdr:colOff>
      <xdr:row>48</xdr:row>
      <xdr:rowOff>167497</xdr:rowOff>
    </xdr:from>
    <xdr:to>
      <xdr:col>23</xdr:col>
      <xdr:colOff>701712</xdr:colOff>
      <xdr:row>48</xdr:row>
      <xdr:rowOff>167497</xdr:rowOff>
    </xdr:to>
    <xdr:cxnSp macro="">
      <xdr:nvCxnSpPr>
        <xdr:cNvPr id="115" name="Straight Connector 114">
          <a:extLst>
            <a:ext uri="{FF2B5EF4-FFF2-40B4-BE49-F238E27FC236}">
              <a16:creationId xmlns:a16="http://schemas.microsoft.com/office/drawing/2014/main" id="{AB10F73F-F1AC-498D-A183-A6073D192788}"/>
            </a:ext>
          </a:extLst>
        </xdr:cNvPr>
        <xdr:cNvCxnSpPr/>
      </xdr:nvCxnSpPr>
      <xdr:spPr>
        <a:xfrm>
          <a:off x="14349132" y="8638397"/>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24</xdr:col>
      <xdr:colOff>59079</xdr:colOff>
      <xdr:row>48</xdr:row>
      <xdr:rowOff>167497</xdr:rowOff>
    </xdr:from>
    <xdr:to>
      <xdr:col>24</xdr:col>
      <xdr:colOff>699159</xdr:colOff>
      <xdr:row>48</xdr:row>
      <xdr:rowOff>167497</xdr:rowOff>
    </xdr:to>
    <xdr:cxnSp macro="">
      <xdr:nvCxnSpPr>
        <xdr:cNvPr id="116" name="Straight Connector 115">
          <a:extLst>
            <a:ext uri="{FF2B5EF4-FFF2-40B4-BE49-F238E27FC236}">
              <a16:creationId xmlns:a16="http://schemas.microsoft.com/office/drawing/2014/main" id="{E97A7B05-F188-4979-85E2-30D01E733F2A}"/>
            </a:ext>
          </a:extLst>
        </xdr:cNvPr>
        <xdr:cNvCxnSpPr/>
      </xdr:nvCxnSpPr>
      <xdr:spPr>
        <a:xfrm>
          <a:off x="15108579" y="8638397"/>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68679</xdr:colOff>
      <xdr:row>48</xdr:row>
      <xdr:rowOff>167497</xdr:rowOff>
    </xdr:from>
    <xdr:to>
      <xdr:col>25</xdr:col>
      <xdr:colOff>708759</xdr:colOff>
      <xdr:row>48</xdr:row>
      <xdr:rowOff>167497</xdr:rowOff>
    </xdr:to>
    <xdr:cxnSp macro="">
      <xdr:nvCxnSpPr>
        <xdr:cNvPr id="117" name="Straight Connector 116">
          <a:extLst>
            <a:ext uri="{FF2B5EF4-FFF2-40B4-BE49-F238E27FC236}">
              <a16:creationId xmlns:a16="http://schemas.microsoft.com/office/drawing/2014/main" id="{D6662D80-9D75-4372-A80D-052E20BC76B9}"/>
            </a:ext>
          </a:extLst>
        </xdr:cNvPr>
        <xdr:cNvCxnSpPr/>
      </xdr:nvCxnSpPr>
      <xdr:spPr>
        <a:xfrm>
          <a:off x="15880179" y="8638397"/>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63090</xdr:colOff>
      <xdr:row>48</xdr:row>
      <xdr:rowOff>167497</xdr:rowOff>
    </xdr:from>
    <xdr:to>
      <xdr:col>26</xdr:col>
      <xdr:colOff>703170</xdr:colOff>
      <xdr:row>48</xdr:row>
      <xdr:rowOff>167497</xdr:rowOff>
    </xdr:to>
    <xdr:cxnSp macro="">
      <xdr:nvCxnSpPr>
        <xdr:cNvPr id="118" name="Straight Connector 117">
          <a:extLst>
            <a:ext uri="{FF2B5EF4-FFF2-40B4-BE49-F238E27FC236}">
              <a16:creationId xmlns:a16="http://schemas.microsoft.com/office/drawing/2014/main" id="{0E20364E-6818-484F-88BC-191730C7D5C6}"/>
            </a:ext>
          </a:extLst>
        </xdr:cNvPr>
        <xdr:cNvCxnSpPr/>
      </xdr:nvCxnSpPr>
      <xdr:spPr>
        <a:xfrm>
          <a:off x="16636590" y="8638397"/>
          <a:ext cx="58293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61274</xdr:colOff>
      <xdr:row>54</xdr:row>
      <xdr:rowOff>154333</xdr:rowOff>
    </xdr:from>
    <xdr:to>
      <xdr:col>23</xdr:col>
      <xdr:colOff>701354</xdr:colOff>
      <xdr:row>54</xdr:row>
      <xdr:rowOff>154333</xdr:rowOff>
    </xdr:to>
    <xdr:cxnSp macro="">
      <xdr:nvCxnSpPr>
        <xdr:cNvPr id="119" name="Straight Connector 118">
          <a:extLst>
            <a:ext uri="{FF2B5EF4-FFF2-40B4-BE49-F238E27FC236}">
              <a16:creationId xmlns:a16="http://schemas.microsoft.com/office/drawing/2014/main" id="{5E7177DB-F051-4709-A44A-094CE3FA473A}"/>
            </a:ext>
          </a:extLst>
        </xdr:cNvPr>
        <xdr:cNvCxnSpPr/>
      </xdr:nvCxnSpPr>
      <xdr:spPr>
        <a:xfrm>
          <a:off x="14348774" y="9577733"/>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24</xdr:col>
      <xdr:colOff>58721</xdr:colOff>
      <xdr:row>54</xdr:row>
      <xdr:rowOff>154333</xdr:rowOff>
    </xdr:from>
    <xdr:to>
      <xdr:col>24</xdr:col>
      <xdr:colOff>698801</xdr:colOff>
      <xdr:row>54</xdr:row>
      <xdr:rowOff>154333</xdr:rowOff>
    </xdr:to>
    <xdr:cxnSp macro="">
      <xdr:nvCxnSpPr>
        <xdr:cNvPr id="120" name="Straight Connector 119">
          <a:extLst>
            <a:ext uri="{FF2B5EF4-FFF2-40B4-BE49-F238E27FC236}">
              <a16:creationId xmlns:a16="http://schemas.microsoft.com/office/drawing/2014/main" id="{FEF38D93-799B-4AD2-9AA5-FADF337A936A}"/>
            </a:ext>
          </a:extLst>
        </xdr:cNvPr>
        <xdr:cNvCxnSpPr/>
      </xdr:nvCxnSpPr>
      <xdr:spPr>
        <a:xfrm>
          <a:off x="15108221" y="9577733"/>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14238</xdr:colOff>
      <xdr:row>57</xdr:row>
      <xdr:rowOff>155953</xdr:rowOff>
    </xdr:from>
    <xdr:to>
      <xdr:col>27</xdr:col>
      <xdr:colOff>0</xdr:colOff>
      <xdr:row>57</xdr:row>
      <xdr:rowOff>156614</xdr:rowOff>
    </xdr:to>
    <xdr:cxnSp macro="">
      <xdr:nvCxnSpPr>
        <xdr:cNvPr id="121" name="Straight Connector 120">
          <a:extLst>
            <a:ext uri="{FF2B5EF4-FFF2-40B4-BE49-F238E27FC236}">
              <a16:creationId xmlns:a16="http://schemas.microsoft.com/office/drawing/2014/main" id="{A2D65102-1F15-4EF8-BAC7-B7DDFB8AAA0B}"/>
            </a:ext>
          </a:extLst>
        </xdr:cNvPr>
        <xdr:cNvCxnSpPr/>
      </xdr:nvCxnSpPr>
      <xdr:spPr>
        <a:xfrm flipV="1">
          <a:off x="13539738" y="9998453"/>
          <a:ext cx="3681462" cy="661"/>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73838</xdr:colOff>
      <xdr:row>59</xdr:row>
      <xdr:rowOff>155229</xdr:rowOff>
    </xdr:from>
    <xdr:to>
      <xdr:col>23</xdr:col>
      <xdr:colOff>713918</xdr:colOff>
      <xdr:row>59</xdr:row>
      <xdr:rowOff>155229</xdr:rowOff>
    </xdr:to>
    <xdr:cxnSp macro="">
      <xdr:nvCxnSpPr>
        <xdr:cNvPr id="122" name="Straight Connector 121">
          <a:extLst>
            <a:ext uri="{FF2B5EF4-FFF2-40B4-BE49-F238E27FC236}">
              <a16:creationId xmlns:a16="http://schemas.microsoft.com/office/drawing/2014/main" id="{331618CB-CEAD-4A13-BEBB-11C266E93FFD}"/>
            </a:ext>
          </a:extLst>
        </xdr:cNvPr>
        <xdr:cNvCxnSpPr/>
      </xdr:nvCxnSpPr>
      <xdr:spPr>
        <a:xfrm>
          <a:off x="14361338" y="10372379"/>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24</xdr:col>
      <xdr:colOff>71285</xdr:colOff>
      <xdr:row>59</xdr:row>
      <xdr:rowOff>155229</xdr:rowOff>
    </xdr:from>
    <xdr:to>
      <xdr:col>24</xdr:col>
      <xdr:colOff>711365</xdr:colOff>
      <xdr:row>59</xdr:row>
      <xdr:rowOff>155229</xdr:rowOff>
    </xdr:to>
    <xdr:cxnSp macro="">
      <xdr:nvCxnSpPr>
        <xdr:cNvPr id="123" name="Straight Connector 122">
          <a:extLst>
            <a:ext uri="{FF2B5EF4-FFF2-40B4-BE49-F238E27FC236}">
              <a16:creationId xmlns:a16="http://schemas.microsoft.com/office/drawing/2014/main" id="{5B7C40A0-E41C-44FC-A171-D4BAFCEDAEFA}"/>
            </a:ext>
          </a:extLst>
        </xdr:cNvPr>
        <xdr:cNvCxnSpPr/>
      </xdr:nvCxnSpPr>
      <xdr:spPr>
        <a:xfrm>
          <a:off x="15120785" y="10372379"/>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80885</xdr:colOff>
      <xdr:row>59</xdr:row>
      <xdr:rowOff>155229</xdr:rowOff>
    </xdr:from>
    <xdr:to>
      <xdr:col>25</xdr:col>
      <xdr:colOff>720965</xdr:colOff>
      <xdr:row>59</xdr:row>
      <xdr:rowOff>155229</xdr:rowOff>
    </xdr:to>
    <xdr:cxnSp macro="">
      <xdr:nvCxnSpPr>
        <xdr:cNvPr id="124" name="Straight Connector 123">
          <a:extLst>
            <a:ext uri="{FF2B5EF4-FFF2-40B4-BE49-F238E27FC236}">
              <a16:creationId xmlns:a16="http://schemas.microsoft.com/office/drawing/2014/main" id="{9C70FF84-C243-47E0-88AA-809C6B2D6E42}"/>
            </a:ext>
          </a:extLst>
        </xdr:cNvPr>
        <xdr:cNvCxnSpPr/>
      </xdr:nvCxnSpPr>
      <xdr:spPr>
        <a:xfrm>
          <a:off x="15892385" y="10372379"/>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75296</xdr:colOff>
      <xdr:row>59</xdr:row>
      <xdr:rowOff>155229</xdr:rowOff>
    </xdr:from>
    <xdr:to>
      <xdr:col>26</xdr:col>
      <xdr:colOff>715376</xdr:colOff>
      <xdr:row>59</xdr:row>
      <xdr:rowOff>155229</xdr:rowOff>
    </xdr:to>
    <xdr:cxnSp macro="">
      <xdr:nvCxnSpPr>
        <xdr:cNvPr id="125" name="Straight Connector 124">
          <a:extLst>
            <a:ext uri="{FF2B5EF4-FFF2-40B4-BE49-F238E27FC236}">
              <a16:creationId xmlns:a16="http://schemas.microsoft.com/office/drawing/2014/main" id="{AFB13451-16CD-4E6A-A45F-CAE0E2F41F8E}"/>
            </a:ext>
          </a:extLst>
        </xdr:cNvPr>
        <xdr:cNvCxnSpPr/>
      </xdr:nvCxnSpPr>
      <xdr:spPr>
        <a:xfrm>
          <a:off x="16648796" y="10372379"/>
          <a:ext cx="57023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76885</xdr:colOff>
      <xdr:row>64</xdr:row>
      <xdr:rowOff>159393</xdr:rowOff>
    </xdr:from>
    <xdr:to>
      <xdr:col>23</xdr:col>
      <xdr:colOff>716965</xdr:colOff>
      <xdr:row>64</xdr:row>
      <xdr:rowOff>159393</xdr:rowOff>
    </xdr:to>
    <xdr:cxnSp macro="">
      <xdr:nvCxnSpPr>
        <xdr:cNvPr id="126" name="Straight Connector 125">
          <a:extLst>
            <a:ext uri="{FF2B5EF4-FFF2-40B4-BE49-F238E27FC236}">
              <a16:creationId xmlns:a16="http://schemas.microsoft.com/office/drawing/2014/main" id="{A4AFF273-8FE3-4C20-A6E4-98184FCE74EA}"/>
            </a:ext>
          </a:extLst>
        </xdr:cNvPr>
        <xdr:cNvCxnSpPr/>
      </xdr:nvCxnSpPr>
      <xdr:spPr>
        <a:xfrm>
          <a:off x="14364385" y="11303643"/>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24</xdr:col>
      <xdr:colOff>74332</xdr:colOff>
      <xdr:row>64</xdr:row>
      <xdr:rowOff>159393</xdr:rowOff>
    </xdr:from>
    <xdr:to>
      <xdr:col>24</xdr:col>
      <xdr:colOff>714412</xdr:colOff>
      <xdr:row>64</xdr:row>
      <xdr:rowOff>159393</xdr:rowOff>
    </xdr:to>
    <xdr:cxnSp macro="">
      <xdr:nvCxnSpPr>
        <xdr:cNvPr id="127" name="Straight Connector 126">
          <a:extLst>
            <a:ext uri="{FF2B5EF4-FFF2-40B4-BE49-F238E27FC236}">
              <a16:creationId xmlns:a16="http://schemas.microsoft.com/office/drawing/2014/main" id="{1B7C9546-755B-405C-AB4B-66B8F306E247}"/>
            </a:ext>
          </a:extLst>
        </xdr:cNvPr>
        <xdr:cNvCxnSpPr/>
      </xdr:nvCxnSpPr>
      <xdr:spPr>
        <a:xfrm>
          <a:off x="15123832" y="11303643"/>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83932</xdr:colOff>
      <xdr:row>64</xdr:row>
      <xdr:rowOff>159393</xdr:rowOff>
    </xdr:from>
    <xdr:to>
      <xdr:col>25</xdr:col>
      <xdr:colOff>724012</xdr:colOff>
      <xdr:row>64</xdr:row>
      <xdr:rowOff>159393</xdr:rowOff>
    </xdr:to>
    <xdr:cxnSp macro="">
      <xdr:nvCxnSpPr>
        <xdr:cNvPr id="128" name="Straight Connector 127">
          <a:extLst>
            <a:ext uri="{FF2B5EF4-FFF2-40B4-BE49-F238E27FC236}">
              <a16:creationId xmlns:a16="http://schemas.microsoft.com/office/drawing/2014/main" id="{C26AFEAB-BD67-40EB-B28F-F1F614D68562}"/>
            </a:ext>
          </a:extLst>
        </xdr:cNvPr>
        <xdr:cNvCxnSpPr/>
      </xdr:nvCxnSpPr>
      <xdr:spPr>
        <a:xfrm>
          <a:off x="15895432" y="11303643"/>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78343</xdr:colOff>
      <xdr:row>64</xdr:row>
      <xdr:rowOff>159393</xdr:rowOff>
    </xdr:from>
    <xdr:to>
      <xdr:col>26</xdr:col>
      <xdr:colOff>718423</xdr:colOff>
      <xdr:row>64</xdr:row>
      <xdr:rowOff>159393</xdr:rowOff>
    </xdr:to>
    <xdr:cxnSp macro="">
      <xdr:nvCxnSpPr>
        <xdr:cNvPr id="129" name="Straight Connector 128">
          <a:extLst>
            <a:ext uri="{FF2B5EF4-FFF2-40B4-BE49-F238E27FC236}">
              <a16:creationId xmlns:a16="http://schemas.microsoft.com/office/drawing/2014/main" id="{99A77E55-6226-4CBB-A1A9-1A53F632449B}"/>
            </a:ext>
          </a:extLst>
        </xdr:cNvPr>
        <xdr:cNvCxnSpPr/>
      </xdr:nvCxnSpPr>
      <xdr:spPr>
        <a:xfrm>
          <a:off x="16651843" y="11303643"/>
          <a:ext cx="57023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9139</xdr:colOff>
      <xdr:row>1</xdr:row>
      <xdr:rowOff>163342</xdr:rowOff>
    </xdr:from>
    <xdr:to>
      <xdr:col>26</xdr:col>
      <xdr:colOff>616530</xdr:colOff>
      <xdr:row>1</xdr:row>
      <xdr:rowOff>163434</xdr:rowOff>
    </xdr:to>
    <xdr:cxnSp macro="">
      <xdr:nvCxnSpPr>
        <xdr:cNvPr id="130" name="Straight Connector 129">
          <a:extLst>
            <a:ext uri="{FF2B5EF4-FFF2-40B4-BE49-F238E27FC236}">
              <a16:creationId xmlns:a16="http://schemas.microsoft.com/office/drawing/2014/main" id="{73CAE3C2-B92F-4F03-A220-2EE74E2C3610}"/>
            </a:ext>
          </a:extLst>
        </xdr:cNvPr>
        <xdr:cNvCxnSpPr/>
      </xdr:nvCxnSpPr>
      <xdr:spPr>
        <a:xfrm flipV="1">
          <a:off x="13534639" y="347492"/>
          <a:ext cx="3655391" cy="92"/>
        </a:xfrm>
        <a:prstGeom prst="line">
          <a:avLst/>
        </a:prstGeom>
        <a:ln w="12700">
          <a:solidFill>
            <a:schemeClr val="bg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81638</xdr:colOff>
      <xdr:row>11</xdr:row>
      <xdr:rowOff>169534</xdr:rowOff>
    </xdr:from>
    <xdr:to>
      <xdr:col>20</xdr:col>
      <xdr:colOff>585586</xdr:colOff>
      <xdr:row>11</xdr:row>
      <xdr:rowOff>170691</xdr:rowOff>
    </xdr:to>
    <xdr:cxnSp macro="">
      <xdr:nvCxnSpPr>
        <xdr:cNvPr id="131" name="Straight Connector 130">
          <a:extLst>
            <a:ext uri="{FF2B5EF4-FFF2-40B4-BE49-F238E27FC236}">
              <a16:creationId xmlns:a16="http://schemas.microsoft.com/office/drawing/2014/main" id="{204385C2-9E68-428E-BD40-1DD533C07523}"/>
            </a:ext>
          </a:extLst>
        </xdr:cNvPr>
        <xdr:cNvCxnSpPr/>
      </xdr:nvCxnSpPr>
      <xdr:spPr>
        <a:xfrm flipV="1">
          <a:off x="11778338" y="208088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81981</xdr:colOff>
      <xdr:row>16</xdr:row>
      <xdr:rowOff>154837</xdr:rowOff>
    </xdr:from>
    <xdr:to>
      <xdr:col>10</xdr:col>
      <xdr:colOff>585928</xdr:colOff>
      <xdr:row>16</xdr:row>
      <xdr:rowOff>155994</xdr:rowOff>
    </xdr:to>
    <xdr:cxnSp macro="">
      <xdr:nvCxnSpPr>
        <xdr:cNvPr id="132" name="Straight Connector 131">
          <a:extLst>
            <a:ext uri="{FF2B5EF4-FFF2-40B4-BE49-F238E27FC236}">
              <a16:creationId xmlns:a16="http://schemas.microsoft.com/office/drawing/2014/main" id="{8CB2200E-80A3-414B-A1F7-B640811A7979}"/>
            </a:ext>
          </a:extLst>
        </xdr:cNvPr>
        <xdr:cNvCxnSpPr/>
      </xdr:nvCxnSpPr>
      <xdr:spPr>
        <a:xfrm flipV="1">
          <a:off x="5682681" y="299328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84473</xdr:colOff>
      <xdr:row>16</xdr:row>
      <xdr:rowOff>154837</xdr:rowOff>
    </xdr:from>
    <xdr:to>
      <xdr:col>12</xdr:col>
      <xdr:colOff>588420</xdr:colOff>
      <xdr:row>16</xdr:row>
      <xdr:rowOff>155994</xdr:rowOff>
    </xdr:to>
    <xdr:cxnSp macro="">
      <xdr:nvCxnSpPr>
        <xdr:cNvPr id="133" name="Straight Connector 132">
          <a:extLst>
            <a:ext uri="{FF2B5EF4-FFF2-40B4-BE49-F238E27FC236}">
              <a16:creationId xmlns:a16="http://schemas.microsoft.com/office/drawing/2014/main" id="{88D4CC1D-A02D-4A45-A422-ECF6FE371B80}"/>
            </a:ext>
          </a:extLst>
        </xdr:cNvPr>
        <xdr:cNvCxnSpPr/>
      </xdr:nvCxnSpPr>
      <xdr:spPr>
        <a:xfrm flipV="1">
          <a:off x="6904373" y="299328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82797</xdr:colOff>
      <xdr:row>16</xdr:row>
      <xdr:rowOff>154837</xdr:rowOff>
    </xdr:from>
    <xdr:to>
      <xdr:col>14</xdr:col>
      <xdr:colOff>586744</xdr:colOff>
      <xdr:row>16</xdr:row>
      <xdr:rowOff>155994</xdr:rowOff>
    </xdr:to>
    <xdr:cxnSp macro="">
      <xdr:nvCxnSpPr>
        <xdr:cNvPr id="134" name="Straight Connector 133">
          <a:extLst>
            <a:ext uri="{FF2B5EF4-FFF2-40B4-BE49-F238E27FC236}">
              <a16:creationId xmlns:a16="http://schemas.microsoft.com/office/drawing/2014/main" id="{875EBD91-7E6A-4F22-BC3D-4557516B7979}"/>
            </a:ext>
          </a:extLst>
        </xdr:cNvPr>
        <xdr:cNvCxnSpPr/>
      </xdr:nvCxnSpPr>
      <xdr:spPr>
        <a:xfrm flipV="1">
          <a:off x="8121897" y="299328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92541</xdr:colOff>
      <xdr:row>16</xdr:row>
      <xdr:rowOff>154837</xdr:rowOff>
    </xdr:from>
    <xdr:to>
      <xdr:col>16</xdr:col>
      <xdr:colOff>596489</xdr:colOff>
      <xdr:row>16</xdr:row>
      <xdr:rowOff>155994</xdr:rowOff>
    </xdr:to>
    <xdr:cxnSp macro="">
      <xdr:nvCxnSpPr>
        <xdr:cNvPr id="135" name="Straight Connector 134">
          <a:extLst>
            <a:ext uri="{FF2B5EF4-FFF2-40B4-BE49-F238E27FC236}">
              <a16:creationId xmlns:a16="http://schemas.microsoft.com/office/drawing/2014/main" id="{35563B4E-9B1B-4F69-BFF4-4CC7DFD76158}"/>
            </a:ext>
          </a:extLst>
        </xdr:cNvPr>
        <xdr:cNvCxnSpPr/>
      </xdr:nvCxnSpPr>
      <xdr:spPr>
        <a:xfrm flipV="1">
          <a:off x="9350841" y="2993287"/>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81638</xdr:colOff>
      <xdr:row>16</xdr:row>
      <xdr:rowOff>154837</xdr:rowOff>
    </xdr:from>
    <xdr:to>
      <xdr:col>18</xdr:col>
      <xdr:colOff>585586</xdr:colOff>
      <xdr:row>16</xdr:row>
      <xdr:rowOff>155994</xdr:rowOff>
    </xdr:to>
    <xdr:cxnSp macro="">
      <xdr:nvCxnSpPr>
        <xdr:cNvPr id="136" name="Straight Connector 135">
          <a:extLst>
            <a:ext uri="{FF2B5EF4-FFF2-40B4-BE49-F238E27FC236}">
              <a16:creationId xmlns:a16="http://schemas.microsoft.com/office/drawing/2014/main" id="{D945D565-EF47-4926-A712-34D89C5252DA}"/>
            </a:ext>
          </a:extLst>
        </xdr:cNvPr>
        <xdr:cNvCxnSpPr/>
      </xdr:nvCxnSpPr>
      <xdr:spPr>
        <a:xfrm flipV="1">
          <a:off x="10559138" y="2993287"/>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81638</xdr:colOff>
      <xdr:row>11</xdr:row>
      <xdr:rowOff>169534</xdr:rowOff>
    </xdr:from>
    <xdr:to>
      <xdr:col>20</xdr:col>
      <xdr:colOff>585586</xdr:colOff>
      <xdr:row>11</xdr:row>
      <xdr:rowOff>170691</xdr:rowOff>
    </xdr:to>
    <xdr:cxnSp macro="">
      <xdr:nvCxnSpPr>
        <xdr:cNvPr id="137" name="Straight Connector 136">
          <a:extLst>
            <a:ext uri="{FF2B5EF4-FFF2-40B4-BE49-F238E27FC236}">
              <a16:creationId xmlns:a16="http://schemas.microsoft.com/office/drawing/2014/main" id="{9F2A30FA-F4BE-4159-8308-2C3C1F1084E7}"/>
            </a:ext>
          </a:extLst>
        </xdr:cNvPr>
        <xdr:cNvCxnSpPr/>
      </xdr:nvCxnSpPr>
      <xdr:spPr>
        <a:xfrm flipV="1">
          <a:off x="11778338" y="208088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81638</xdr:colOff>
      <xdr:row>13</xdr:row>
      <xdr:rowOff>154837</xdr:rowOff>
    </xdr:from>
    <xdr:to>
      <xdr:col>20</xdr:col>
      <xdr:colOff>585586</xdr:colOff>
      <xdr:row>13</xdr:row>
      <xdr:rowOff>155994</xdr:rowOff>
    </xdr:to>
    <xdr:cxnSp macro="">
      <xdr:nvCxnSpPr>
        <xdr:cNvPr id="138" name="Straight Connector 137">
          <a:extLst>
            <a:ext uri="{FF2B5EF4-FFF2-40B4-BE49-F238E27FC236}">
              <a16:creationId xmlns:a16="http://schemas.microsoft.com/office/drawing/2014/main" id="{9116BE1D-4945-46CD-AD9C-37A2FB613F9D}"/>
            </a:ext>
          </a:extLst>
        </xdr:cNvPr>
        <xdr:cNvCxnSpPr/>
      </xdr:nvCxnSpPr>
      <xdr:spPr>
        <a:xfrm flipV="1">
          <a:off x="11778338" y="2440837"/>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81638</xdr:colOff>
      <xdr:row>16</xdr:row>
      <xdr:rowOff>158334</xdr:rowOff>
    </xdr:from>
    <xdr:to>
      <xdr:col>20</xdr:col>
      <xdr:colOff>585586</xdr:colOff>
      <xdr:row>16</xdr:row>
      <xdr:rowOff>159491</xdr:rowOff>
    </xdr:to>
    <xdr:cxnSp macro="">
      <xdr:nvCxnSpPr>
        <xdr:cNvPr id="139" name="Straight Connector 138">
          <a:extLst>
            <a:ext uri="{FF2B5EF4-FFF2-40B4-BE49-F238E27FC236}">
              <a16:creationId xmlns:a16="http://schemas.microsoft.com/office/drawing/2014/main" id="{E7C3D2D8-99FF-4D6E-9CB8-DC482D26E1E1}"/>
            </a:ext>
          </a:extLst>
        </xdr:cNvPr>
        <xdr:cNvCxnSpPr/>
      </xdr:nvCxnSpPr>
      <xdr:spPr>
        <a:xfrm flipV="1">
          <a:off x="11778338" y="299678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81638</xdr:colOff>
      <xdr:row>18</xdr:row>
      <xdr:rowOff>166215</xdr:rowOff>
    </xdr:from>
    <xdr:to>
      <xdr:col>20</xdr:col>
      <xdr:colOff>585586</xdr:colOff>
      <xdr:row>18</xdr:row>
      <xdr:rowOff>167372</xdr:rowOff>
    </xdr:to>
    <xdr:cxnSp macro="">
      <xdr:nvCxnSpPr>
        <xdr:cNvPr id="140" name="Straight Connector 139">
          <a:extLst>
            <a:ext uri="{FF2B5EF4-FFF2-40B4-BE49-F238E27FC236}">
              <a16:creationId xmlns:a16="http://schemas.microsoft.com/office/drawing/2014/main" id="{63D96E38-B122-4965-B72E-7927EA834315}"/>
            </a:ext>
          </a:extLst>
        </xdr:cNvPr>
        <xdr:cNvCxnSpPr/>
      </xdr:nvCxnSpPr>
      <xdr:spPr>
        <a:xfrm flipV="1">
          <a:off x="11778338" y="3372965"/>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96661</xdr:colOff>
      <xdr:row>23</xdr:row>
      <xdr:rowOff>152197</xdr:rowOff>
    </xdr:from>
    <xdr:to>
      <xdr:col>20</xdr:col>
      <xdr:colOff>600563</xdr:colOff>
      <xdr:row>23</xdr:row>
      <xdr:rowOff>153354</xdr:rowOff>
    </xdr:to>
    <xdr:cxnSp macro="">
      <xdr:nvCxnSpPr>
        <xdr:cNvPr id="141" name="Straight Connector 140">
          <a:extLst>
            <a:ext uri="{FF2B5EF4-FFF2-40B4-BE49-F238E27FC236}">
              <a16:creationId xmlns:a16="http://schemas.microsoft.com/office/drawing/2014/main" id="{1ECBDD42-5896-4E7C-BA16-4B13637638C5}"/>
            </a:ext>
          </a:extLst>
        </xdr:cNvPr>
        <xdr:cNvCxnSpPr/>
      </xdr:nvCxnSpPr>
      <xdr:spPr>
        <a:xfrm flipV="1">
          <a:off x="11793361" y="4146347"/>
          <a:ext cx="1113502"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81638</xdr:colOff>
      <xdr:row>24</xdr:row>
      <xdr:rowOff>191437</xdr:rowOff>
    </xdr:from>
    <xdr:to>
      <xdr:col>20</xdr:col>
      <xdr:colOff>585586</xdr:colOff>
      <xdr:row>24</xdr:row>
      <xdr:rowOff>192594</xdr:rowOff>
    </xdr:to>
    <xdr:cxnSp macro="">
      <xdr:nvCxnSpPr>
        <xdr:cNvPr id="142" name="Straight Connector 141">
          <a:extLst>
            <a:ext uri="{FF2B5EF4-FFF2-40B4-BE49-F238E27FC236}">
              <a16:creationId xmlns:a16="http://schemas.microsoft.com/office/drawing/2014/main" id="{792826A8-D2D5-4264-A425-4C6CFBCA9A6F}"/>
            </a:ext>
          </a:extLst>
        </xdr:cNvPr>
        <xdr:cNvCxnSpPr/>
      </xdr:nvCxnSpPr>
      <xdr:spPr>
        <a:xfrm flipV="1">
          <a:off x="11778338" y="4363387"/>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81638</xdr:colOff>
      <xdr:row>25</xdr:row>
      <xdr:rowOff>5545</xdr:rowOff>
    </xdr:from>
    <xdr:to>
      <xdr:col>20</xdr:col>
      <xdr:colOff>585586</xdr:colOff>
      <xdr:row>25</xdr:row>
      <xdr:rowOff>6702</xdr:rowOff>
    </xdr:to>
    <xdr:cxnSp macro="">
      <xdr:nvCxnSpPr>
        <xdr:cNvPr id="143" name="Straight Connector 142">
          <a:extLst>
            <a:ext uri="{FF2B5EF4-FFF2-40B4-BE49-F238E27FC236}">
              <a16:creationId xmlns:a16="http://schemas.microsoft.com/office/drawing/2014/main" id="{E027A291-C0DF-4EC4-BC53-488351A117BC}"/>
            </a:ext>
          </a:extLst>
        </xdr:cNvPr>
        <xdr:cNvCxnSpPr/>
      </xdr:nvCxnSpPr>
      <xdr:spPr>
        <a:xfrm flipV="1">
          <a:off x="11778338" y="4367995"/>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76561</xdr:colOff>
      <xdr:row>33</xdr:row>
      <xdr:rowOff>162327</xdr:rowOff>
    </xdr:from>
    <xdr:to>
      <xdr:col>20</xdr:col>
      <xdr:colOff>580463</xdr:colOff>
      <xdr:row>33</xdr:row>
      <xdr:rowOff>163484</xdr:rowOff>
    </xdr:to>
    <xdr:cxnSp macro="">
      <xdr:nvCxnSpPr>
        <xdr:cNvPr id="144" name="Straight Connector 143">
          <a:extLst>
            <a:ext uri="{FF2B5EF4-FFF2-40B4-BE49-F238E27FC236}">
              <a16:creationId xmlns:a16="http://schemas.microsoft.com/office/drawing/2014/main" id="{AFF15D34-64B9-4112-9754-A123D9E30567}"/>
            </a:ext>
          </a:extLst>
        </xdr:cNvPr>
        <xdr:cNvCxnSpPr/>
      </xdr:nvCxnSpPr>
      <xdr:spPr>
        <a:xfrm flipV="1">
          <a:off x="11773261" y="6010677"/>
          <a:ext cx="1113502"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76561</xdr:colOff>
      <xdr:row>40</xdr:row>
      <xdr:rowOff>159727</xdr:rowOff>
    </xdr:from>
    <xdr:to>
      <xdr:col>20</xdr:col>
      <xdr:colOff>580463</xdr:colOff>
      <xdr:row>40</xdr:row>
      <xdr:rowOff>160884</xdr:rowOff>
    </xdr:to>
    <xdr:cxnSp macro="">
      <xdr:nvCxnSpPr>
        <xdr:cNvPr id="145" name="Straight Connector 144">
          <a:extLst>
            <a:ext uri="{FF2B5EF4-FFF2-40B4-BE49-F238E27FC236}">
              <a16:creationId xmlns:a16="http://schemas.microsoft.com/office/drawing/2014/main" id="{77EDFCC6-D605-4CD2-9972-109F083A81B0}"/>
            </a:ext>
          </a:extLst>
        </xdr:cNvPr>
        <xdr:cNvCxnSpPr/>
      </xdr:nvCxnSpPr>
      <xdr:spPr>
        <a:xfrm flipV="1">
          <a:off x="11773261" y="7157427"/>
          <a:ext cx="1113502"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57761</xdr:colOff>
      <xdr:row>44</xdr:row>
      <xdr:rowOff>162046</xdr:rowOff>
    </xdr:from>
    <xdr:to>
      <xdr:col>20</xdr:col>
      <xdr:colOff>561663</xdr:colOff>
      <xdr:row>44</xdr:row>
      <xdr:rowOff>163364</xdr:rowOff>
    </xdr:to>
    <xdr:cxnSp macro="">
      <xdr:nvCxnSpPr>
        <xdr:cNvPr id="146" name="Straight Connector 145">
          <a:extLst>
            <a:ext uri="{FF2B5EF4-FFF2-40B4-BE49-F238E27FC236}">
              <a16:creationId xmlns:a16="http://schemas.microsoft.com/office/drawing/2014/main" id="{331818F0-D7C1-41EC-8BD2-F61C12294ED8}"/>
            </a:ext>
          </a:extLst>
        </xdr:cNvPr>
        <xdr:cNvCxnSpPr/>
      </xdr:nvCxnSpPr>
      <xdr:spPr>
        <a:xfrm flipV="1">
          <a:off x="11754461" y="7896346"/>
          <a:ext cx="1113502"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57761</xdr:colOff>
      <xdr:row>53</xdr:row>
      <xdr:rowOff>159446</xdr:rowOff>
    </xdr:from>
    <xdr:to>
      <xdr:col>20</xdr:col>
      <xdr:colOff>561663</xdr:colOff>
      <xdr:row>53</xdr:row>
      <xdr:rowOff>160764</xdr:rowOff>
    </xdr:to>
    <xdr:cxnSp macro="">
      <xdr:nvCxnSpPr>
        <xdr:cNvPr id="147" name="Straight Connector 146">
          <a:extLst>
            <a:ext uri="{FF2B5EF4-FFF2-40B4-BE49-F238E27FC236}">
              <a16:creationId xmlns:a16="http://schemas.microsoft.com/office/drawing/2014/main" id="{1A8EC63F-ED54-47FD-ACEA-3C5E3B05B18B}"/>
            </a:ext>
          </a:extLst>
        </xdr:cNvPr>
        <xdr:cNvCxnSpPr/>
      </xdr:nvCxnSpPr>
      <xdr:spPr>
        <a:xfrm flipV="1">
          <a:off x="11754461" y="9398696"/>
          <a:ext cx="1113502"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57761</xdr:colOff>
      <xdr:row>54</xdr:row>
      <xdr:rowOff>161846</xdr:rowOff>
    </xdr:from>
    <xdr:to>
      <xdr:col>20</xdr:col>
      <xdr:colOff>561663</xdr:colOff>
      <xdr:row>54</xdr:row>
      <xdr:rowOff>163164</xdr:rowOff>
    </xdr:to>
    <xdr:cxnSp macro="">
      <xdr:nvCxnSpPr>
        <xdr:cNvPr id="148" name="Straight Connector 147">
          <a:extLst>
            <a:ext uri="{FF2B5EF4-FFF2-40B4-BE49-F238E27FC236}">
              <a16:creationId xmlns:a16="http://schemas.microsoft.com/office/drawing/2014/main" id="{47969070-496B-4D8E-8EAD-B7DF250178B9}"/>
            </a:ext>
          </a:extLst>
        </xdr:cNvPr>
        <xdr:cNvCxnSpPr/>
      </xdr:nvCxnSpPr>
      <xdr:spPr>
        <a:xfrm flipV="1">
          <a:off x="11754461" y="9585246"/>
          <a:ext cx="1113502"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57761</xdr:colOff>
      <xdr:row>55</xdr:row>
      <xdr:rowOff>4246</xdr:rowOff>
    </xdr:from>
    <xdr:to>
      <xdr:col>20</xdr:col>
      <xdr:colOff>561663</xdr:colOff>
      <xdr:row>55</xdr:row>
      <xdr:rowOff>5564</xdr:rowOff>
    </xdr:to>
    <xdr:cxnSp macro="">
      <xdr:nvCxnSpPr>
        <xdr:cNvPr id="149" name="Straight Connector 148">
          <a:extLst>
            <a:ext uri="{FF2B5EF4-FFF2-40B4-BE49-F238E27FC236}">
              <a16:creationId xmlns:a16="http://schemas.microsoft.com/office/drawing/2014/main" id="{DBF17E2B-F2D2-4FCA-9185-6D43406CBEDF}"/>
            </a:ext>
          </a:extLst>
        </xdr:cNvPr>
        <xdr:cNvCxnSpPr/>
      </xdr:nvCxnSpPr>
      <xdr:spPr>
        <a:xfrm flipV="1">
          <a:off x="11754461" y="9611796"/>
          <a:ext cx="1113502"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81638</xdr:colOff>
      <xdr:row>16</xdr:row>
      <xdr:rowOff>154837</xdr:rowOff>
    </xdr:from>
    <xdr:to>
      <xdr:col>20</xdr:col>
      <xdr:colOff>585586</xdr:colOff>
      <xdr:row>16</xdr:row>
      <xdr:rowOff>155994</xdr:rowOff>
    </xdr:to>
    <xdr:cxnSp macro="">
      <xdr:nvCxnSpPr>
        <xdr:cNvPr id="150" name="Straight Connector 149">
          <a:extLst>
            <a:ext uri="{FF2B5EF4-FFF2-40B4-BE49-F238E27FC236}">
              <a16:creationId xmlns:a16="http://schemas.microsoft.com/office/drawing/2014/main" id="{88B2D8B9-55B5-4354-B826-C60C9E246EFE}"/>
            </a:ext>
          </a:extLst>
        </xdr:cNvPr>
        <xdr:cNvCxnSpPr/>
      </xdr:nvCxnSpPr>
      <xdr:spPr>
        <a:xfrm flipV="1">
          <a:off x="11778338" y="2993287"/>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81981</xdr:colOff>
      <xdr:row>24</xdr:row>
      <xdr:rowOff>191437</xdr:rowOff>
    </xdr:from>
    <xdr:to>
      <xdr:col>12</xdr:col>
      <xdr:colOff>585928</xdr:colOff>
      <xdr:row>24</xdr:row>
      <xdr:rowOff>192594</xdr:rowOff>
    </xdr:to>
    <xdr:cxnSp macro="">
      <xdr:nvCxnSpPr>
        <xdr:cNvPr id="151" name="Straight Connector 150">
          <a:extLst>
            <a:ext uri="{FF2B5EF4-FFF2-40B4-BE49-F238E27FC236}">
              <a16:creationId xmlns:a16="http://schemas.microsoft.com/office/drawing/2014/main" id="{00308B47-C9C9-426F-9393-52A36841CCCF}"/>
            </a:ext>
          </a:extLst>
        </xdr:cNvPr>
        <xdr:cNvCxnSpPr/>
      </xdr:nvCxnSpPr>
      <xdr:spPr>
        <a:xfrm flipV="1">
          <a:off x="6901881" y="436338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81981</xdr:colOff>
      <xdr:row>25</xdr:row>
      <xdr:rowOff>5545</xdr:rowOff>
    </xdr:from>
    <xdr:to>
      <xdr:col>12</xdr:col>
      <xdr:colOff>585928</xdr:colOff>
      <xdr:row>25</xdr:row>
      <xdr:rowOff>6702</xdr:rowOff>
    </xdr:to>
    <xdr:cxnSp macro="">
      <xdr:nvCxnSpPr>
        <xdr:cNvPr id="152" name="Straight Connector 151">
          <a:extLst>
            <a:ext uri="{FF2B5EF4-FFF2-40B4-BE49-F238E27FC236}">
              <a16:creationId xmlns:a16="http://schemas.microsoft.com/office/drawing/2014/main" id="{42D97C78-0B95-40D7-85B9-C5412060A8FB}"/>
            </a:ext>
          </a:extLst>
        </xdr:cNvPr>
        <xdr:cNvCxnSpPr/>
      </xdr:nvCxnSpPr>
      <xdr:spPr>
        <a:xfrm flipV="1">
          <a:off x="6901881" y="436799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81981</xdr:colOff>
      <xdr:row>24</xdr:row>
      <xdr:rowOff>191437</xdr:rowOff>
    </xdr:from>
    <xdr:to>
      <xdr:col>14</xdr:col>
      <xdr:colOff>585928</xdr:colOff>
      <xdr:row>24</xdr:row>
      <xdr:rowOff>192594</xdr:rowOff>
    </xdr:to>
    <xdr:cxnSp macro="">
      <xdr:nvCxnSpPr>
        <xdr:cNvPr id="153" name="Straight Connector 152">
          <a:extLst>
            <a:ext uri="{FF2B5EF4-FFF2-40B4-BE49-F238E27FC236}">
              <a16:creationId xmlns:a16="http://schemas.microsoft.com/office/drawing/2014/main" id="{4573B65C-1A28-4307-A543-30945FE48671}"/>
            </a:ext>
          </a:extLst>
        </xdr:cNvPr>
        <xdr:cNvCxnSpPr/>
      </xdr:nvCxnSpPr>
      <xdr:spPr>
        <a:xfrm flipV="1">
          <a:off x="8121081" y="436338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81981</xdr:colOff>
      <xdr:row>25</xdr:row>
      <xdr:rowOff>5545</xdr:rowOff>
    </xdr:from>
    <xdr:to>
      <xdr:col>14</xdr:col>
      <xdr:colOff>585928</xdr:colOff>
      <xdr:row>25</xdr:row>
      <xdr:rowOff>6702</xdr:rowOff>
    </xdr:to>
    <xdr:cxnSp macro="">
      <xdr:nvCxnSpPr>
        <xdr:cNvPr id="154" name="Straight Connector 153">
          <a:extLst>
            <a:ext uri="{FF2B5EF4-FFF2-40B4-BE49-F238E27FC236}">
              <a16:creationId xmlns:a16="http://schemas.microsoft.com/office/drawing/2014/main" id="{DDFC9E75-5E6B-47BC-8ACE-85ACA7E2E798}"/>
            </a:ext>
          </a:extLst>
        </xdr:cNvPr>
        <xdr:cNvCxnSpPr/>
      </xdr:nvCxnSpPr>
      <xdr:spPr>
        <a:xfrm flipV="1">
          <a:off x="8121081" y="436799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81981</xdr:colOff>
      <xdr:row>24</xdr:row>
      <xdr:rowOff>191437</xdr:rowOff>
    </xdr:from>
    <xdr:to>
      <xdr:col>16</xdr:col>
      <xdr:colOff>585928</xdr:colOff>
      <xdr:row>24</xdr:row>
      <xdr:rowOff>192594</xdr:rowOff>
    </xdr:to>
    <xdr:cxnSp macro="">
      <xdr:nvCxnSpPr>
        <xdr:cNvPr id="155" name="Straight Connector 154">
          <a:extLst>
            <a:ext uri="{FF2B5EF4-FFF2-40B4-BE49-F238E27FC236}">
              <a16:creationId xmlns:a16="http://schemas.microsoft.com/office/drawing/2014/main" id="{3F07DF90-5AD6-4C34-BC4C-BDBD524F692C}"/>
            </a:ext>
          </a:extLst>
        </xdr:cNvPr>
        <xdr:cNvCxnSpPr/>
      </xdr:nvCxnSpPr>
      <xdr:spPr>
        <a:xfrm flipV="1">
          <a:off x="9340281" y="436338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81981</xdr:colOff>
      <xdr:row>25</xdr:row>
      <xdr:rowOff>5545</xdr:rowOff>
    </xdr:from>
    <xdr:to>
      <xdr:col>16</xdr:col>
      <xdr:colOff>585928</xdr:colOff>
      <xdr:row>25</xdr:row>
      <xdr:rowOff>6702</xdr:rowOff>
    </xdr:to>
    <xdr:cxnSp macro="">
      <xdr:nvCxnSpPr>
        <xdr:cNvPr id="156" name="Straight Connector 155">
          <a:extLst>
            <a:ext uri="{FF2B5EF4-FFF2-40B4-BE49-F238E27FC236}">
              <a16:creationId xmlns:a16="http://schemas.microsoft.com/office/drawing/2014/main" id="{405ACF92-EBFD-4019-9D63-5E654EC71641}"/>
            </a:ext>
          </a:extLst>
        </xdr:cNvPr>
        <xdr:cNvCxnSpPr/>
      </xdr:nvCxnSpPr>
      <xdr:spPr>
        <a:xfrm flipV="1">
          <a:off x="9340281" y="436799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81981</xdr:colOff>
      <xdr:row>24</xdr:row>
      <xdr:rowOff>191437</xdr:rowOff>
    </xdr:from>
    <xdr:to>
      <xdr:col>18</xdr:col>
      <xdr:colOff>585928</xdr:colOff>
      <xdr:row>24</xdr:row>
      <xdr:rowOff>192594</xdr:rowOff>
    </xdr:to>
    <xdr:cxnSp macro="">
      <xdr:nvCxnSpPr>
        <xdr:cNvPr id="157" name="Straight Connector 156">
          <a:extLst>
            <a:ext uri="{FF2B5EF4-FFF2-40B4-BE49-F238E27FC236}">
              <a16:creationId xmlns:a16="http://schemas.microsoft.com/office/drawing/2014/main" id="{F18EC318-ED34-4A70-BC85-175A92AF5879}"/>
            </a:ext>
          </a:extLst>
        </xdr:cNvPr>
        <xdr:cNvCxnSpPr/>
      </xdr:nvCxnSpPr>
      <xdr:spPr>
        <a:xfrm flipV="1">
          <a:off x="10559481" y="436338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81981</xdr:colOff>
      <xdr:row>25</xdr:row>
      <xdr:rowOff>5545</xdr:rowOff>
    </xdr:from>
    <xdr:to>
      <xdr:col>18</xdr:col>
      <xdr:colOff>585928</xdr:colOff>
      <xdr:row>25</xdr:row>
      <xdr:rowOff>6702</xdr:rowOff>
    </xdr:to>
    <xdr:cxnSp macro="">
      <xdr:nvCxnSpPr>
        <xdr:cNvPr id="158" name="Straight Connector 157">
          <a:extLst>
            <a:ext uri="{FF2B5EF4-FFF2-40B4-BE49-F238E27FC236}">
              <a16:creationId xmlns:a16="http://schemas.microsoft.com/office/drawing/2014/main" id="{28A46257-0745-4D84-B432-F709EB1BC49B}"/>
            </a:ext>
          </a:extLst>
        </xdr:cNvPr>
        <xdr:cNvCxnSpPr/>
      </xdr:nvCxnSpPr>
      <xdr:spPr>
        <a:xfrm flipV="1">
          <a:off x="10559481" y="436799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81981</xdr:colOff>
      <xdr:row>24</xdr:row>
      <xdr:rowOff>191437</xdr:rowOff>
    </xdr:from>
    <xdr:to>
      <xdr:col>20</xdr:col>
      <xdr:colOff>585928</xdr:colOff>
      <xdr:row>24</xdr:row>
      <xdr:rowOff>192594</xdr:rowOff>
    </xdr:to>
    <xdr:cxnSp macro="">
      <xdr:nvCxnSpPr>
        <xdr:cNvPr id="159" name="Straight Connector 158">
          <a:extLst>
            <a:ext uri="{FF2B5EF4-FFF2-40B4-BE49-F238E27FC236}">
              <a16:creationId xmlns:a16="http://schemas.microsoft.com/office/drawing/2014/main" id="{95314CD5-2A66-4B30-AF54-4FD2E61D9CCB}"/>
            </a:ext>
          </a:extLst>
        </xdr:cNvPr>
        <xdr:cNvCxnSpPr/>
      </xdr:nvCxnSpPr>
      <xdr:spPr>
        <a:xfrm flipV="1">
          <a:off x="11778681" y="436338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81981</xdr:colOff>
      <xdr:row>25</xdr:row>
      <xdr:rowOff>5545</xdr:rowOff>
    </xdr:from>
    <xdr:to>
      <xdr:col>20</xdr:col>
      <xdr:colOff>585928</xdr:colOff>
      <xdr:row>25</xdr:row>
      <xdr:rowOff>6702</xdr:rowOff>
    </xdr:to>
    <xdr:cxnSp macro="">
      <xdr:nvCxnSpPr>
        <xdr:cNvPr id="160" name="Straight Connector 159">
          <a:extLst>
            <a:ext uri="{FF2B5EF4-FFF2-40B4-BE49-F238E27FC236}">
              <a16:creationId xmlns:a16="http://schemas.microsoft.com/office/drawing/2014/main" id="{C66F65A1-AA0B-4FA2-8C33-3F8F7F2C2A91}"/>
            </a:ext>
          </a:extLst>
        </xdr:cNvPr>
        <xdr:cNvCxnSpPr/>
      </xdr:nvCxnSpPr>
      <xdr:spPr>
        <a:xfrm flipV="1">
          <a:off x="11778681" y="436799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81981</xdr:colOff>
      <xdr:row>27</xdr:row>
      <xdr:rowOff>191437</xdr:rowOff>
    </xdr:from>
    <xdr:to>
      <xdr:col>10</xdr:col>
      <xdr:colOff>585928</xdr:colOff>
      <xdr:row>27</xdr:row>
      <xdr:rowOff>192594</xdr:rowOff>
    </xdr:to>
    <xdr:cxnSp macro="">
      <xdr:nvCxnSpPr>
        <xdr:cNvPr id="161" name="Straight Connector 160">
          <a:extLst>
            <a:ext uri="{FF2B5EF4-FFF2-40B4-BE49-F238E27FC236}">
              <a16:creationId xmlns:a16="http://schemas.microsoft.com/office/drawing/2014/main" id="{3A83C16D-5A9C-4AA2-B367-35B7B01FAA04}"/>
            </a:ext>
          </a:extLst>
        </xdr:cNvPr>
        <xdr:cNvCxnSpPr/>
      </xdr:nvCxnSpPr>
      <xdr:spPr>
        <a:xfrm flipV="1">
          <a:off x="5682681" y="491583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81981</xdr:colOff>
      <xdr:row>28</xdr:row>
      <xdr:rowOff>5545</xdr:rowOff>
    </xdr:from>
    <xdr:to>
      <xdr:col>10</xdr:col>
      <xdr:colOff>585928</xdr:colOff>
      <xdr:row>28</xdr:row>
      <xdr:rowOff>6702</xdr:rowOff>
    </xdr:to>
    <xdr:cxnSp macro="">
      <xdr:nvCxnSpPr>
        <xdr:cNvPr id="162" name="Straight Connector 161">
          <a:extLst>
            <a:ext uri="{FF2B5EF4-FFF2-40B4-BE49-F238E27FC236}">
              <a16:creationId xmlns:a16="http://schemas.microsoft.com/office/drawing/2014/main" id="{D620D689-C75C-419A-B1A5-7AFA59B13925}"/>
            </a:ext>
          </a:extLst>
        </xdr:cNvPr>
        <xdr:cNvCxnSpPr/>
      </xdr:nvCxnSpPr>
      <xdr:spPr>
        <a:xfrm flipV="1">
          <a:off x="5682681" y="492044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81981</xdr:colOff>
      <xdr:row>27</xdr:row>
      <xdr:rowOff>191437</xdr:rowOff>
    </xdr:from>
    <xdr:to>
      <xdr:col>12</xdr:col>
      <xdr:colOff>585928</xdr:colOff>
      <xdr:row>27</xdr:row>
      <xdr:rowOff>192594</xdr:rowOff>
    </xdr:to>
    <xdr:cxnSp macro="">
      <xdr:nvCxnSpPr>
        <xdr:cNvPr id="163" name="Straight Connector 162">
          <a:extLst>
            <a:ext uri="{FF2B5EF4-FFF2-40B4-BE49-F238E27FC236}">
              <a16:creationId xmlns:a16="http://schemas.microsoft.com/office/drawing/2014/main" id="{FB2C04B0-86EE-46E8-A801-906CCE85E25C}"/>
            </a:ext>
          </a:extLst>
        </xdr:cNvPr>
        <xdr:cNvCxnSpPr/>
      </xdr:nvCxnSpPr>
      <xdr:spPr>
        <a:xfrm flipV="1">
          <a:off x="6901881" y="491583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81981</xdr:colOff>
      <xdr:row>28</xdr:row>
      <xdr:rowOff>5545</xdr:rowOff>
    </xdr:from>
    <xdr:to>
      <xdr:col>12</xdr:col>
      <xdr:colOff>585928</xdr:colOff>
      <xdr:row>28</xdr:row>
      <xdr:rowOff>6702</xdr:rowOff>
    </xdr:to>
    <xdr:cxnSp macro="">
      <xdr:nvCxnSpPr>
        <xdr:cNvPr id="164" name="Straight Connector 163">
          <a:extLst>
            <a:ext uri="{FF2B5EF4-FFF2-40B4-BE49-F238E27FC236}">
              <a16:creationId xmlns:a16="http://schemas.microsoft.com/office/drawing/2014/main" id="{62105674-DDE6-47E0-956E-889EE9ADD17D}"/>
            </a:ext>
          </a:extLst>
        </xdr:cNvPr>
        <xdr:cNvCxnSpPr/>
      </xdr:nvCxnSpPr>
      <xdr:spPr>
        <a:xfrm flipV="1">
          <a:off x="6901881" y="492044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81981</xdr:colOff>
      <xdr:row>27</xdr:row>
      <xdr:rowOff>191437</xdr:rowOff>
    </xdr:from>
    <xdr:to>
      <xdr:col>14</xdr:col>
      <xdr:colOff>585928</xdr:colOff>
      <xdr:row>27</xdr:row>
      <xdr:rowOff>192594</xdr:rowOff>
    </xdr:to>
    <xdr:cxnSp macro="">
      <xdr:nvCxnSpPr>
        <xdr:cNvPr id="165" name="Straight Connector 164">
          <a:extLst>
            <a:ext uri="{FF2B5EF4-FFF2-40B4-BE49-F238E27FC236}">
              <a16:creationId xmlns:a16="http://schemas.microsoft.com/office/drawing/2014/main" id="{2C37F2D5-FFB6-430C-A68B-8CBBDDE1695B}"/>
            </a:ext>
          </a:extLst>
        </xdr:cNvPr>
        <xdr:cNvCxnSpPr/>
      </xdr:nvCxnSpPr>
      <xdr:spPr>
        <a:xfrm flipV="1">
          <a:off x="8121081" y="491583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81981</xdr:colOff>
      <xdr:row>28</xdr:row>
      <xdr:rowOff>5545</xdr:rowOff>
    </xdr:from>
    <xdr:to>
      <xdr:col>14</xdr:col>
      <xdr:colOff>585928</xdr:colOff>
      <xdr:row>28</xdr:row>
      <xdr:rowOff>6702</xdr:rowOff>
    </xdr:to>
    <xdr:cxnSp macro="">
      <xdr:nvCxnSpPr>
        <xdr:cNvPr id="166" name="Straight Connector 165">
          <a:extLst>
            <a:ext uri="{FF2B5EF4-FFF2-40B4-BE49-F238E27FC236}">
              <a16:creationId xmlns:a16="http://schemas.microsoft.com/office/drawing/2014/main" id="{907CE577-433E-4907-B54D-53700009266C}"/>
            </a:ext>
          </a:extLst>
        </xdr:cNvPr>
        <xdr:cNvCxnSpPr/>
      </xdr:nvCxnSpPr>
      <xdr:spPr>
        <a:xfrm flipV="1">
          <a:off x="8121081" y="492044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81981</xdr:colOff>
      <xdr:row>27</xdr:row>
      <xdr:rowOff>191437</xdr:rowOff>
    </xdr:from>
    <xdr:to>
      <xdr:col>16</xdr:col>
      <xdr:colOff>585928</xdr:colOff>
      <xdr:row>27</xdr:row>
      <xdr:rowOff>192594</xdr:rowOff>
    </xdr:to>
    <xdr:cxnSp macro="">
      <xdr:nvCxnSpPr>
        <xdr:cNvPr id="167" name="Straight Connector 166">
          <a:extLst>
            <a:ext uri="{FF2B5EF4-FFF2-40B4-BE49-F238E27FC236}">
              <a16:creationId xmlns:a16="http://schemas.microsoft.com/office/drawing/2014/main" id="{DC38F53F-344B-42F8-89E2-E7B4A4B5FA05}"/>
            </a:ext>
          </a:extLst>
        </xdr:cNvPr>
        <xdr:cNvCxnSpPr/>
      </xdr:nvCxnSpPr>
      <xdr:spPr>
        <a:xfrm flipV="1">
          <a:off x="9340281" y="491583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81981</xdr:colOff>
      <xdr:row>28</xdr:row>
      <xdr:rowOff>5545</xdr:rowOff>
    </xdr:from>
    <xdr:to>
      <xdr:col>16</xdr:col>
      <xdr:colOff>585928</xdr:colOff>
      <xdr:row>28</xdr:row>
      <xdr:rowOff>6702</xdr:rowOff>
    </xdr:to>
    <xdr:cxnSp macro="">
      <xdr:nvCxnSpPr>
        <xdr:cNvPr id="168" name="Straight Connector 167">
          <a:extLst>
            <a:ext uri="{FF2B5EF4-FFF2-40B4-BE49-F238E27FC236}">
              <a16:creationId xmlns:a16="http://schemas.microsoft.com/office/drawing/2014/main" id="{47CBA27E-CF7A-4F80-9241-1E5BEDAF1FD7}"/>
            </a:ext>
          </a:extLst>
        </xdr:cNvPr>
        <xdr:cNvCxnSpPr/>
      </xdr:nvCxnSpPr>
      <xdr:spPr>
        <a:xfrm flipV="1">
          <a:off x="9340281" y="492044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81981</xdr:colOff>
      <xdr:row>27</xdr:row>
      <xdr:rowOff>191437</xdr:rowOff>
    </xdr:from>
    <xdr:to>
      <xdr:col>18</xdr:col>
      <xdr:colOff>585928</xdr:colOff>
      <xdr:row>27</xdr:row>
      <xdr:rowOff>192594</xdr:rowOff>
    </xdr:to>
    <xdr:cxnSp macro="">
      <xdr:nvCxnSpPr>
        <xdr:cNvPr id="169" name="Straight Connector 168">
          <a:extLst>
            <a:ext uri="{FF2B5EF4-FFF2-40B4-BE49-F238E27FC236}">
              <a16:creationId xmlns:a16="http://schemas.microsoft.com/office/drawing/2014/main" id="{94EB998D-3287-4963-8D9B-7E7C7EB80703}"/>
            </a:ext>
          </a:extLst>
        </xdr:cNvPr>
        <xdr:cNvCxnSpPr/>
      </xdr:nvCxnSpPr>
      <xdr:spPr>
        <a:xfrm flipV="1">
          <a:off x="10559481" y="491583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81981</xdr:colOff>
      <xdr:row>28</xdr:row>
      <xdr:rowOff>5545</xdr:rowOff>
    </xdr:from>
    <xdr:to>
      <xdr:col>18</xdr:col>
      <xdr:colOff>585928</xdr:colOff>
      <xdr:row>28</xdr:row>
      <xdr:rowOff>6702</xdr:rowOff>
    </xdr:to>
    <xdr:cxnSp macro="">
      <xdr:nvCxnSpPr>
        <xdr:cNvPr id="170" name="Straight Connector 169">
          <a:extLst>
            <a:ext uri="{FF2B5EF4-FFF2-40B4-BE49-F238E27FC236}">
              <a16:creationId xmlns:a16="http://schemas.microsoft.com/office/drawing/2014/main" id="{087ECD45-11D7-4D11-A193-1C2267E8E0DD}"/>
            </a:ext>
          </a:extLst>
        </xdr:cNvPr>
        <xdr:cNvCxnSpPr/>
      </xdr:nvCxnSpPr>
      <xdr:spPr>
        <a:xfrm flipV="1">
          <a:off x="10559481" y="492044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81981</xdr:colOff>
      <xdr:row>27</xdr:row>
      <xdr:rowOff>191437</xdr:rowOff>
    </xdr:from>
    <xdr:to>
      <xdr:col>20</xdr:col>
      <xdr:colOff>585928</xdr:colOff>
      <xdr:row>27</xdr:row>
      <xdr:rowOff>192594</xdr:rowOff>
    </xdr:to>
    <xdr:cxnSp macro="">
      <xdr:nvCxnSpPr>
        <xdr:cNvPr id="171" name="Straight Connector 170">
          <a:extLst>
            <a:ext uri="{FF2B5EF4-FFF2-40B4-BE49-F238E27FC236}">
              <a16:creationId xmlns:a16="http://schemas.microsoft.com/office/drawing/2014/main" id="{F6D2B385-AF82-4DFA-945A-77961F97BDC1}"/>
            </a:ext>
          </a:extLst>
        </xdr:cNvPr>
        <xdr:cNvCxnSpPr/>
      </xdr:nvCxnSpPr>
      <xdr:spPr>
        <a:xfrm flipV="1">
          <a:off x="11778681" y="491583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81981</xdr:colOff>
      <xdr:row>28</xdr:row>
      <xdr:rowOff>5545</xdr:rowOff>
    </xdr:from>
    <xdr:to>
      <xdr:col>20</xdr:col>
      <xdr:colOff>585928</xdr:colOff>
      <xdr:row>28</xdr:row>
      <xdr:rowOff>6702</xdr:rowOff>
    </xdr:to>
    <xdr:cxnSp macro="">
      <xdr:nvCxnSpPr>
        <xdr:cNvPr id="172" name="Straight Connector 171">
          <a:extLst>
            <a:ext uri="{FF2B5EF4-FFF2-40B4-BE49-F238E27FC236}">
              <a16:creationId xmlns:a16="http://schemas.microsoft.com/office/drawing/2014/main" id="{8346A2B9-14DF-445F-A8A0-EB1F47C66611}"/>
            </a:ext>
          </a:extLst>
        </xdr:cNvPr>
        <xdr:cNvCxnSpPr/>
      </xdr:nvCxnSpPr>
      <xdr:spPr>
        <a:xfrm flipV="1">
          <a:off x="11778681" y="492044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58081</xdr:colOff>
      <xdr:row>44</xdr:row>
      <xdr:rowOff>162046</xdr:rowOff>
    </xdr:from>
    <xdr:to>
      <xdr:col>12</xdr:col>
      <xdr:colOff>562028</xdr:colOff>
      <xdr:row>44</xdr:row>
      <xdr:rowOff>163364</xdr:rowOff>
    </xdr:to>
    <xdr:cxnSp macro="">
      <xdr:nvCxnSpPr>
        <xdr:cNvPr id="173" name="Straight Connector 172">
          <a:extLst>
            <a:ext uri="{FF2B5EF4-FFF2-40B4-BE49-F238E27FC236}">
              <a16:creationId xmlns:a16="http://schemas.microsoft.com/office/drawing/2014/main" id="{2A1F4105-A4F8-4063-9F7D-E24F304A8A81}"/>
            </a:ext>
          </a:extLst>
        </xdr:cNvPr>
        <xdr:cNvCxnSpPr/>
      </xdr:nvCxnSpPr>
      <xdr:spPr>
        <a:xfrm flipV="1">
          <a:off x="6877981" y="78963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58081</xdr:colOff>
      <xdr:row>44</xdr:row>
      <xdr:rowOff>162046</xdr:rowOff>
    </xdr:from>
    <xdr:to>
      <xdr:col>14</xdr:col>
      <xdr:colOff>562028</xdr:colOff>
      <xdr:row>44</xdr:row>
      <xdr:rowOff>163364</xdr:rowOff>
    </xdr:to>
    <xdr:cxnSp macro="">
      <xdr:nvCxnSpPr>
        <xdr:cNvPr id="174" name="Straight Connector 173">
          <a:extLst>
            <a:ext uri="{FF2B5EF4-FFF2-40B4-BE49-F238E27FC236}">
              <a16:creationId xmlns:a16="http://schemas.microsoft.com/office/drawing/2014/main" id="{7F4E3929-97C2-42FD-889A-534FC36CB776}"/>
            </a:ext>
          </a:extLst>
        </xdr:cNvPr>
        <xdr:cNvCxnSpPr/>
      </xdr:nvCxnSpPr>
      <xdr:spPr>
        <a:xfrm flipV="1">
          <a:off x="8097181" y="78963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58081</xdr:colOff>
      <xdr:row>44</xdr:row>
      <xdr:rowOff>162046</xdr:rowOff>
    </xdr:from>
    <xdr:to>
      <xdr:col>16</xdr:col>
      <xdr:colOff>562028</xdr:colOff>
      <xdr:row>44</xdr:row>
      <xdr:rowOff>163364</xdr:rowOff>
    </xdr:to>
    <xdr:cxnSp macro="">
      <xdr:nvCxnSpPr>
        <xdr:cNvPr id="175" name="Straight Connector 174">
          <a:extLst>
            <a:ext uri="{FF2B5EF4-FFF2-40B4-BE49-F238E27FC236}">
              <a16:creationId xmlns:a16="http://schemas.microsoft.com/office/drawing/2014/main" id="{B05A1DC0-48DD-4F85-AD7F-AD0971FB494A}"/>
            </a:ext>
          </a:extLst>
        </xdr:cNvPr>
        <xdr:cNvCxnSpPr/>
      </xdr:nvCxnSpPr>
      <xdr:spPr>
        <a:xfrm flipV="1">
          <a:off x="9316381" y="78963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58081</xdr:colOff>
      <xdr:row>44</xdr:row>
      <xdr:rowOff>162046</xdr:rowOff>
    </xdr:from>
    <xdr:to>
      <xdr:col>18</xdr:col>
      <xdr:colOff>562028</xdr:colOff>
      <xdr:row>44</xdr:row>
      <xdr:rowOff>163364</xdr:rowOff>
    </xdr:to>
    <xdr:cxnSp macro="">
      <xdr:nvCxnSpPr>
        <xdr:cNvPr id="176" name="Straight Connector 175">
          <a:extLst>
            <a:ext uri="{FF2B5EF4-FFF2-40B4-BE49-F238E27FC236}">
              <a16:creationId xmlns:a16="http://schemas.microsoft.com/office/drawing/2014/main" id="{0B1D5FD5-A9EA-4F39-A004-839859EB50DC}"/>
            </a:ext>
          </a:extLst>
        </xdr:cNvPr>
        <xdr:cNvCxnSpPr/>
      </xdr:nvCxnSpPr>
      <xdr:spPr>
        <a:xfrm flipV="1">
          <a:off x="10535581" y="78963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58081</xdr:colOff>
      <xdr:row>44</xdr:row>
      <xdr:rowOff>162046</xdr:rowOff>
    </xdr:from>
    <xdr:to>
      <xdr:col>20</xdr:col>
      <xdr:colOff>562028</xdr:colOff>
      <xdr:row>44</xdr:row>
      <xdr:rowOff>163364</xdr:rowOff>
    </xdr:to>
    <xdr:cxnSp macro="">
      <xdr:nvCxnSpPr>
        <xdr:cNvPr id="177" name="Straight Connector 176">
          <a:extLst>
            <a:ext uri="{FF2B5EF4-FFF2-40B4-BE49-F238E27FC236}">
              <a16:creationId xmlns:a16="http://schemas.microsoft.com/office/drawing/2014/main" id="{2C59F5C2-F167-40E0-B285-948977E615EE}"/>
            </a:ext>
          </a:extLst>
        </xdr:cNvPr>
        <xdr:cNvCxnSpPr/>
      </xdr:nvCxnSpPr>
      <xdr:spPr>
        <a:xfrm flipV="1">
          <a:off x="11754781" y="78963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58081</xdr:colOff>
      <xdr:row>53</xdr:row>
      <xdr:rowOff>159446</xdr:rowOff>
    </xdr:from>
    <xdr:to>
      <xdr:col>12</xdr:col>
      <xdr:colOff>562028</xdr:colOff>
      <xdr:row>53</xdr:row>
      <xdr:rowOff>160764</xdr:rowOff>
    </xdr:to>
    <xdr:cxnSp macro="">
      <xdr:nvCxnSpPr>
        <xdr:cNvPr id="178" name="Straight Connector 177">
          <a:extLst>
            <a:ext uri="{FF2B5EF4-FFF2-40B4-BE49-F238E27FC236}">
              <a16:creationId xmlns:a16="http://schemas.microsoft.com/office/drawing/2014/main" id="{A9B84E60-2F89-43DF-B5A6-881CD1EF1DC3}"/>
            </a:ext>
          </a:extLst>
        </xdr:cNvPr>
        <xdr:cNvCxnSpPr/>
      </xdr:nvCxnSpPr>
      <xdr:spPr>
        <a:xfrm flipV="1">
          <a:off x="6877981" y="93986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58081</xdr:colOff>
      <xdr:row>53</xdr:row>
      <xdr:rowOff>159446</xdr:rowOff>
    </xdr:from>
    <xdr:to>
      <xdr:col>14</xdr:col>
      <xdr:colOff>562028</xdr:colOff>
      <xdr:row>53</xdr:row>
      <xdr:rowOff>160764</xdr:rowOff>
    </xdr:to>
    <xdr:cxnSp macro="">
      <xdr:nvCxnSpPr>
        <xdr:cNvPr id="179" name="Straight Connector 178">
          <a:extLst>
            <a:ext uri="{FF2B5EF4-FFF2-40B4-BE49-F238E27FC236}">
              <a16:creationId xmlns:a16="http://schemas.microsoft.com/office/drawing/2014/main" id="{500293FA-E6C9-4FA8-96E4-F8E37D54ECDB}"/>
            </a:ext>
          </a:extLst>
        </xdr:cNvPr>
        <xdr:cNvCxnSpPr/>
      </xdr:nvCxnSpPr>
      <xdr:spPr>
        <a:xfrm flipV="1">
          <a:off x="8097181" y="93986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58081</xdr:colOff>
      <xdr:row>53</xdr:row>
      <xdr:rowOff>159446</xdr:rowOff>
    </xdr:from>
    <xdr:to>
      <xdr:col>16</xdr:col>
      <xdr:colOff>562028</xdr:colOff>
      <xdr:row>53</xdr:row>
      <xdr:rowOff>160764</xdr:rowOff>
    </xdr:to>
    <xdr:cxnSp macro="">
      <xdr:nvCxnSpPr>
        <xdr:cNvPr id="180" name="Straight Connector 179">
          <a:extLst>
            <a:ext uri="{FF2B5EF4-FFF2-40B4-BE49-F238E27FC236}">
              <a16:creationId xmlns:a16="http://schemas.microsoft.com/office/drawing/2014/main" id="{486EB4C3-5DC5-4353-BB09-A75AC376C9F7}"/>
            </a:ext>
          </a:extLst>
        </xdr:cNvPr>
        <xdr:cNvCxnSpPr/>
      </xdr:nvCxnSpPr>
      <xdr:spPr>
        <a:xfrm flipV="1">
          <a:off x="9316381" y="93986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58081</xdr:colOff>
      <xdr:row>53</xdr:row>
      <xdr:rowOff>159446</xdr:rowOff>
    </xdr:from>
    <xdr:to>
      <xdr:col>18</xdr:col>
      <xdr:colOff>562028</xdr:colOff>
      <xdr:row>53</xdr:row>
      <xdr:rowOff>160764</xdr:rowOff>
    </xdr:to>
    <xdr:cxnSp macro="">
      <xdr:nvCxnSpPr>
        <xdr:cNvPr id="181" name="Straight Connector 180">
          <a:extLst>
            <a:ext uri="{FF2B5EF4-FFF2-40B4-BE49-F238E27FC236}">
              <a16:creationId xmlns:a16="http://schemas.microsoft.com/office/drawing/2014/main" id="{76408400-63E4-429D-8362-5A5BA6093D2D}"/>
            </a:ext>
          </a:extLst>
        </xdr:cNvPr>
        <xdr:cNvCxnSpPr/>
      </xdr:nvCxnSpPr>
      <xdr:spPr>
        <a:xfrm flipV="1">
          <a:off x="10535581" y="93986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58081</xdr:colOff>
      <xdr:row>53</xdr:row>
      <xdr:rowOff>159446</xdr:rowOff>
    </xdr:from>
    <xdr:to>
      <xdr:col>20</xdr:col>
      <xdr:colOff>562028</xdr:colOff>
      <xdr:row>53</xdr:row>
      <xdr:rowOff>160764</xdr:rowOff>
    </xdr:to>
    <xdr:cxnSp macro="">
      <xdr:nvCxnSpPr>
        <xdr:cNvPr id="182" name="Straight Connector 181">
          <a:extLst>
            <a:ext uri="{FF2B5EF4-FFF2-40B4-BE49-F238E27FC236}">
              <a16:creationId xmlns:a16="http://schemas.microsoft.com/office/drawing/2014/main" id="{98F90250-85E9-4878-AC59-90CFBEE478B3}"/>
            </a:ext>
          </a:extLst>
        </xdr:cNvPr>
        <xdr:cNvCxnSpPr/>
      </xdr:nvCxnSpPr>
      <xdr:spPr>
        <a:xfrm flipV="1">
          <a:off x="11754781" y="93986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58081</xdr:colOff>
      <xdr:row>54</xdr:row>
      <xdr:rowOff>159446</xdr:rowOff>
    </xdr:from>
    <xdr:to>
      <xdr:col>10</xdr:col>
      <xdr:colOff>562028</xdr:colOff>
      <xdr:row>54</xdr:row>
      <xdr:rowOff>160764</xdr:rowOff>
    </xdr:to>
    <xdr:cxnSp macro="">
      <xdr:nvCxnSpPr>
        <xdr:cNvPr id="183" name="Straight Connector 182">
          <a:extLst>
            <a:ext uri="{FF2B5EF4-FFF2-40B4-BE49-F238E27FC236}">
              <a16:creationId xmlns:a16="http://schemas.microsoft.com/office/drawing/2014/main" id="{352CE580-FDBC-4063-A0C2-B06765A24771}"/>
            </a:ext>
          </a:extLst>
        </xdr:cNvPr>
        <xdr:cNvCxnSpPr/>
      </xdr:nvCxnSpPr>
      <xdr:spPr>
        <a:xfrm flipV="1">
          <a:off x="5658781" y="95828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58081</xdr:colOff>
      <xdr:row>54</xdr:row>
      <xdr:rowOff>161846</xdr:rowOff>
    </xdr:from>
    <xdr:to>
      <xdr:col>12</xdr:col>
      <xdr:colOff>562028</xdr:colOff>
      <xdr:row>54</xdr:row>
      <xdr:rowOff>163164</xdr:rowOff>
    </xdr:to>
    <xdr:cxnSp macro="">
      <xdr:nvCxnSpPr>
        <xdr:cNvPr id="184" name="Straight Connector 183">
          <a:extLst>
            <a:ext uri="{FF2B5EF4-FFF2-40B4-BE49-F238E27FC236}">
              <a16:creationId xmlns:a16="http://schemas.microsoft.com/office/drawing/2014/main" id="{2BA76ADE-6E4B-4F17-AD06-DE99FCF5E588}"/>
            </a:ext>
          </a:extLst>
        </xdr:cNvPr>
        <xdr:cNvCxnSpPr/>
      </xdr:nvCxnSpPr>
      <xdr:spPr>
        <a:xfrm flipV="1">
          <a:off x="6877981" y="95852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58081</xdr:colOff>
      <xdr:row>54</xdr:row>
      <xdr:rowOff>159446</xdr:rowOff>
    </xdr:from>
    <xdr:to>
      <xdr:col>12</xdr:col>
      <xdr:colOff>562028</xdr:colOff>
      <xdr:row>54</xdr:row>
      <xdr:rowOff>160764</xdr:rowOff>
    </xdr:to>
    <xdr:cxnSp macro="">
      <xdr:nvCxnSpPr>
        <xdr:cNvPr id="185" name="Straight Connector 184">
          <a:extLst>
            <a:ext uri="{FF2B5EF4-FFF2-40B4-BE49-F238E27FC236}">
              <a16:creationId xmlns:a16="http://schemas.microsoft.com/office/drawing/2014/main" id="{D8CE4987-B352-4D42-B3CD-2737E37F271D}"/>
            </a:ext>
          </a:extLst>
        </xdr:cNvPr>
        <xdr:cNvCxnSpPr/>
      </xdr:nvCxnSpPr>
      <xdr:spPr>
        <a:xfrm flipV="1">
          <a:off x="6877981" y="95828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58081</xdr:colOff>
      <xdr:row>54</xdr:row>
      <xdr:rowOff>161846</xdr:rowOff>
    </xdr:from>
    <xdr:to>
      <xdr:col>14</xdr:col>
      <xdr:colOff>562028</xdr:colOff>
      <xdr:row>54</xdr:row>
      <xdr:rowOff>163164</xdr:rowOff>
    </xdr:to>
    <xdr:cxnSp macro="">
      <xdr:nvCxnSpPr>
        <xdr:cNvPr id="186" name="Straight Connector 185">
          <a:extLst>
            <a:ext uri="{FF2B5EF4-FFF2-40B4-BE49-F238E27FC236}">
              <a16:creationId xmlns:a16="http://schemas.microsoft.com/office/drawing/2014/main" id="{32E17F5F-33A2-4350-8EF8-9BFA5BC36245}"/>
            </a:ext>
          </a:extLst>
        </xdr:cNvPr>
        <xdr:cNvCxnSpPr/>
      </xdr:nvCxnSpPr>
      <xdr:spPr>
        <a:xfrm flipV="1">
          <a:off x="8097181" y="95852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58081</xdr:colOff>
      <xdr:row>54</xdr:row>
      <xdr:rowOff>159446</xdr:rowOff>
    </xdr:from>
    <xdr:to>
      <xdr:col>14</xdr:col>
      <xdr:colOff>562028</xdr:colOff>
      <xdr:row>54</xdr:row>
      <xdr:rowOff>160764</xdr:rowOff>
    </xdr:to>
    <xdr:cxnSp macro="">
      <xdr:nvCxnSpPr>
        <xdr:cNvPr id="187" name="Straight Connector 186">
          <a:extLst>
            <a:ext uri="{FF2B5EF4-FFF2-40B4-BE49-F238E27FC236}">
              <a16:creationId xmlns:a16="http://schemas.microsoft.com/office/drawing/2014/main" id="{E6DBC78D-EB84-4B5C-B4CD-78C22F3BB178}"/>
            </a:ext>
          </a:extLst>
        </xdr:cNvPr>
        <xdr:cNvCxnSpPr/>
      </xdr:nvCxnSpPr>
      <xdr:spPr>
        <a:xfrm flipV="1">
          <a:off x="8097181" y="95828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58081</xdr:colOff>
      <xdr:row>54</xdr:row>
      <xdr:rowOff>161846</xdr:rowOff>
    </xdr:from>
    <xdr:to>
      <xdr:col>16</xdr:col>
      <xdr:colOff>562028</xdr:colOff>
      <xdr:row>54</xdr:row>
      <xdr:rowOff>163164</xdr:rowOff>
    </xdr:to>
    <xdr:cxnSp macro="">
      <xdr:nvCxnSpPr>
        <xdr:cNvPr id="188" name="Straight Connector 187">
          <a:extLst>
            <a:ext uri="{FF2B5EF4-FFF2-40B4-BE49-F238E27FC236}">
              <a16:creationId xmlns:a16="http://schemas.microsoft.com/office/drawing/2014/main" id="{B9749F59-5875-4D65-AA58-5DEB7995C871}"/>
            </a:ext>
          </a:extLst>
        </xdr:cNvPr>
        <xdr:cNvCxnSpPr/>
      </xdr:nvCxnSpPr>
      <xdr:spPr>
        <a:xfrm flipV="1">
          <a:off x="9316381" y="95852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58081</xdr:colOff>
      <xdr:row>54</xdr:row>
      <xdr:rowOff>159446</xdr:rowOff>
    </xdr:from>
    <xdr:to>
      <xdr:col>16</xdr:col>
      <xdr:colOff>562028</xdr:colOff>
      <xdr:row>54</xdr:row>
      <xdr:rowOff>160764</xdr:rowOff>
    </xdr:to>
    <xdr:cxnSp macro="">
      <xdr:nvCxnSpPr>
        <xdr:cNvPr id="189" name="Straight Connector 188">
          <a:extLst>
            <a:ext uri="{FF2B5EF4-FFF2-40B4-BE49-F238E27FC236}">
              <a16:creationId xmlns:a16="http://schemas.microsoft.com/office/drawing/2014/main" id="{4C45D04F-C328-4306-A1D7-BE7F37579EA7}"/>
            </a:ext>
          </a:extLst>
        </xdr:cNvPr>
        <xdr:cNvCxnSpPr/>
      </xdr:nvCxnSpPr>
      <xdr:spPr>
        <a:xfrm flipV="1">
          <a:off x="9316381" y="95828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58081</xdr:colOff>
      <xdr:row>54</xdr:row>
      <xdr:rowOff>161846</xdr:rowOff>
    </xdr:from>
    <xdr:to>
      <xdr:col>18</xdr:col>
      <xdr:colOff>562028</xdr:colOff>
      <xdr:row>54</xdr:row>
      <xdr:rowOff>163164</xdr:rowOff>
    </xdr:to>
    <xdr:cxnSp macro="">
      <xdr:nvCxnSpPr>
        <xdr:cNvPr id="190" name="Straight Connector 189">
          <a:extLst>
            <a:ext uri="{FF2B5EF4-FFF2-40B4-BE49-F238E27FC236}">
              <a16:creationId xmlns:a16="http://schemas.microsoft.com/office/drawing/2014/main" id="{17DDAF40-B7E5-49C8-A95C-4D5DF84EE1A1}"/>
            </a:ext>
          </a:extLst>
        </xdr:cNvPr>
        <xdr:cNvCxnSpPr/>
      </xdr:nvCxnSpPr>
      <xdr:spPr>
        <a:xfrm flipV="1">
          <a:off x="10535581" y="95852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58081</xdr:colOff>
      <xdr:row>54</xdr:row>
      <xdr:rowOff>159446</xdr:rowOff>
    </xdr:from>
    <xdr:to>
      <xdr:col>18</xdr:col>
      <xdr:colOff>562028</xdr:colOff>
      <xdr:row>54</xdr:row>
      <xdr:rowOff>160764</xdr:rowOff>
    </xdr:to>
    <xdr:cxnSp macro="">
      <xdr:nvCxnSpPr>
        <xdr:cNvPr id="191" name="Straight Connector 190">
          <a:extLst>
            <a:ext uri="{FF2B5EF4-FFF2-40B4-BE49-F238E27FC236}">
              <a16:creationId xmlns:a16="http://schemas.microsoft.com/office/drawing/2014/main" id="{50F0920B-FD86-48AA-A22E-FF7A61E7971C}"/>
            </a:ext>
          </a:extLst>
        </xdr:cNvPr>
        <xdr:cNvCxnSpPr/>
      </xdr:nvCxnSpPr>
      <xdr:spPr>
        <a:xfrm flipV="1">
          <a:off x="10535581" y="95828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58081</xdr:colOff>
      <xdr:row>54</xdr:row>
      <xdr:rowOff>161846</xdr:rowOff>
    </xdr:from>
    <xdr:to>
      <xdr:col>20</xdr:col>
      <xdr:colOff>562028</xdr:colOff>
      <xdr:row>54</xdr:row>
      <xdr:rowOff>163164</xdr:rowOff>
    </xdr:to>
    <xdr:cxnSp macro="">
      <xdr:nvCxnSpPr>
        <xdr:cNvPr id="192" name="Straight Connector 191">
          <a:extLst>
            <a:ext uri="{FF2B5EF4-FFF2-40B4-BE49-F238E27FC236}">
              <a16:creationId xmlns:a16="http://schemas.microsoft.com/office/drawing/2014/main" id="{E2D82AA5-48C5-4D61-AD93-035EE947FCF2}"/>
            </a:ext>
          </a:extLst>
        </xdr:cNvPr>
        <xdr:cNvCxnSpPr/>
      </xdr:nvCxnSpPr>
      <xdr:spPr>
        <a:xfrm flipV="1">
          <a:off x="11754781" y="95852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58081</xdr:colOff>
      <xdr:row>54</xdr:row>
      <xdr:rowOff>159446</xdr:rowOff>
    </xdr:from>
    <xdr:to>
      <xdr:col>20</xdr:col>
      <xdr:colOff>562028</xdr:colOff>
      <xdr:row>54</xdr:row>
      <xdr:rowOff>160764</xdr:rowOff>
    </xdr:to>
    <xdr:cxnSp macro="">
      <xdr:nvCxnSpPr>
        <xdr:cNvPr id="193" name="Straight Connector 192">
          <a:extLst>
            <a:ext uri="{FF2B5EF4-FFF2-40B4-BE49-F238E27FC236}">
              <a16:creationId xmlns:a16="http://schemas.microsoft.com/office/drawing/2014/main" id="{93799DC3-D7D7-42F7-BF44-F705CD807B00}"/>
            </a:ext>
          </a:extLst>
        </xdr:cNvPr>
        <xdr:cNvCxnSpPr/>
      </xdr:nvCxnSpPr>
      <xdr:spPr>
        <a:xfrm flipV="1">
          <a:off x="11754781" y="95828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58081</xdr:colOff>
      <xdr:row>55</xdr:row>
      <xdr:rowOff>4246</xdr:rowOff>
    </xdr:from>
    <xdr:to>
      <xdr:col>12</xdr:col>
      <xdr:colOff>562028</xdr:colOff>
      <xdr:row>55</xdr:row>
      <xdr:rowOff>5564</xdr:rowOff>
    </xdr:to>
    <xdr:cxnSp macro="">
      <xdr:nvCxnSpPr>
        <xdr:cNvPr id="194" name="Straight Connector 193">
          <a:extLst>
            <a:ext uri="{FF2B5EF4-FFF2-40B4-BE49-F238E27FC236}">
              <a16:creationId xmlns:a16="http://schemas.microsoft.com/office/drawing/2014/main" id="{76FBE417-3E63-4947-9483-CA0A912FEE76}"/>
            </a:ext>
          </a:extLst>
        </xdr:cNvPr>
        <xdr:cNvCxnSpPr/>
      </xdr:nvCxnSpPr>
      <xdr:spPr>
        <a:xfrm flipV="1">
          <a:off x="6877981" y="96117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58081</xdr:colOff>
      <xdr:row>55</xdr:row>
      <xdr:rowOff>4246</xdr:rowOff>
    </xdr:from>
    <xdr:to>
      <xdr:col>14</xdr:col>
      <xdr:colOff>562028</xdr:colOff>
      <xdr:row>55</xdr:row>
      <xdr:rowOff>5564</xdr:rowOff>
    </xdr:to>
    <xdr:cxnSp macro="">
      <xdr:nvCxnSpPr>
        <xdr:cNvPr id="195" name="Straight Connector 194">
          <a:extLst>
            <a:ext uri="{FF2B5EF4-FFF2-40B4-BE49-F238E27FC236}">
              <a16:creationId xmlns:a16="http://schemas.microsoft.com/office/drawing/2014/main" id="{4080C451-B72A-4756-A5F7-4F3ECE88DC83}"/>
            </a:ext>
          </a:extLst>
        </xdr:cNvPr>
        <xdr:cNvCxnSpPr/>
      </xdr:nvCxnSpPr>
      <xdr:spPr>
        <a:xfrm flipV="1">
          <a:off x="8097181" y="96117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58081</xdr:colOff>
      <xdr:row>55</xdr:row>
      <xdr:rowOff>4246</xdr:rowOff>
    </xdr:from>
    <xdr:to>
      <xdr:col>16</xdr:col>
      <xdr:colOff>562028</xdr:colOff>
      <xdr:row>55</xdr:row>
      <xdr:rowOff>5564</xdr:rowOff>
    </xdr:to>
    <xdr:cxnSp macro="">
      <xdr:nvCxnSpPr>
        <xdr:cNvPr id="196" name="Straight Connector 195">
          <a:extLst>
            <a:ext uri="{FF2B5EF4-FFF2-40B4-BE49-F238E27FC236}">
              <a16:creationId xmlns:a16="http://schemas.microsoft.com/office/drawing/2014/main" id="{BDB6D338-291C-46D8-AC0B-C6B07D3F41E0}"/>
            </a:ext>
          </a:extLst>
        </xdr:cNvPr>
        <xdr:cNvCxnSpPr/>
      </xdr:nvCxnSpPr>
      <xdr:spPr>
        <a:xfrm flipV="1">
          <a:off x="9316381" y="96117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58081</xdr:colOff>
      <xdr:row>55</xdr:row>
      <xdr:rowOff>4246</xdr:rowOff>
    </xdr:from>
    <xdr:to>
      <xdr:col>18</xdr:col>
      <xdr:colOff>562028</xdr:colOff>
      <xdr:row>55</xdr:row>
      <xdr:rowOff>5564</xdr:rowOff>
    </xdr:to>
    <xdr:cxnSp macro="">
      <xdr:nvCxnSpPr>
        <xdr:cNvPr id="197" name="Straight Connector 196">
          <a:extLst>
            <a:ext uri="{FF2B5EF4-FFF2-40B4-BE49-F238E27FC236}">
              <a16:creationId xmlns:a16="http://schemas.microsoft.com/office/drawing/2014/main" id="{DA0CA78C-7827-40C2-A4F7-DE8C1ADD5EC8}"/>
            </a:ext>
          </a:extLst>
        </xdr:cNvPr>
        <xdr:cNvCxnSpPr/>
      </xdr:nvCxnSpPr>
      <xdr:spPr>
        <a:xfrm flipV="1">
          <a:off x="10535581" y="96117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58081</xdr:colOff>
      <xdr:row>55</xdr:row>
      <xdr:rowOff>4246</xdr:rowOff>
    </xdr:from>
    <xdr:to>
      <xdr:col>20</xdr:col>
      <xdr:colOff>562028</xdr:colOff>
      <xdr:row>55</xdr:row>
      <xdr:rowOff>5564</xdr:rowOff>
    </xdr:to>
    <xdr:cxnSp macro="">
      <xdr:nvCxnSpPr>
        <xdr:cNvPr id="198" name="Straight Connector 197">
          <a:extLst>
            <a:ext uri="{FF2B5EF4-FFF2-40B4-BE49-F238E27FC236}">
              <a16:creationId xmlns:a16="http://schemas.microsoft.com/office/drawing/2014/main" id="{E5AD74AB-834F-4124-BA4A-B7B56C429158}"/>
            </a:ext>
          </a:extLst>
        </xdr:cNvPr>
        <xdr:cNvCxnSpPr/>
      </xdr:nvCxnSpPr>
      <xdr:spPr>
        <a:xfrm flipV="1">
          <a:off x="11754781" y="96117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69448</xdr:colOff>
      <xdr:row>20</xdr:row>
      <xdr:rowOff>166161</xdr:rowOff>
    </xdr:from>
    <xdr:to>
      <xdr:col>26</xdr:col>
      <xdr:colOff>709528</xdr:colOff>
      <xdr:row>20</xdr:row>
      <xdr:rowOff>166161</xdr:rowOff>
    </xdr:to>
    <xdr:cxnSp macro="">
      <xdr:nvCxnSpPr>
        <xdr:cNvPr id="199" name="Straight Connector 198">
          <a:extLst>
            <a:ext uri="{FF2B5EF4-FFF2-40B4-BE49-F238E27FC236}">
              <a16:creationId xmlns:a16="http://schemas.microsoft.com/office/drawing/2014/main" id="{A139F4B2-0511-489F-9B27-4BEBA1442455}"/>
            </a:ext>
          </a:extLst>
        </xdr:cNvPr>
        <xdr:cNvCxnSpPr/>
      </xdr:nvCxnSpPr>
      <xdr:spPr>
        <a:xfrm>
          <a:off x="16642948" y="3607861"/>
          <a:ext cx="5765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69448</xdr:colOff>
      <xdr:row>20</xdr:row>
      <xdr:rowOff>166161</xdr:rowOff>
    </xdr:from>
    <xdr:to>
      <xdr:col>26</xdr:col>
      <xdr:colOff>709528</xdr:colOff>
      <xdr:row>20</xdr:row>
      <xdr:rowOff>166161</xdr:rowOff>
    </xdr:to>
    <xdr:cxnSp macro="">
      <xdr:nvCxnSpPr>
        <xdr:cNvPr id="200" name="Straight Connector 199">
          <a:extLst>
            <a:ext uri="{FF2B5EF4-FFF2-40B4-BE49-F238E27FC236}">
              <a16:creationId xmlns:a16="http://schemas.microsoft.com/office/drawing/2014/main" id="{72407F45-F66F-4254-8360-F49A323243B6}"/>
            </a:ext>
          </a:extLst>
        </xdr:cNvPr>
        <xdr:cNvCxnSpPr/>
      </xdr:nvCxnSpPr>
      <xdr:spPr>
        <a:xfrm>
          <a:off x="16642948" y="3607861"/>
          <a:ext cx="5765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71627</xdr:colOff>
      <xdr:row>34</xdr:row>
      <xdr:rowOff>164113</xdr:rowOff>
    </xdr:from>
    <xdr:to>
      <xdr:col>26</xdr:col>
      <xdr:colOff>711707</xdr:colOff>
      <xdr:row>34</xdr:row>
      <xdr:rowOff>164113</xdr:rowOff>
    </xdr:to>
    <xdr:cxnSp macro="">
      <xdr:nvCxnSpPr>
        <xdr:cNvPr id="201" name="Straight Connector 200">
          <a:extLst>
            <a:ext uri="{FF2B5EF4-FFF2-40B4-BE49-F238E27FC236}">
              <a16:creationId xmlns:a16="http://schemas.microsoft.com/office/drawing/2014/main" id="{A49AC07D-7E01-44F8-932A-8CDB6983FB42}"/>
            </a:ext>
          </a:extLst>
        </xdr:cNvPr>
        <xdr:cNvCxnSpPr/>
      </xdr:nvCxnSpPr>
      <xdr:spPr>
        <a:xfrm>
          <a:off x="16645127" y="6196613"/>
          <a:ext cx="5765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81638</xdr:colOff>
      <xdr:row>11</xdr:row>
      <xdr:rowOff>169534</xdr:rowOff>
    </xdr:from>
    <xdr:to>
      <xdr:col>20</xdr:col>
      <xdr:colOff>585586</xdr:colOff>
      <xdr:row>11</xdr:row>
      <xdr:rowOff>170691</xdr:rowOff>
    </xdr:to>
    <xdr:cxnSp macro="">
      <xdr:nvCxnSpPr>
        <xdr:cNvPr id="202" name="Straight Connector 201">
          <a:extLst>
            <a:ext uri="{FF2B5EF4-FFF2-40B4-BE49-F238E27FC236}">
              <a16:creationId xmlns:a16="http://schemas.microsoft.com/office/drawing/2014/main" id="{91A7B429-2DD1-4BD5-B606-9647826E0A93}"/>
            </a:ext>
          </a:extLst>
        </xdr:cNvPr>
        <xdr:cNvCxnSpPr/>
      </xdr:nvCxnSpPr>
      <xdr:spPr>
        <a:xfrm flipV="1">
          <a:off x="11778338" y="208088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74332</xdr:colOff>
      <xdr:row>64</xdr:row>
      <xdr:rowOff>159393</xdr:rowOff>
    </xdr:from>
    <xdr:to>
      <xdr:col>25</xdr:col>
      <xdr:colOff>714412</xdr:colOff>
      <xdr:row>64</xdr:row>
      <xdr:rowOff>159393</xdr:rowOff>
    </xdr:to>
    <xdr:cxnSp macro="">
      <xdr:nvCxnSpPr>
        <xdr:cNvPr id="203" name="Straight Connector 202">
          <a:extLst>
            <a:ext uri="{FF2B5EF4-FFF2-40B4-BE49-F238E27FC236}">
              <a16:creationId xmlns:a16="http://schemas.microsoft.com/office/drawing/2014/main" id="{F1CCCA89-5128-4C12-8EB2-2FAECDB6D551}"/>
            </a:ext>
          </a:extLst>
        </xdr:cNvPr>
        <xdr:cNvCxnSpPr/>
      </xdr:nvCxnSpPr>
      <xdr:spPr>
        <a:xfrm>
          <a:off x="15885832" y="11303643"/>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55843</xdr:colOff>
      <xdr:row>26</xdr:row>
      <xdr:rowOff>139492</xdr:rowOff>
    </xdr:from>
    <xdr:to>
      <xdr:col>4</xdr:col>
      <xdr:colOff>541946</xdr:colOff>
      <xdr:row>26</xdr:row>
      <xdr:rowOff>139492</xdr:rowOff>
    </xdr:to>
    <xdr:cxnSp macro="">
      <xdr:nvCxnSpPr>
        <xdr:cNvPr id="204" name="Straight Connector 203">
          <a:extLst>
            <a:ext uri="{FF2B5EF4-FFF2-40B4-BE49-F238E27FC236}">
              <a16:creationId xmlns:a16="http://schemas.microsoft.com/office/drawing/2014/main" id="{8BBB085D-2AF4-4AD1-9EDF-CCA0F62AD4AD}"/>
            </a:ext>
          </a:extLst>
        </xdr:cNvPr>
        <xdr:cNvCxnSpPr/>
      </xdr:nvCxnSpPr>
      <xdr:spPr>
        <a:xfrm>
          <a:off x="2678393" y="4686092"/>
          <a:ext cx="486103"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55843</xdr:colOff>
      <xdr:row>32</xdr:row>
      <xdr:rowOff>169413</xdr:rowOff>
    </xdr:from>
    <xdr:to>
      <xdr:col>4</xdr:col>
      <xdr:colOff>541946</xdr:colOff>
      <xdr:row>32</xdr:row>
      <xdr:rowOff>169413</xdr:rowOff>
    </xdr:to>
    <xdr:cxnSp macro="">
      <xdr:nvCxnSpPr>
        <xdr:cNvPr id="205" name="Straight Connector 204">
          <a:extLst>
            <a:ext uri="{FF2B5EF4-FFF2-40B4-BE49-F238E27FC236}">
              <a16:creationId xmlns:a16="http://schemas.microsoft.com/office/drawing/2014/main" id="{9C0C4E09-1CDA-4D8E-AF59-6F4292AEC436}"/>
            </a:ext>
          </a:extLst>
        </xdr:cNvPr>
        <xdr:cNvCxnSpPr/>
      </xdr:nvCxnSpPr>
      <xdr:spPr>
        <a:xfrm>
          <a:off x="2678393" y="5833613"/>
          <a:ext cx="486103"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55843</xdr:colOff>
      <xdr:row>33</xdr:row>
      <xdr:rowOff>167269</xdr:rowOff>
    </xdr:from>
    <xdr:to>
      <xdr:col>4</xdr:col>
      <xdr:colOff>541946</xdr:colOff>
      <xdr:row>33</xdr:row>
      <xdr:rowOff>167269</xdr:rowOff>
    </xdr:to>
    <xdr:cxnSp macro="">
      <xdr:nvCxnSpPr>
        <xdr:cNvPr id="206" name="Straight Connector 205">
          <a:extLst>
            <a:ext uri="{FF2B5EF4-FFF2-40B4-BE49-F238E27FC236}">
              <a16:creationId xmlns:a16="http://schemas.microsoft.com/office/drawing/2014/main" id="{93F51113-5D8B-4517-9336-171F4DF54F07}"/>
            </a:ext>
          </a:extLst>
        </xdr:cNvPr>
        <xdr:cNvCxnSpPr/>
      </xdr:nvCxnSpPr>
      <xdr:spPr>
        <a:xfrm>
          <a:off x="2678393" y="6015619"/>
          <a:ext cx="486103"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25099</xdr:colOff>
      <xdr:row>38</xdr:row>
      <xdr:rowOff>175830</xdr:rowOff>
    </xdr:from>
    <xdr:to>
      <xdr:col>2</xdr:col>
      <xdr:colOff>665179</xdr:colOff>
      <xdr:row>38</xdr:row>
      <xdr:rowOff>175830</xdr:rowOff>
    </xdr:to>
    <xdr:cxnSp macro="">
      <xdr:nvCxnSpPr>
        <xdr:cNvPr id="207" name="Straight Connector 206">
          <a:extLst>
            <a:ext uri="{FF2B5EF4-FFF2-40B4-BE49-F238E27FC236}">
              <a16:creationId xmlns:a16="http://schemas.microsoft.com/office/drawing/2014/main" id="{719DF4BC-C297-46C3-B603-D89A30186628}"/>
            </a:ext>
          </a:extLst>
        </xdr:cNvPr>
        <xdr:cNvCxnSpPr/>
      </xdr:nvCxnSpPr>
      <xdr:spPr>
        <a:xfrm>
          <a:off x="1244299" y="6805230"/>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26112</xdr:colOff>
      <xdr:row>38</xdr:row>
      <xdr:rowOff>170983</xdr:rowOff>
    </xdr:from>
    <xdr:to>
      <xdr:col>3</xdr:col>
      <xdr:colOff>593040</xdr:colOff>
      <xdr:row>38</xdr:row>
      <xdr:rowOff>170983</xdr:rowOff>
    </xdr:to>
    <xdr:cxnSp macro="">
      <xdr:nvCxnSpPr>
        <xdr:cNvPr id="208" name="Straight Connector 207">
          <a:extLst>
            <a:ext uri="{FF2B5EF4-FFF2-40B4-BE49-F238E27FC236}">
              <a16:creationId xmlns:a16="http://schemas.microsoft.com/office/drawing/2014/main" id="{87810CDC-1250-4C5B-892F-9A84BD69564F}"/>
            </a:ext>
          </a:extLst>
        </xdr:cNvPr>
        <xdr:cNvCxnSpPr/>
      </xdr:nvCxnSpPr>
      <xdr:spPr>
        <a:xfrm>
          <a:off x="1975562" y="6800383"/>
          <a:ext cx="566928"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22202</xdr:colOff>
      <xdr:row>38</xdr:row>
      <xdr:rowOff>170983</xdr:rowOff>
    </xdr:from>
    <xdr:to>
      <xdr:col>4</xdr:col>
      <xdr:colOff>589130</xdr:colOff>
      <xdr:row>38</xdr:row>
      <xdr:rowOff>170983</xdr:rowOff>
    </xdr:to>
    <xdr:cxnSp macro="">
      <xdr:nvCxnSpPr>
        <xdr:cNvPr id="209" name="Straight Connector 208">
          <a:extLst>
            <a:ext uri="{FF2B5EF4-FFF2-40B4-BE49-F238E27FC236}">
              <a16:creationId xmlns:a16="http://schemas.microsoft.com/office/drawing/2014/main" id="{0DCD7CB7-A9FC-4997-BCB2-2D5423C0227C}"/>
            </a:ext>
          </a:extLst>
        </xdr:cNvPr>
        <xdr:cNvCxnSpPr/>
      </xdr:nvCxnSpPr>
      <xdr:spPr>
        <a:xfrm>
          <a:off x="2644752" y="6800383"/>
          <a:ext cx="516128"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30719</xdr:colOff>
      <xdr:row>65</xdr:row>
      <xdr:rowOff>145082</xdr:rowOff>
    </xdr:from>
    <xdr:to>
      <xdr:col>2</xdr:col>
      <xdr:colOff>670799</xdr:colOff>
      <xdr:row>65</xdr:row>
      <xdr:rowOff>145082</xdr:rowOff>
    </xdr:to>
    <xdr:cxnSp macro="">
      <xdr:nvCxnSpPr>
        <xdr:cNvPr id="210" name="Straight Connector 209">
          <a:extLst>
            <a:ext uri="{FF2B5EF4-FFF2-40B4-BE49-F238E27FC236}">
              <a16:creationId xmlns:a16="http://schemas.microsoft.com/office/drawing/2014/main" id="{596CEA0E-40D3-46C9-9A1F-AAC3C3C6CC6F}"/>
            </a:ext>
          </a:extLst>
        </xdr:cNvPr>
        <xdr:cNvCxnSpPr/>
      </xdr:nvCxnSpPr>
      <xdr:spPr>
        <a:xfrm>
          <a:off x="1249919" y="11473482"/>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26112</xdr:colOff>
      <xdr:row>65</xdr:row>
      <xdr:rowOff>145082</xdr:rowOff>
    </xdr:from>
    <xdr:to>
      <xdr:col>3</xdr:col>
      <xdr:colOff>593040</xdr:colOff>
      <xdr:row>65</xdr:row>
      <xdr:rowOff>145082</xdr:rowOff>
    </xdr:to>
    <xdr:cxnSp macro="">
      <xdr:nvCxnSpPr>
        <xdr:cNvPr id="211" name="Straight Connector 210">
          <a:extLst>
            <a:ext uri="{FF2B5EF4-FFF2-40B4-BE49-F238E27FC236}">
              <a16:creationId xmlns:a16="http://schemas.microsoft.com/office/drawing/2014/main" id="{DBC1C2B8-FE18-41F4-8FC1-D21893526F6A}"/>
            </a:ext>
          </a:extLst>
        </xdr:cNvPr>
        <xdr:cNvCxnSpPr/>
      </xdr:nvCxnSpPr>
      <xdr:spPr>
        <a:xfrm>
          <a:off x="1975562" y="11473482"/>
          <a:ext cx="566928"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22202</xdr:colOff>
      <xdr:row>65</xdr:row>
      <xdr:rowOff>145082</xdr:rowOff>
    </xdr:from>
    <xdr:to>
      <xdr:col>4</xdr:col>
      <xdr:colOff>589130</xdr:colOff>
      <xdr:row>65</xdr:row>
      <xdr:rowOff>145082</xdr:rowOff>
    </xdr:to>
    <xdr:cxnSp macro="">
      <xdr:nvCxnSpPr>
        <xdr:cNvPr id="212" name="Straight Connector 211">
          <a:extLst>
            <a:ext uri="{FF2B5EF4-FFF2-40B4-BE49-F238E27FC236}">
              <a16:creationId xmlns:a16="http://schemas.microsoft.com/office/drawing/2014/main" id="{7164EC28-5501-4A02-B6C9-D0F729F81BF0}"/>
            </a:ext>
          </a:extLst>
        </xdr:cNvPr>
        <xdr:cNvCxnSpPr/>
      </xdr:nvCxnSpPr>
      <xdr:spPr>
        <a:xfrm>
          <a:off x="2644752" y="11473482"/>
          <a:ext cx="516128"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81981</xdr:colOff>
      <xdr:row>11</xdr:row>
      <xdr:rowOff>169534</xdr:rowOff>
    </xdr:from>
    <xdr:to>
      <xdr:col>10</xdr:col>
      <xdr:colOff>585928</xdr:colOff>
      <xdr:row>11</xdr:row>
      <xdr:rowOff>170691</xdr:rowOff>
    </xdr:to>
    <xdr:cxnSp macro="">
      <xdr:nvCxnSpPr>
        <xdr:cNvPr id="213" name="Straight Connector 212">
          <a:extLst>
            <a:ext uri="{FF2B5EF4-FFF2-40B4-BE49-F238E27FC236}">
              <a16:creationId xmlns:a16="http://schemas.microsoft.com/office/drawing/2014/main" id="{756B57D2-A0D7-40B9-A373-C26B03F91AD7}"/>
            </a:ext>
          </a:extLst>
        </xdr:cNvPr>
        <xdr:cNvCxnSpPr/>
      </xdr:nvCxnSpPr>
      <xdr:spPr>
        <a:xfrm flipV="1">
          <a:off x="5682681" y="2080884"/>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84473</xdr:colOff>
      <xdr:row>11</xdr:row>
      <xdr:rowOff>169534</xdr:rowOff>
    </xdr:from>
    <xdr:to>
      <xdr:col>12</xdr:col>
      <xdr:colOff>588420</xdr:colOff>
      <xdr:row>11</xdr:row>
      <xdr:rowOff>170691</xdr:rowOff>
    </xdr:to>
    <xdr:cxnSp macro="">
      <xdr:nvCxnSpPr>
        <xdr:cNvPr id="214" name="Straight Connector 213">
          <a:extLst>
            <a:ext uri="{FF2B5EF4-FFF2-40B4-BE49-F238E27FC236}">
              <a16:creationId xmlns:a16="http://schemas.microsoft.com/office/drawing/2014/main" id="{31B48AD2-7C8C-4F02-9EE9-1D41FF279D71}"/>
            </a:ext>
          </a:extLst>
        </xdr:cNvPr>
        <xdr:cNvCxnSpPr/>
      </xdr:nvCxnSpPr>
      <xdr:spPr>
        <a:xfrm flipV="1">
          <a:off x="6904373" y="2080884"/>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77421</xdr:colOff>
      <xdr:row>11</xdr:row>
      <xdr:rowOff>169534</xdr:rowOff>
    </xdr:from>
    <xdr:to>
      <xdr:col>16</xdr:col>
      <xdr:colOff>581369</xdr:colOff>
      <xdr:row>11</xdr:row>
      <xdr:rowOff>170691</xdr:rowOff>
    </xdr:to>
    <xdr:cxnSp macro="">
      <xdr:nvCxnSpPr>
        <xdr:cNvPr id="216" name="Straight Connector 215">
          <a:extLst>
            <a:ext uri="{FF2B5EF4-FFF2-40B4-BE49-F238E27FC236}">
              <a16:creationId xmlns:a16="http://schemas.microsoft.com/office/drawing/2014/main" id="{5A0951ED-02A2-4971-A07B-2E06029B0C8F}"/>
            </a:ext>
          </a:extLst>
        </xdr:cNvPr>
        <xdr:cNvCxnSpPr/>
      </xdr:nvCxnSpPr>
      <xdr:spPr>
        <a:xfrm flipV="1">
          <a:off x="9335721" y="208088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81638</xdr:colOff>
      <xdr:row>11</xdr:row>
      <xdr:rowOff>169534</xdr:rowOff>
    </xdr:from>
    <xdr:to>
      <xdr:col>18</xdr:col>
      <xdr:colOff>585586</xdr:colOff>
      <xdr:row>11</xdr:row>
      <xdr:rowOff>170691</xdr:rowOff>
    </xdr:to>
    <xdr:cxnSp macro="">
      <xdr:nvCxnSpPr>
        <xdr:cNvPr id="217" name="Straight Connector 216">
          <a:extLst>
            <a:ext uri="{FF2B5EF4-FFF2-40B4-BE49-F238E27FC236}">
              <a16:creationId xmlns:a16="http://schemas.microsoft.com/office/drawing/2014/main" id="{D47CFA2D-6B23-4DD8-9B8E-BFA51788238E}"/>
            </a:ext>
          </a:extLst>
        </xdr:cNvPr>
        <xdr:cNvCxnSpPr/>
      </xdr:nvCxnSpPr>
      <xdr:spPr>
        <a:xfrm flipV="1">
          <a:off x="10559138" y="208088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81505</xdr:colOff>
      <xdr:row>11</xdr:row>
      <xdr:rowOff>169534</xdr:rowOff>
    </xdr:from>
    <xdr:to>
      <xdr:col>20</xdr:col>
      <xdr:colOff>585453</xdr:colOff>
      <xdr:row>11</xdr:row>
      <xdr:rowOff>170691</xdr:rowOff>
    </xdr:to>
    <xdr:cxnSp macro="">
      <xdr:nvCxnSpPr>
        <xdr:cNvPr id="218" name="Straight Connector 217">
          <a:extLst>
            <a:ext uri="{FF2B5EF4-FFF2-40B4-BE49-F238E27FC236}">
              <a16:creationId xmlns:a16="http://schemas.microsoft.com/office/drawing/2014/main" id="{1555E1E3-B769-4DA4-BD12-2EB3823BA374}"/>
            </a:ext>
          </a:extLst>
        </xdr:cNvPr>
        <xdr:cNvCxnSpPr/>
      </xdr:nvCxnSpPr>
      <xdr:spPr>
        <a:xfrm flipV="1">
          <a:off x="11778205" y="208088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81981</xdr:colOff>
      <xdr:row>13</xdr:row>
      <xdr:rowOff>154837</xdr:rowOff>
    </xdr:from>
    <xdr:to>
      <xdr:col>10</xdr:col>
      <xdr:colOff>585928</xdr:colOff>
      <xdr:row>13</xdr:row>
      <xdr:rowOff>155994</xdr:rowOff>
    </xdr:to>
    <xdr:cxnSp macro="">
      <xdr:nvCxnSpPr>
        <xdr:cNvPr id="219" name="Straight Connector 218">
          <a:extLst>
            <a:ext uri="{FF2B5EF4-FFF2-40B4-BE49-F238E27FC236}">
              <a16:creationId xmlns:a16="http://schemas.microsoft.com/office/drawing/2014/main" id="{052B7C34-19AB-4100-8878-5F779E692063}"/>
            </a:ext>
          </a:extLst>
        </xdr:cNvPr>
        <xdr:cNvCxnSpPr/>
      </xdr:nvCxnSpPr>
      <xdr:spPr>
        <a:xfrm flipV="1">
          <a:off x="5682681" y="244083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84473</xdr:colOff>
      <xdr:row>13</xdr:row>
      <xdr:rowOff>154837</xdr:rowOff>
    </xdr:from>
    <xdr:to>
      <xdr:col>12</xdr:col>
      <xdr:colOff>588420</xdr:colOff>
      <xdr:row>13</xdr:row>
      <xdr:rowOff>155994</xdr:rowOff>
    </xdr:to>
    <xdr:cxnSp macro="">
      <xdr:nvCxnSpPr>
        <xdr:cNvPr id="220" name="Straight Connector 219">
          <a:extLst>
            <a:ext uri="{FF2B5EF4-FFF2-40B4-BE49-F238E27FC236}">
              <a16:creationId xmlns:a16="http://schemas.microsoft.com/office/drawing/2014/main" id="{6E15DA8D-C57B-46EF-9EF4-E029DFB4387D}"/>
            </a:ext>
          </a:extLst>
        </xdr:cNvPr>
        <xdr:cNvCxnSpPr/>
      </xdr:nvCxnSpPr>
      <xdr:spPr>
        <a:xfrm flipV="1">
          <a:off x="6904373" y="244083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82797</xdr:colOff>
      <xdr:row>13</xdr:row>
      <xdr:rowOff>154837</xdr:rowOff>
    </xdr:from>
    <xdr:to>
      <xdr:col>14</xdr:col>
      <xdr:colOff>586744</xdr:colOff>
      <xdr:row>13</xdr:row>
      <xdr:rowOff>155994</xdr:rowOff>
    </xdr:to>
    <xdr:cxnSp macro="">
      <xdr:nvCxnSpPr>
        <xdr:cNvPr id="221" name="Straight Connector 220">
          <a:extLst>
            <a:ext uri="{FF2B5EF4-FFF2-40B4-BE49-F238E27FC236}">
              <a16:creationId xmlns:a16="http://schemas.microsoft.com/office/drawing/2014/main" id="{4EF6C826-C6A2-4957-9E7B-CA9120086901}"/>
            </a:ext>
          </a:extLst>
        </xdr:cNvPr>
        <xdr:cNvCxnSpPr/>
      </xdr:nvCxnSpPr>
      <xdr:spPr>
        <a:xfrm flipV="1">
          <a:off x="8121897" y="244083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92541</xdr:colOff>
      <xdr:row>13</xdr:row>
      <xdr:rowOff>154837</xdr:rowOff>
    </xdr:from>
    <xdr:to>
      <xdr:col>16</xdr:col>
      <xdr:colOff>596489</xdr:colOff>
      <xdr:row>13</xdr:row>
      <xdr:rowOff>155994</xdr:rowOff>
    </xdr:to>
    <xdr:cxnSp macro="">
      <xdr:nvCxnSpPr>
        <xdr:cNvPr id="222" name="Straight Connector 221">
          <a:extLst>
            <a:ext uri="{FF2B5EF4-FFF2-40B4-BE49-F238E27FC236}">
              <a16:creationId xmlns:a16="http://schemas.microsoft.com/office/drawing/2014/main" id="{0A455F1A-52DD-4CD1-9EBE-9B7CC4905282}"/>
            </a:ext>
          </a:extLst>
        </xdr:cNvPr>
        <xdr:cNvCxnSpPr/>
      </xdr:nvCxnSpPr>
      <xdr:spPr>
        <a:xfrm flipV="1">
          <a:off x="9350841" y="2440837"/>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81638</xdr:colOff>
      <xdr:row>13</xdr:row>
      <xdr:rowOff>154837</xdr:rowOff>
    </xdr:from>
    <xdr:to>
      <xdr:col>18</xdr:col>
      <xdr:colOff>585586</xdr:colOff>
      <xdr:row>13</xdr:row>
      <xdr:rowOff>155994</xdr:rowOff>
    </xdr:to>
    <xdr:cxnSp macro="">
      <xdr:nvCxnSpPr>
        <xdr:cNvPr id="223" name="Straight Connector 222">
          <a:extLst>
            <a:ext uri="{FF2B5EF4-FFF2-40B4-BE49-F238E27FC236}">
              <a16:creationId xmlns:a16="http://schemas.microsoft.com/office/drawing/2014/main" id="{6500A98E-030D-4FDF-A7F3-636FC148B705}"/>
            </a:ext>
          </a:extLst>
        </xdr:cNvPr>
        <xdr:cNvCxnSpPr/>
      </xdr:nvCxnSpPr>
      <xdr:spPr>
        <a:xfrm flipV="1">
          <a:off x="10559138" y="2440837"/>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81505</xdr:colOff>
      <xdr:row>13</xdr:row>
      <xdr:rowOff>154837</xdr:rowOff>
    </xdr:from>
    <xdr:to>
      <xdr:col>20</xdr:col>
      <xdr:colOff>585453</xdr:colOff>
      <xdr:row>13</xdr:row>
      <xdr:rowOff>155994</xdr:rowOff>
    </xdr:to>
    <xdr:cxnSp macro="">
      <xdr:nvCxnSpPr>
        <xdr:cNvPr id="224" name="Straight Connector 223">
          <a:extLst>
            <a:ext uri="{FF2B5EF4-FFF2-40B4-BE49-F238E27FC236}">
              <a16:creationId xmlns:a16="http://schemas.microsoft.com/office/drawing/2014/main" id="{6D6C109F-C5E9-4D49-BD8A-931CC89B044A}"/>
            </a:ext>
          </a:extLst>
        </xdr:cNvPr>
        <xdr:cNvCxnSpPr/>
      </xdr:nvCxnSpPr>
      <xdr:spPr>
        <a:xfrm flipV="1">
          <a:off x="11778205" y="2440837"/>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81981</xdr:colOff>
      <xdr:row>16</xdr:row>
      <xdr:rowOff>158334</xdr:rowOff>
    </xdr:from>
    <xdr:to>
      <xdr:col>10</xdr:col>
      <xdr:colOff>585928</xdr:colOff>
      <xdr:row>16</xdr:row>
      <xdr:rowOff>159491</xdr:rowOff>
    </xdr:to>
    <xdr:cxnSp macro="">
      <xdr:nvCxnSpPr>
        <xdr:cNvPr id="225" name="Straight Connector 224">
          <a:extLst>
            <a:ext uri="{FF2B5EF4-FFF2-40B4-BE49-F238E27FC236}">
              <a16:creationId xmlns:a16="http://schemas.microsoft.com/office/drawing/2014/main" id="{3385B09C-DF78-4D58-AFFF-A0735106BBDF}"/>
            </a:ext>
          </a:extLst>
        </xdr:cNvPr>
        <xdr:cNvCxnSpPr/>
      </xdr:nvCxnSpPr>
      <xdr:spPr>
        <a:xfrm flipV="1">
          <a:off x="5682681" y="2996784"/>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84473</xdr:colOff>
      <xdr:row>16</xdr:row>
      <xdr:rowOff>158334</xdr:rowOff>
    </xdr:from>
    <xdr:to>
      <xdr:col>12</xdr:col>
      <xdr:colOff>588420</xdr:colOff>
      <xdr:row>16</xdr:row>
      <xdr:rowOff>159491</xdr:rowOff>
    </xdr:to>
    <xdr:cxnSp macro="">
      <xdr:nvCxnSpPr>
        <xdr:cNvPr id="226" name="Straight Connector 225">
          <a:extLst>
            <a:ext uri="{FF2B5EF4-FFF2-40B4-BE49-F238E27FC236}">
              <a16:creationId xmlns:a16="http://schemas.microsoft.com/office/drawing/2014/main" id="{82B7D856-4576-4D7D-8740-41D9FAD9BB7B}"/>
            </a:ext>
          </a:extLst>
        </xdr:cNvPr>
        <xdr:cNvCxnSpPr/>
      </xdr:nvCxnSpPr>
      <xdr:spPr>
        <a:xfrm flipV="1">
          <a:off x="6904373" y="2996784"/>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82797</xdr:colOff>
      <xdr:row>16</xdr:row>
      <xdr:rowOff>158334</xdr:rowOff>
    </xdr:from>
    <xdr:to>
      <xdr:col>14</xdr:col>
      <xdr:colOff>586744</xdr:colOff>
      <xdr:row>16</xdr:row>
      <xdr:rowOff>159491</xdr:rowOff>
    </xdr:to>
    <xdr:cxnSp macro="">
      <xdr:nvCxnSpPr>
        <xdr:cNvPr id="227" name="Straight Connector 226">
          <a:extLst>
            <a:ext uri="{FF2B5EF4-FFF2-40B4-BE49-F238E27FC236}">
              <a16:creationId xmlns:a16="http://schemas.microsoft.com/office/drawing/2014/main" id="{7939F529-4689-4F35-AEC9-F711BDD3A3B4}"/>
            </a:ext>
          </a:extLst>
        </xdr:cNvPr>
        <xdr:cNvCxnSpPr/>
      </xdr:nvCxnSpPr>
      <xdr:spPr>
        <a:xfrm flipV="1">
          <a:off x="8121897" y="2996784"/>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75886</xdr:colOff>
      <xdr:row>16</xdr:row>
      <xdr:rowOff>158334</xdr:rowOff>
    </xdr:from>
    <xdr:to>
      <xdr:col>16</xdr:col>
      <xdr:colOff>579834</xdr:colOff>
      <xdr:row>16</xdr:row>
      <xdr:rowOff>159491</xdr:rowOff>
    </xdr:to>
    <xdr:cxnSp macro="">
      <xdr:nvCxnSpPr>
        <xdr:cNvPr id="228" name="Straight Connector 227">
          <a:extLst>
            <a:ext uri="{FF2B5EF4-FFF2-40B4-BE49-F238E27FC236}">
              <a16:creationId xmlns:a16="http://schemas.microsoft.com/office/drawing/2014/main" id="{4A6B2F0A-0D46-4327-A4F8-2982D6ACE5F8}"/>
            </a:ext>
          </a:extLst>
        </xdr:cNvPr>
        <xdr:cNvCxnSpPr/>
      </xdr:nvCxnSpPr>
      <xdr:spPr>
        <a:xfrm flipV="1">
          <a:off x="9334186" y="299678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81638</xdr:colOff>
      <xdr:row>16</xdr:row>
      <xdr:rowOff>158334</xdr:rowOff>
    </xdr:from>
    <xdr:to>
      <xdr:col>18</xdr:col>
      <xdr:colOff>585586</xdr:colOff>
      <xdr:row>16</xdr:row>
      <xdr:rowOff>159491</xdr:rowOff>
    </xdr:to>
    <xdr:cxnSp macro="">
      <xdr:nvCxnSpPr>
        <xdr:cNvPr id="229" name="Straight Connector 228">
          <a:extLst>
            <a:ext uri="{FF2B5EF4-FFF2-40B4-BE49-F238E27FC236}">
              <a16:creationId xmlns:a16="http://schemas.microsoft.com/office/drawing/2014/main" id="{2F941E0D-7E71-4662-BC16-784A5778867A}"/>
            </a:ext>
          </a:extLst>
        </xdr:cNvPr>
        <xdr:cNvCxnSpPr/>
      </xdr:nvCxnSpPr>
      <xdr:spPr>
        <a:xfrm flipV="1">
          <a:off x="10559138" y="299678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81505</xdr:colOff>
      <xdr:row>16</xdr:row>
      <xdr:rowOff>158334</xdr:rowOff>
    </xdr:from>
    <xdr:to>
      <xdr:col>20</xdr:col>
      <xdr:colOff>585453</xdr:colOff>
      <xdr:row>16</xdr:row>
      <xdr:rowOff>159491</xdr:rowOff>
    </xdr:to>
    <xdr:cxnSp macro="">
      <xdr:nvCxnSpPr>
        <xdr:cNvPr id="230" name="Straight Connector 229">
          <a:extLst>
            <a:ext uri="{FF2B5EF4-FFF2-40B4-BE49-F238E27FC236}">
              <a16:creationId xmlns:a16="http://schemas.microsoft.com/office/drawing/2014/main" id="{18FDEC53-0836-4CA2-8CB3-30FF7B473003}"/>
            </a:ext>
          </a:extLst>
        </xdr:cNvPr>
        <xdr:cNvCxnSpPr/>
      </xdr:nvCxnSpPr>
      <xdr:spPr>
        <a:xfrm flipV="1">
          <a:off x="11778205" y="299678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81981</xdr:colOff>
      <xdr:row>18</xdr:row>
      <xdr:rowOff>166215</xdr:rowOff>
    </xdr:from>
    <xdr:to>
      <xdr:col>10</xdr:col>
      <xdr:colOff>585928</xdr:colOff>
      <xdr:row>18</xdr:row>
      <xdr:rowOff>167372</xdr:rowOff>
    </xdr:to>
    <xdr:cxnSp macro="">
      <xdr:nvCxnSpPr>
        <xdr:cNvPr id="231" name="Straight Connector 230">
          <a:extLst>
            <a:ext uri="{FF2B5EF4-FFF2-40B4-BE49-F238E27FC236}">
              <a16:creationId xmlns:a16="http://schemas.microsoft.com/office/drawing/2014/main" id="{32466316-845A-4B17-8A29-8B6C9CE8AAB8}"/>
            </a:ext>
          </a:extLst>
        </xdr:cNvPr>
        <xdr:cNvCxnSpPr/>
      </xdr:nvCxnSpPr>
      <xdr:spPr>
        <a:xfrm flipV="1">
          <a:off x="5682681" y="337296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84473</xdr:colOff>
      <xdr:row>18</xdr:row>
      <xdr:rowOff>166215</xdr:rowOff>
    </xdr:from>
    <xdr:to>
      <xdr:col>12</xdr:col>
      <xdr:colOff>588420</xdr:colOff>
      <xdr:row>18</xdr:row>
      <xdr:rowOff>167372</xdr:rowOff>
    </xdr:to>
    <xdr:cxnSp macro="">
      <xdr:nvCxnSpPr>
        <xdr:cNvPr id="232" name="Straight Connector 231">
          <a:extLst>
            <a:ext uri="{FF2B5EF4-FFF2-40B4-BE49-F238E27FC236}">
              <a16:creationId xmlns:a16="http://schemas.microsoft.com/office/drawing/2014/main" id="{F2345EFA-EC7B-4696-B1EE-7638A5F136B5}"/>
            </a:ext>
          </a:extLst>
        </xdr:cNvPr>
        <xdr:cNvCxnSpPr/>
      </xdr:nvCxnSpPr>
      <xdr:spPr>
        <a:xfrm flipV="1">
          <a:off x="6904373" y="337296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82797</xdr:colOff>
      <xdr:row>18</xdr:row>
      <xdr:rowOff>166215</xdr:rowOff>
    </xdr:from>
    <xdr:to>
      <xdr:col>14</xdr:col>
      <xdr:colOff>586744</xdr:colOff>
      <xdr:row>18</xdr:row>
      <xdr:rowOff>167372</xdr:rowOff>
    </xdr:to>
    <xdr:cxnSp macro="">
      <xdr:nvCxnSpPr>
        <xdr:cNvPr id="233" name="Straight Connector 232">
          <a:extLst>
            <a:ext uri="{FF2B5EF4-FFF2-40B4-BE49-F238E27FC236}">
              <a16:creationId xmlns:a16="http://schemas.microsoft.com/office/drawing/2014/main" id="{F19AC691-F79D-4ADA-8C03-0977C41EF9CB}"/>
            </a:ext>
          </a:extLst>
        </xdr:cNvPr>
        <xdr:cNvCxnSpPr/>
      </xdr:nvCxnSpPr>
      <xdr:spPr>
        <a:xfrm flipV="1">
          <a:off x="8121897" y="337296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92941</xdr:colOff>
      <xdr:row>18</xdr:row>
      <xdr:rowOff>166215</xdr:rowOff>
    </xdr:from>
    <xdr:to>
      <xdr:col>16</xdr:col>
      <xdr:colOff>596889</xdr:colOff>
      <xdr:row>18</xdr:row>
      <xdr:rowOff>167372</xdr:rowOff>
    </xdr:to>
    <xdr:cxnSp macro="">
      <xdr:nvCxnSpPr>
        <xdr:cNvPr id="234" name="Straight Connector 233">
          <a:extLst>
            <a:ext uri="{FF2B5EF4-FFF2-40B4-BE49-F238E27FC236}">
              <a16:creationId xmlns:a16="http://schemas.microsoft.com/office/drawing/2014/main" id="{D7D2A0C6-7B44-4875-9943-891953D83A4C}"/>
            </a:ext>
          </a:extLst>
        </xdr:cNvPr>
        <xdr:cNvCxnSpPr/>
      </xdr:nvCxnSpPr>
      <xdr:spPr>
        <a:xfrm flipV="1">
          <a:off x="9351241" y="3372965"/>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81638</xdr:colOff>
      <xdr:row>18</xdr:row>
      <xdr:rowOff>166215</xdr:rowOff>
    </xdr:from>
    <xdr:to>
      <xdr:col>18</xdr:col>
      <xdr:colOff>585586</xdr:colOff>
      <xdr:row>18</xdr:row>
      <xdr:rowOff>167372</xdr:rowOff>
    </xdr:to>
    <xdr:cxnSp macro="">
      <xdr:nvCxnSpPr>
        <xdr:cNvPr id="235" name="Straight Connector 234">
          <a:extLst>
            <a:ext uri="{FF2B5EF4-FFF2-40B4-BE49-F238E27FC236}">
              <a16:creationId xmlns:a16="http://schemas.microsoft.com/office/drawing/2014/main" id="{D904573C-34D4-4F3B-BAD8-FAD8521DD7E6}"/>
            </a:ext>
          </a:extLst>
        </xdr:cNvPr>
        <xdr:cNvCxnSpPr/>
      </xdr:nvCxnSpPr>
      <xdr:spPr>
        <a:xfrm flipV="1">
          <a:off x="10559138" y="3372965"/>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81505</xdr:colOff>
      <xdr:row>18</xdr:row>
      <xdr:rowOff>166215</xdr:rowOff>
    </xdr:from>
    <xdr:to>
      <xdr:col>20</xdr:col>
      <xdr:colOff>585453</xdr:colOff>
      <xdr:row>18</xdr:row>
      <xdr:rowOff>167372</xdr:rowOff>
    </xdr:to>
    <xdr:cxnSp macro="">
      <xdr:nvCxnSpPr>
        <xdr:cNvPr id="236" name="Straight Connector 235">
          <a:extLst>
            <a:ext uri="{FF2B5EF4-FFF2-40B4-BE49-F238E27FC236}">
              <a16:creationId xmlns:a16="http://schemas.microsoft.com/office/drawing/2014/main" id="{BA3ACA66-C057-4524-A438-6ED2C24F1BA8}"/>
            </a:ext>
          </a:extLst>
        </xdr:cNvPr>
        <xdr:cNvCxnSpPr/>
      </xdr:nvCxnSpPr>
      <xdr:spPr>
        <a:xfrm flipV="1">
          <a:off x="11778205" y="3372965"/>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96981</xdr:colOff>
      <xdr:row>23</xdr:row>
      <xdr:rowOff>152197</xdr:rowOff>
    </xdr:from>
    <xdr:to>
      <xdr:col>10</xdr:col>
      <xdr:colOff>600928</xdr:colOff>
      <xdr:row>23</xdr:row>
      <xdr:rowOff>153354</xdr:rowOff>
    </xdr:to>
    <xdr:cxnSp macro="">
      <xdr:nvCxnSpPr>
        <xdr:cNvPr id="237" name="Straight Connector 236">
          <a:extLst>
            <a:ext uri="{FF2B5EF4-FFF2-40B4-BE49-F238E27FC236}">
              <a16:creationId xmlns:a16="http://schemas.microsoft.com/office/drawing/2014/main" id="{F4BE2758-9F45-4CDC-9793-298101D8CC16}"/>
            </a:ext>
          </a:extLst>
        </xdr:cNvPr>
        <xdr:cNvCxnSpPr/>
      </xdr:nvCxnSpPr>
      <xdr:spPr>
        <a:xfrm flipV="1">
          <a:off x="5697681" y="414634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99035</xdr:colOff>
      <xdr:row>23</xdr:row>
      <xdr:rowOff>152197</xdr:rowOff>
    </xdr:from>
    <xdr:to>
      <xdr:col>12</xdr:col>
      <xdr:colOff>603858</xdr:colOff>
      <xdr:row>23</xdr:row>
      <xdr:rowOff>153354</xdr:rowOff>
    </xdr:to>
    <xdr:cxnSp macro="">
      <xdr:nvCxnSpPr>
        <xdr:cNvPr id="238" name="Straight Connector 237">
          <a:extLst>
            <a:ext uri="{FF2B5EF4-FFF2-40B4-BE49-F238E27FC236}">
              <a16:creationId xmlns:a16="http://schemas.microsoft.com/office/drawing/2014/main" id="{4AF663C4-E50E-4A09-AE68-C59525B7E91E}"/>
            </a:ext>
          </a:extLst>
        </xdr:cNvPr>
        <xdr:cNvCxnSpPr/>
      </xdr:nvCxnSpPr>
      <xdr:spPr>
        <a:xfrm flipV="1">
          <a:off x="6918935" y="4146347"/>
          <a:ext cx="1114423"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97360</xdr:colOff>
      <xdr:row>23</xdr:row>
      <xdr:rowOff>152197</xdr:rowOff>
    </xdr:from>
    <xdr:to>
      <xdr:col>14</xdr:col>
      <xdr:colOff>602182</xdr:colOff>
      <xdr:row>23</xdr:row>
      <xdr:rowOff>153354</xdr:rowOff>
    </xdr:to>
    <xdr:cxnSp macro="">
      <xdr:nvCxnSpPr>
        <xdr:cNvPr id="239" name="Straight Connector 238">
          <a:extLst>
            <a:ext uri="{FF2B5EF4-FFF2-40B4-BE49-F238E27FC236}">
              <a16:creationId xmlns:a16="http://schemas.microsoft.com/office/drawing/2014/main" id="{F5C7811B-6244-459A-84EA-1F4A014D47CD}"/>
            </a:ext>
          </a:extLst>
        </xdr:cNvPr>
        <xdr:cNvCxnSpPr/>
      </xdr:nvCxnSpPr>
      <xdr:spPr>
        <a:xfrm flipV="1">
          <a:off x="8136460" y="4146347"/>
          <a:ext cx="1114422"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107963</xdr:colOff>
      <xdr:row>23</xdr:row>
      <xdr:rowOff>152197</xdr:rowOff>
    </xdr:from>
    <xdr:to>
      <xdr:col>17</xdr:col>
      <xdr:colOff>1866</xdr:colOff>
      <xdr:row>23</xdr:row>
      <xdr:rowOff>153354</xdr:rowOff>
    </xdr:to>
    <xdr:cxnSp macro="">
      <xdr:nvCxnSpPr>
        <xdr:cNvPr id="240" name="Straight Connector 239">
          <a:extLst>
            <a:ext uri="{FF2B5EF4-FFF2-40B4-BE49-F238E27FC236}">
              <a16:creationId xmlns:a16="http://schemas.microsoft.com/office/drawing/2014/main" id="{5657E9A3-7202-4AC6-BF64-80DE3974334C}"/>
            </a:ext>
          </a:extLst>
        </xdr:cNvPr>
        <xdr:cNvCxnSpPr/>
      </xdr:nvCxnSpPr>
      <xdr:spPr>
        <a:xfrm flipV="1">
          <a:off x="9366263" y="4146347"/>
          <a:ext cx="1113103"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96661</xdr:colOff>
      <xdr:row>23</xdr:row>
      <xdr:rowOff>152197</xdr:rowOff>
    </xdr:from>
    <xdr:to>
      <xdr:col>18</xdr:col>
      <xdr:colOff>600563</xdr:colOff>
      <xdr:row>23</xdr:row>
      <xdr:rowOff>153354</xdr:rowOff>
    </xdr:to>
    <xdr:cxnSp macro="">
      <xdr:nvCxnSpPr>
        <xdr:cNvPr id="241" name="Straight Connector 240">
          <a:extLst>
            <a:ext uri="{FF2B5EF4-FFF2-40B4-BE49-F238E27FC236}">
              <a16:creationId xmlns:a16="http://schemas.microsoft.com/office/drawing/2014/main" id="{25765390-EDB3-4462-A42B-5B3078D39239}"/>
            </a:ext>
          </a:extLst>
        </xdr:cNvPr>
        <xdr:cNvCxnSpPr/>
      </xdr:nvCxnSpPr>
      <xdr:spPr>
        <a:xfrm flipV="1">
          <a:off x="10574161" y="4146347"/>
          <a:ext cx="1113502"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81527</xdr:colOff>
      <xdr:row>23</xdr:row>
      <xdr:rowOff>152197</xdr:rowOff>
    </xdr:from>
    <xdr:to>
      <xdr:col>20</xdr:col>
      <xdr:colOff>585430</xdr:colOff>
      <xdr:row>23</xdr:row>
      <xdr:rowOff>153354</xdr:rowOff>
    </xdr:to>
    <xdr:cxnSp macro="">
      <xdr:nvCxnSpPr>
        <xdr:cNvPr id="242" name="Straight Connector 241">
          <a:extLst>
            <a:ext uri="{FF2B5EF4-FFF2-40B4-BE49-F238E27FC236}">
              <a16:creationId xmlns:a16="http://schemas.microsoft.com/office/drawing/2014/main" id="{3A69BD4A-08DE-42FF-8BD3-658320E33B25}"/>
            </a:ext>
          </a:extLst>
        </xdr:cNvPr>
        <xdr:cNvCxnSpPr/>
      </xdr:nvCxnSpPr>
      <xdr:spPr>
        <a:xfrm flipV="1">
          <a:off x="11778227" y="4146347"/>
          <a:ext cx="1113503"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81981</xdr:colOff>
      <xdr:row>24</xdr:row>
      <xdr:rowOff>191437</xdr:rowOff>
    </xdr:from>
    <xdr:to>
      <xdr:col>10</xdr:col>
      <xdr:colOff>585928</xdr:colOff>
      <xdr:row>24</xdr:row>
      <xdr:rowOff>192594</xdr:rowOff>
    </xdr:to>
    <xdr:cxnSp macro="">
      <xdr:nvCxnSpPr>
        <xdr:cNvPr id="243" name="Straight Connector 242">
          <a:extLst>
            <a:ext uri="{FF2B5EF4-FFF2-40B4-BE49-F238E27FC236}">
              <a16:creationId xmlns:a16="http://schemas.microsoft.com/office/drawing/2014/main" id="{B46C738F-46C4-4F78-B15B-9F4CD23E71FF}"/>
            </a:ext>
          </a:extLst>
        </xdr:cNvPr>
        <xdr:cNvCxnSpPr/>
      </xdr:nvCxnSpPr>
      <xdr:spPr>
        <a:xfrm flipV="1">
          <a:off x="5682681" y="436338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84473</xdr:colOff>
      <xdr:row>24</xdr:row>
      <xdr:rowOff>191437</xdr:rowOff>
    </xdr:from>
    <xdr:to>
      <xdr:col>12</xdr:col>
      <xdr:colOff>588420</xdr:colOff>
      <xdr:row>24</xdr:row>
      <xdr:rowOff>192594</xdr:rowOff>
    </xdr:to>
    <xdr:cxnSp macro="">
      <xdr:nvCxnSpPr>
        <xdr:cNvPr id="244" name="Straight Connector 243">
          <a:extLst>
            <a:ext uri="{FF2B5EF4-FFF2-40B4-BE49-F238E27FC236}">
              <a16:creationId xmlns:a16="http://schemas.microsoft.com/office/drawing/2014/main" id="{BFD70B94-4B71-4A22-8315-D3352B29F999}"/>
            </a:ext>
          </a:extLst>
        </xdr:cNvPr>
        <xdr:cNvCxnSpPr/>
      </xdr:nvCxnSpPr>
      <xdr:spPr>
        <a:xfrm flipV="1">
          <a:off x="6904373" y="436338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82797</xdr:colOff>
      <xdr:row>24</xdr:row>
      <xdr:rowOff>191437</xdr:rowOff>
    </xdr:from>
    <xdr:to>
      <xdr:col>14</xdr:col>
      <xdr:colOff>586744</xdr:colOff>
      <xdr:row>24</xdr:row>
      <xdr:rowOff>192594</xdr:rowOff>
    </xdr:to>
    <xdr:cxnSp macro="">
      <xdr:nvCxnSpPr>
        <xdr:cNvPr id="245" name="Straight Connector 244">
          <a:extLst>
            <a:ext uri="{FF2B5EF4-FFF2-40B4-BE49-F238E27FC236}">
              <a16:creationId xmlns:a16="http://schemas.microsoft.com/office/drawing/2014/main" id="{313FFA7C-4D58-4233-A594-A7A8C25E1800}"/>
            </a:ext>
          </a:extLst>
        </xdr:cNvPr>
        <xdr:cNvCxnSpPr/>
      </xdr:nvCxnSpPr>
      <xdr:spPr>
        <a:xfrm flipV="1">
          <a:off x="8121897" y="436338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92941</xdr:colOff>
      <xdr:row>24</xdr:row>
      <xdr:rowOff>191437</xdr:rowOff>
    </xdr:from>
    <xdr:to>
      <xdr:col>16</xdr:col>
      <xdr:colOff>596889</xdr:colOff>
      <xdr:row>24</xdr:row>
      <xdr:rowOff>192594</xdr:rowOff>
    </xdr:to>
    <xdr:cxnSp macro="">
      <xdr:nvCxnSpPr>
        <xdr:cNvPr id="246" name="Straight Connector 245">
          <a:extLst>
            <a:ext uri="{FF2B5EF4-FFF2-40B4-BE49-F238E27FC236}">
              <a16:creationId xmlns:a16="http://schemas.microsoft.com/office/drawing/2014/main" id="{8C4A1145-FE94-461B-949E-5133E1DFDB12}"/>
            </a:ext>
          </a:extLst>
        </xdr:cNvPr>
        <xdr:cNvCxnSpPr/>
      </xdr:nvCxnSpPr>
      <xdr:spPr>
        <a:xfrm flipV="1">
          <a:off x="9351241" y="4363387"/>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81638</xdr:colOff>
      <xdr:row>24</xdr:row>
      <xdr:rowOff>191437</xdr:rowOff>
    </xdr:from>
    <xdr:to>
      <xdr:col>18</xdr:col>
      <xdr:colOff>585586</xdr:colOff>
      <xdr:row>24</xdr:row>
      <xdr:rowOff>192594</xdr:rowOff>
    </xdr:to>
    <xdr:cxnSp macro="">
      <xdr:nvCxnSpPr>
        <xdr:cNvPr id="247" name="Straight Connector 246">
          <a:extLst>
            <a:ext uri="{FF2B5EF4-FFF2-40B4-BE49-F238E27FC236}">
              <a16:creationId xmlns:a16="http://schemas.microsoft.com/office/drawing/2014/main" id="{F0256E19-A6AC-4C6F-8544-D035C2D46C7C}"/>
            </a:ext>
          </a:extLst>
        </xdr:cNvPr>
        <xdr:cNvCxnSpPr/>
      </xdr:nvCxnSpPr>
      <xdr:spPr>
        <a:xfrm flipV="1">
          <a:off x="10559138" y="4363387"/>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81505</xdr:colOff>
      <xdr:row>24</xdr:row>
      <xdr:rowOff>191437</xdr:rowOff>
    </xdr:from>
    <xdr:to>
      <xdr:col>20</xdr:col>
      <xdr:colOff>585453</xdr:colOff>
      <xdr:row>24</xdr:row>
      <xdr:rowOff>192594</xdr:rowOff>
    </xdr:to>
    <xdr:cxnSp macro="">
      <xdr:nvCxnSpPr>
        <xdr:cNvPr id="248" name="Straight Connector 247">
          <a:extLst>
            <a:ext uri="{FF2B5EF4-FFF2-40B4-BE49-F238E27FC236}">
              <a16:creationId xmlns:a16="http://schemas.microsoft.com/office/drawing/2014/main" id="{F921499F-7E83-4DF5-BA70-49976F089627}"/>
            </a:ext>
          </a:extLst>
        </xdr:cNvPr>
        <xdr:cNvCxnSpPr/>
      </xdr:nvCxnSpPr>
      <xdr:spPr>
        <a:xfrm flipV="1">
          <a:off x="11778205" y="4363387"/>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81981</xdr:colOff>
      <xdr:row>25</xdr:row>
      <xdr:rowOff>5545</xdr:rowOff>
    </xdr:from>
    <xdr:to>
      <xdr:col>10</xdr:col>
      <xdr:colOff>585928</xdr:colOff>
      <xdr:row>25</xdr:row>
      <xdr:rowOff>6702</xdr:rowOff>
    </xdr:to>
    <xdr:cxnSp macro="">
      <xdr:nvCxnSpPr>
        <xdr:cNvPr id="249" name="Straight Connector 248">
          <a:extLst>
            <a:ext uri="{FF2B5EF4-FFF2-40B4-BE49-F238E27FC236}">
              <a16:creationId xmlns:a16="http://schemas.microsoft.com/office/drawing/2014/main" id="{A2D1FC95-F6EC-476C-AC81-4EF1CC5D4C63}"/>
            </a:ext>
          </a:extLst>
        </xdr:cNvPr>
        <xdr:cNvCxnSpPr/>
      </xdr:nvCxnSpPr>
      <xdr:spPr>
        <a:xfrm flipV="1">
          <a:off x="5682681" y="436799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84473</xdr:colOff>
      <xdr:row>25</xdr:row>
      <xdr:rowOff>5545</xdr:rowOff>
    </xdr:from>
    <xdr:to>
      <xdr:col>12</xdr:col>
      <xdr:colOff>588420</xdr:colOff>
      <xdr:row>25</xdr:row>
      <xdr:rowOff>6702</xdr:rowOff>
    </xdr:to>
    <xdr:cxnSp macro="">
      <xdr:nvCxnSpPr>
        <xdr:cNvPr id="250" name="Straight Connector 249">
          <a:extLst>
            <a:ext uri="{FF2B5EF4-FFF2-40B4-BE49-F238E27FC236}">
              <a16:creationId xmlns:a16="http://schemas.microsoft.com/office/drawing/2014/main" id="{3F242F9F-0B5C-4244-A668-C6129683D9AB}"/>
            </a:ext>
          </a:extLst>
        </xdr:cNvPr>
        <xdr:cNvCxnSpPr/>
      </xdr:nvCxnSpPr>
      <xdr:spPr>
        <a:xfrm flipV="1">
          <a:off x="6904373" y="436799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82797</xdr:colOff>
      <xdr:row>25</xdr:row>
      <xdr:rowOff>5545</xdr:rowOff>
    </xdr:from>
    <xdr:to>
      <xdr:col>14</xdr:col>
      <xdr:colOff>586744</xdr:colOff>
      <xdr:row>25</xdr:row>
      <xdr:rowOff>6702</xdr:rowOff>
    </xdr:to>
    <xdr:cxnSp macro="">
      <xdr:nvCxnSpPr>
        <xdr:cNvPr id="251" name="Straight Connector 250">
          <a:extLst>
            <a:ext uri="{FF2B5EF4-FFF2-40B4-BE49-F238E27FC236}">
              <a16:creationId xmlns:a16="http://schemas.microsoft.com/office/drawing/2014/main" id="{C39E9278-A0C8-4A83-9BF5-C402DB023D69}"/>
            </a:ext>
          </a:extLst>
        </xdr:cNvPr>
        <xdr:cNvCxnSpPr/>
      </xdr:nvCxnSpPr>
      <xdr:spPr>
        <a:xfrm flipV="1">
          <a:off x="8121897" y="436799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92941</xdr:colOff>
      <xdr:row>25</xdr:row>
      <xdr:rowOff>5545</xdr:rowOff>
    </xdr:from>
    <xdr:to>
      <xdr:col>16</xdr:col>
      <xdr:colOff>596889</xdr:colOff>
      <xdr:row>25</xdr:row>
      <xdr:rowOff>6702</xdr:rowOff>
    </xdr:to>
    <xdr:cxnSp macro="">
      <xdr:nvCxnSpPr>
        <xdr:cNvPr id="252" name="Straight Connector 251">
          <a:extLst>
            <a:ext uri="{FF2B5EF4-FFF2-40B4-BE49-F238E27FC236}">
              <a16:creationId xmlns:a16="http://schemas.microsoft.com/office/drawing/2014/main" id="{8B6924B3-E0B6-44AF-B561-FB3B254E37F7}"/>
            </a:ext>
          </a:extLst>
        </xdr:cNvPr>
        <xdr:cNvCxnSpPr/>
      </xdr:nvCxnSpPr>
      <xdr:spPr>
        <a:xfrm flipV="1">
          <a:off x="9351241" y="4367995"/>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81638</xdr:colOff>
      <xdr:row>25</xdr:row>
      <xdr:rowOff>5545</xdr:rowOff>
    </xdr:from>
    <xdr:to>
      <xdr:col>18</xdr:col>
      <xdr:colOff>585586</xdr:colOff>
      <xdr:row>25</xdr:row>
      <xdr:rowOff>6702</xdr:rowOff>
    </xdr:to>
    <xdr:cxnSp macro="">
      <xdr:nvCxnSpPr>
        <xdr:cNvPr id="253" name="Straight Connector 252">
          <a:extLst>
            <a:ext uri="{FF2B5EF4-FFF2-40B4-BE49-F238E27FC236}">
              <a16:creationId xmlns:a16="http://schemas.microsoft.com/office/drawing/2014/main" id="{8F61042B-6271-4502-AEB5-8B06C7FA8F5B}"/>
            </a:ext>
          </a:extLst>
        </xdr:cNvPr>
        <xdr:cNvCxnSpPr/>
      </xdr:nvCxnSpPr>
      <xdr:spPr>
        <a:xfrm flipV="1">
          <a:off x="10559138" y="4367995"/>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81505</xdr:colOff>
      <xdr:row>25</xdr:row>
      <xdr:rowOff>5545</xdr:rowOff>
    </xdr:from>
    <xdr:to>
      <xdr:col>20</xdr:col>
      <xdr:colOff>585453</xdr:colOff>
      <xdr:row>25</xdr:row>
      <xdr:rowOff>6702</xdr:rowOff>
    </xdr:to>
    <xdr:cxnSp macro="">
      <xdr:nvCxnSpPr>
        <xdr:cNvPr id="254" name="Straight Connector 253">
          <a:extLst>
            <a:ext uri="{FF2B5EF4-FFF2-40B4-BE49-F238E27FC236}">
              <a16:creationId xmlns:a16="http://schemas.microsoft.com/office/drawing/2014/main" id="{AFC789C2-3498-473C-AB2E-4F3799FF6A97}"/>
            </a:ext>
          </a:extLst>
        </xdr:cNvPr>
        <xdr:cNvCxnSpPr/>
      </xdr:nvCxnSpPr>
      <xdr:spPr>
        <a:xfrm flipV="1">
          <a:off x="11778205" y="4367995"/>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66609</xdr:colOff>
      <xdr:row>10</xdr:row>
      <xdr:rowOff>179312</xdr:rowOff>
    </xdr:from>
    <xdr:to>
      <xdr:col>14</xdr:col>
      <xdr:colOff>581713</xdr:colOff>
      <xdr:row>10</xdr:row>
      <xdr:rowOff>179312</xdr:rowOff>
    </xdr:to>
    <xdr:cxnSp macro="">
      <xdr:nvCxnSpPr>
        <xdr:cNvPr id="255" name="Straight Connector 254">
          <a:extLst>
            <a:ext uri="{FF2B5EF4-FFF2-40B4-BE49-F238E27FC236}">
              <a16:creationId xmlns:a16="http://schemas.microsoft.com/office/drawing/2014/main" id="{7497F711-28C6-4FC8-88F4-C173FD85D741}"/>
            </a:ext>
          </a:extLst>
        </xdr:cNvPr>
        <xdr:cNvCxnSpPr/>
      </xdr:nvCxnSpPr>
      <xdr:spPr>
        <a:xfrm>
          <a:off x="5667309" y="1906512"/>
          <a:ext cx="3563104"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9641</xdr:colOff>
      <xdr:row>31</xdr:row>
      <xdr:rowOff>163361</xdr:rowOff>
    </xdr:from>
    <xdr:to>
      <xdr:col>21</xdr:col>
      <xdr:colOff>41413</xdr:colOff>
      <xdr:row>31</xdr:row>
      <xdr:rowOff>163361</xdr:rowOff>
    </xdr:to>
    <xdr:cxnSp macro="">
      <xdr:nvCxnSpPr>
        <xdr:cNvPr id="256" name="Straight Connector 255">
          <a:extLst>
            <a:ext uri="{FF2B5EF4-FFF2-40B4-BE49-F238E27FC236}">
              <a16:creationId xmlns:a16="http://schemas.microsoft.com/office/drawing/2014/main" id="{82B470D3-C445-435E-95F3-C4BB5ABC8AE3}"/>
            </a:ext>
          </a:extLst>
        </xdr:cNvPr>
        <xdr:cNvCxnSpPr/>
      </xdr:nvCxnSpPr>
      <xdr:spPr>
        <a:xfrm>
          <a:off x="3781541" y="5637061"/>
          <a:ext cx="9175772" cy="0"/>
        </a:xfrm>
        <a:prstGeom prst="line">
          <a:avLst/>
        </a:prstGeom>
        <a:ln w="12700">
          <a:solidFill>
            <a:schemeClr val="bg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76881</xdr:colOff>
      <xdr:row>33</xdr:row>
      <xdr:rowOff>162327</xdr:rowOff>
    </xdr:from>
    <xdr:to>
      <xdr:col>10</xdr:col>
      <xdr:colOff>580828</xdr:colOff>
      <xdr:row>33</xdr:row>
      <xdr:rowOff>163484</xdr:rowOff>
    </xdr:to>
    <xdr:cxnSp macro="">
      <xdr:nvCxnSpPr>
        <xdr:cNvPr id="257" name="Straight Connector 256">
          <a:extLst>
            <a:ext uri="{FF2B5EF4-FFF2-40B4-BE49-F238E27FC236}">
              <a16:creationId xmlns:a16="http://schemas.microsoft.com/office/drawing/2014/main" id="{E5502126-3DB9-4693-9DFE-AAAED79A8F5C}"/>
            </a:ext>
          </a:extLst>
        </xdr:cNvPr>
        <xdr:cNvCxnSpPr/>
      </xdr:nvCxnSpPr>
      <xdr:spPr>
        <a:xfrm flipV="1">
          <a:off x="5677581" y="601067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78935</xdr:colOff>
      <xdr:row>33</xdr:row>
      <xdr:rowOff>162327</xdr:rowOff>
    </xdr:from>
    <xdr:to>
      <xdr:col>12</xdr:col>
      <xdr:colOff>583758</xdr:colOff>
      <xdr:row>33</xdr:row>
      <xdr:rowOff>163484</xdr:rowOff>
    </xdr:to>
    <xdr:cxnSp macro="">
      <xdr:nvCxnSpPr>
        <xdr:cNvPr id="258" name="Straight Connector 257">
          <a:extLst>
            <a:ext uri="{FF2B5EF4-FFF2-40B4-BE49-F238E27FC236}">
              <a16:creationId xmlns:a16="http://schemas.microsoft.com/office/drawing/2014/main" id="{FDD72D28-A275-4291-B311-8C432B87FAE4}"/>
            </a:ext>
          </a:extLst>
        </xdr:cNvPr>
        <xdr:cNvCxnSpPr/>
      </xdr:nvCxnSpPr>
      <xdr:spPr>
        <a:xfrm flipV="1">
          <a:off x="6898835" y="6010677"/>
          <a:ext cx="1114423"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77260</xdr:colOff>
      <xdr:row>33</xdr:row>
      <xdr:rowOff>162327</xdr:rowOff>
    </xdr:from>
    <xdr:to>
      <xdr:col>14</xdr:col>
      <xdr:colOff>582082</xdr:colOff>
      <xdr:row>33</xdr:row>
      <xdr:rowOff>163484</xdr:rowOff>
    </xdr:to>
    <xdr:cxnSp macro="">
      <xdr:nvCxnSpPr>
        <xdr:cNvPr id="259" name="Straight Connector 258">
          <a:extLst>
            <a:ext uri="{FF2B5EF4-FFF2-40B4-BE49-F238E27FC236}">
              <a16:creationId xmlns:a16="http://schemas.microsoft.com/office/drawing/2014/main" id="{01527726-B373-49D0-8968-00BE11EC75E2}"/>
            </a:ext>
          </a:extLst>
        </xdr:cNvPr>
        <xdr:cNvCxnSpPr/>
      </xdr:nvCxnSpPr>
      <xdr:spPr>
        <a:xfrm flipV="1">
          <a:off x="8116360" y="6010677"/>
          <a:ext cx="1114422"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87863</xdr:colOff>
      <xdr:row>33</xdr:row>
      <xdr:rowOff>162327</xdr:rowOff>
    </xdr:from>
    <xdr:to>
      <xdr:col>16</xdr:col>
      <xdr:colOff>591766</xdr:colOff>
      <xdr:row>33</xdr:row>
      <xdr:rowOff>163484</xdr:rowOff>
    </xdr:to>
    <xdr:cxnSp macro="">
      <xdr:nvCxnSpPr>
        <xdr:cNvPr id="260" name="Straight Connector 259">
          <a:extLst>
            <a:ext uri="{FF2B5EF4-FFF2-40B4-BE49-F238E27FC236}">
              <a16:creationId xmlns:a16="http://schemas.microsoft.com/office/drawing/2014/main" id="{25934F5C-CFC5-46B7-8B68-FF3B079A4972}"/>
            </a:ext>
          </a:extLst>
        </xdr:cNvPr>
        <xdr:cNvCxnSpPr/>
      </xdr:nvCxnSpPr>
      <xdr:spPr>
        <a:xfrm flipV="1">
          <a:off x="9346163" y="6010677"/>
          <a:ext cx="1113503"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76561</xdr:colOff>
      <xdr:row>33</xdr:row>
      <xdr:rowOff>162327</xdr:rowOff>
    </xdr:from>
    <xdr:to>
      <xdr:col>18</xdr:col>
      <xdr:colOff>580463</xdr:colOff>
      <xdr:row>33</xdr:row>
      <xdr:rowOff>163484</xdr:rowOff>
    </xdr:to>
    <xdr:cxnSp macro="">
      <xdr:nvCxnSpPr>
        <xdr:cNvPr id="261" name="Straight Connector 260">
          <a:extLst>
            <a:ext uri="{FF2B5EF4-FFF2-40B4-BE49-F238E27FC236}">
              <a16:creationId xmlns:a16="http://schemas.microsoft.com/office/drawing/2014/main" id="{42CD33E9-CA8D-4084-BA45-1CFB41D8C5FE}"/>
            </a:ext>
          </a:extLst>
        </xdr:cNvPr>
        <xdr:cNvCxnSpPr/>
      </xdr:nvCxnSpPr>
      <xdr:spPr>
        <a:xfrm flipV="1">
          <a:off x="10554061" y="6010677"/>
          <a:ext cx="1113502"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61427</xdr:colOff>
      <xdr:row>33</xdr:row>
      <xdr:rowOff>162327</xdr:rowOff>
    </xdr:from>
    <xdr:to>
      <xdr:col>20</xdr:col>
      <xdr:colOff>565330</xdr:colOff>
      <xdr:row>33</xdr:row>
      <xdr:rowOff>163484</xdr:rowOff>
    </xdr:to>
    <xdr:cxnSp macro="">
      <xdr:nvCxnSpPr>
        <xdr:cNvPr id="262" name="Straight Connector 261">
          <a:extLst>
            <a:ext uri="{FF2B5EF4-FFF2-40B4-BE49-F238E27FC236}">
              <a16:creationId xmlns:a16="http://schemas.microsoft.com/office/drawing/2014/main" id="{0356651E-0D85-4057-94C4-CD55D46FC7E0}"/>
            </a:ext>
          </a:extLst>
        </xdr:cNvPr>
        <xdr:cNvCxnSpPr/>
      </xdr:nvCxnSpPr>
      <xdr:spPr>
        <a:xfrm flipV="1">
          <a:off x="11758127" y="6010677"/>
          <a:ext cx="1113503"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76881</xdr:colOff>
      <xdr:row>40</xdr:row>
      <xdr:rowOff>159727</xdr:rowOff>
    </xdr:from>
    <xdr:to>
      <xdr:col>10</xdr:col>
      <xdr:colOff>580828</xdr:colOff>
      <xdr:row>40</xdr:row>
      <xdr:rowOff>160884</xdr:rowOff>
    </xdr:to>
    <xdr:cxnSp macro="">
      <xdr:nvCxnSpPr>
        <xdr:cNvPr id="263" name="Straight Connector 262">
          <a:extLst>
            <a:ext uri="{FF2B5EF4-FFF2-40B4-BE49-F238E27FC236}">
              <a16:creationId xmlns:a16="http://schemas.microsoft.com/office/drawing/2014/main" id="{1A0DE48C-E1F6-4421-AE6C-B65D81AF3B1E}"/>
            </a:ext>
          </a:extLst>
        </xdr:cNvPr>
        <xdr:cNvCxnSpPr/>
      </xdr:nvCxnSpPr>
      <xdr:spPr>
        <a:xfrm flipV="1">
          <a:off x="5677581" y="715742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78935</xdr:colOff>
      <xdr:row>40</xdr:row>
      <xdr:rowOff>159727</xdr:rowOff>
    </xdr:from>
    <xdr:to>
      <xdr:col>12</xdr:col>
      <xdr:colOff>583758</xdr:colOff>
      <xdr:row>40</xdr:row>
      <xdr:rowOff>160884</xdr:rowOff>
    </xdr:to>
    <xdr:cxnSp macro="">
      <xdr:nvCxnSpPr>
        <xdr:cNvPr id="264" name="Straight Connector 263">
          <a:extLst>
            <a:ext uri="{FF2B5EF4-FFF2-40B4-BE49-F238E27FC236}">
              <a16:creationId xmlns:a16="http://schemas.microsoft.com/office/drawing/2014/main" id="{43163CB6-8042-49C1-A2BB-E91675E1EF91}"/>
            </a:ext>
          </a:extLst>
        </xdr:cNvPr>
        <xdr:cNvCxnSpPr/>
      </xdr:nvCxnSpPr>
      <xdr:spPr>
        <a:xfrm flipV="1">
          <a:off x="6898835" y="7157427"/>
          <a:ext cx="1114423"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77260</xdr:colOff>
      <xdr:row>40</xdr:row>
      <xdr:rowOff>159727</xdr:rowOff>
    </xdr:from>
    <xdr:to>
      <xdr:col>14</xdr:col>
      <xdr:colOff>582082</xdr:colOff>
      <xdr:row>40</xdr:row>
      <xdr:rowOff>160884</xdr:rowOff>
    </xdr:to>
    <xdr:cxnSp macro="">
      <xdr:nvCxnSpPr>
        <xdr:cNvPr id="265" name="Straight Connector 264">
          <a:extLst>
            <a:ext uri="{FF2B5EF4-FFF2-40B4-BE49-F238E27FC236}">
              <a16:creationId xmlns:a16="http://schemas.microsoft.com/office/drawing/2014/main" id="{3B781653-04FB-422F-A228-3B38F299F46D}"/>
            </a:ext>
          </a:extLst>
        </xdr:cNvPr>
        <xdr:cNvCxnSpPr/>
      </xdr:nvCxnSpPr>
      <xdr:spPr>
        <a:xfrm flipV="1">
          <a:off x="8116360" y="7157427"/>
          <a:ext cx="1114422"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87863</xdr:colOff>
      <xdr:row>40</xdr:row>
      <xdr:rowOff>159727</xdr:rowOff>
    </xdr:from>
    <xdr:to>
      <xdr:col>16</xdr:col>
      <xdr:colOff>591766</xdr:colOff>
      <xdr:row>40</xdr:row>
      <xdr:rowOff>160884</xdr:rowOff>
    </xdr:to>
    <xdr:cxnSp macro="">
      <xdr:nvCxnSpPr>
        <xdr:cNvPr id="266" name="Straight Connector 265">
          <a:extLst>
            <a:ext uri="{FF2B5EF4-FFF2-40B4-BE49-F238E27FC236}">
              <a16:creationId xmlns:a16="http://schemas.microsoft.com/office/drawing/2014/main" id="{CA2611A3-2C39-43D1-9FD3-3C1DD0A877D7}"/>
            </a:ext>
          </a:extLst>
        </xdr:cNvPr>
        <xdr:cNvCxnSpPr/>
      </xdr:nvCxnSpPr>
      <xdr:spPr>
        <a:xfrm flipV="1">
          <a:off x="9346163" y="7157427"/>
          <a:ext cx="1113503"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76561</xdr:colOff>
      <xdr:row>40</xdr:row>
      <xdr:rowOff>159727</xdr:rowOff>
    </xdr:from>
    <xdr:to>
      <xdr:col>18</xdr:col>
      <xdr:colOff>580463</xdr:colOff>
      <xdr:row>40</xdr:row>
      <xdr:rowOff>160884</xdr:rowOff>
    </xdr:to>
    <xdr:cxnSp macro="">
      <xdr:nvCxnSpPr>
        <xdr:cNvPr id="267" name="Straight Connector 266">
          <a:extLst>
            <a:ext uri="{FF2B5EF4-FFF2-40B4-BE49-F238E27FC236}">
              <a16:creationId xmlns:a16="http://schemas.microsoft.com/office/drawing/2014/main" id="{4FE6F99F-BDFA-45EE-81B8-821014ADD37A}"/>
            </a:ext>
          </a:extLst>
        </xdr:cNvPr>
        <xdr:cNvCxnSpPr/>
      </xdr:nvCxnSpPr>
      <xdr:spPr>
        <a:xfrm flipV="1">
          <a:off x="10554061" y="7157427"/>
          <a:ext cx="1113502"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61427</xdr:colOff>
      <xdr:row>40</xdr:row>
      <xdr:rowOff>159727</xdr:rowOff>
    </xdr:from>
    <xdr:to>
      <xdr:col>20</xdr:col>
      <xdr:colOff>565330</xdr:colOff>
      <xdr:row>40</xdr:row>
      <xdr:rowOff>160884</xdr:rowOff>
    </xdr:to>
    <xdr:cxnSp macro="">
      <xdr:nvCxnSpPr>
        <xdr:cNvPr id="268" name="Straight Connector 267">
          <a:extLst>
            <a:ext uri="{FF2B5EF4-FFF2-40B4-BE49-F238E27FC236}">
              <a16:creationId xmlns:a16="http://schemas.microsoft.com/office/drawing/2014/main" id="{EC829DC2-5609-449A-B546-48F43FF58ED1}"/>
            </a:ext>
          </a:extLst>
        </xdr:cNvPr>
        <xdr:cNvCxnSpPr/>
      </xdr:nvCxnSpPr>
      <xdr:spPr>
        <a:xfrm flipV="1">
          <a:off x="11758127" y="7157427"/>
          <a:ext cx="1113503"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58081</xdr:colOff>
      <xdr:row>44</xdr:row>
      <xdr:rowOff>162046</xdr:rowOff>
    </xdr:from>
    <xdr:to>
      <xdr:col>10</xdr:col>
      <xdr:colOff>562028</xdr:colOff>
      <xdr:row>44</xdr:row>
      <xdr:rowOff>163364</xdr:rowOff>
    </xdr:to>
    <xdr:cxnSp macro="">
      <xdr:nvCxnSpPr>
        <xdr:cNvPr id="269" name="Straight Connector 268">
          <a:extLst>
            <a:ext uri="{FF2B5EF4-FFF2-40B4-BE49-F238E27FC236}">
              <a16:creationId xmlns:a16="http://schemas.microsoft.com/office/drawing/2014/main" id="{69E34243-0704-456C-B391-C9BCBC8DCD37}"/>
            </a:ext>
          </a:extLst>
        </xdr:cNvPr>
        <xdr:cNvCxnSpPr/>
      </xdr:nvCxnSpPr>
      <xdr:spPr>
        <a:xfrm flipV="1">
          <a:off x="5658781" y="78963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60135</xdr:colOff>
      <xdr:row>44</xdr:row>
      <xdr:rowOff>162046</xdr:rowOff>
    </xdr:from>
    <xdr:to>
      <xdr:col>12</xdr:col>
      <xdr:colOff>564958</xdr:colOff>
      <xdr:row>44</xdr:row>
      <xdr:rowOff>163364</xdr:rowOff>
    </xdr:to>
    <xdr:cxnSp macro="">
      <xdr:nvCxnSpPr>
        <xdr:cNvPr id="270" name="Straight Connector 269">
          <a:extLst>
            <a:ext uri="{FF2B5EF4-FFF2-40B4-BE49-F238E27FC236}">
              <a16:creationId xmlns:a16="http://schemas.microsoft.com/office/drawing/2014/main" id="{B8DA8814-E362-4FDD-9BD3-39603DFB4FC0}"/>
            </a:ext>
          </a:extLst>
        </xdr:cNvPr>
        <xdr:cNvCxnSpPr/>
      </xdr:nvCxnSpPr>
      <xdr:spPr>
        <a:xfrm flipV="1">
          <a:off x="6880035" y="7896346"/>
          <a:ext cx="1114423"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58460</xdr:colOff>
      <xdr:row>44</xdr:row>
      <xdr:rowOff>162046</xdr:rowOff>
    </xdr:from>
    <xdr:to>
      <xdr:col>14</xdr:col>
      <xdr:colOff>563282</xdr:colOff>
      <xdr:row>44</xdr:row>
      <xdr:rowOff>163364</xdr:rowOff>
    </xdr:to>
    <xdr:cxnSp macro="">
      <xdr:nvCxnSpPr>
        <xdr:cNvPr id="271" name="Straight Connector 270">
          <a:extLst>
            <a:ext uri="{FF2B5EF4-FFF2-40B4-BE49-F238E27FC236}">
              <a16:creationId xmlns:a16="http://schemas.microsoft.com/office/drawing/2014/main" id="{9A9BCAEE-D161-459F-BDDC-29BB0B5F586C}"/>
            </a:ext>
          </a:extLst>
        </xdr:cNvPr>
        <xdr:cNvCxnSpPr/>
      </xdr:nvCxnSpPr>
      <xdr:spPr>
        <a:xfrm flipV="1">
          <a:off x="8097560" y="7896346"/>
          <a:ext cx="1114422"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69063</xdr:colOff>
      <xdr:row>44</xdr:row>
      <xdr:rowOff>162046</xdr:rowOff>
    </xdr:from>
    <xdr:to>
      <xdr:col>16</xdr:col>
      <xdr:colOff>572966</xdr:colOff>
      <xdr:row>44</xdr:row>
      <xdr:rowOff>163364</xdr:rowOff>
    </xdr:to>
    <xdr:cxnSp macro="">
      <xdr:nvCxnSpPr>
        <xdr:cNvPr id="272" name="Straight Connector 271">
          <a:extLst>
            <a:ext uri="{FF2B5EF4-FFF2-40B4-BE49-F238E27FC236}">
              <a16:creationId xmlns:a16="http://schemas.microsoft.com/office/drawing/2014/main" id="{9DC27765-9308-4946-87C4-9ECAC96F4ABF}"/>
            </a:ext>
          </a:extLst>
        </xdr:cNvPr>
        <xdr:cNvCxnSpPr/>
      </xdr:nvCxnSpPr>
      <xdr:spPr>
        <a:xfrm flipV="1">
          <a:off x="9327363" y="7896346"/>
          <a:ext cx="1113503"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57761</xdr:colOff>
      <xdr:row>44</xdr:row>
      <xdr:rowOff>162046</xdr:rowOff>
    </xdr:from>
    <xdr:to>
      <xdr:col>18</xdr:col>
      <xdr:colOff>561663</xdr:colOff>
      <xdr:row>44</xdr:row>
      <xdr:rowOff>163364</xdr:rowOff>
    </xdr:to>
    <xdr:cxnSp macro="">
      <xdr:nvCxnSpPr>
        <xdr:cNvPr id="273" name="Straight Connector 272">
          <a:extLst>
            <a:ext uri="{FF2B5EF4-FFF2-40B4-BE49-F238E27FC236}">
              <a16:creationId xmlns:a16="http://schemas.microsoft.com/office/drawing/2014/main" id="{5F6643F5-71DF-41EB-A918-CC219027C99A}"/>
            </a:ext>
          </a:extLst>
        </xdr:cNvPr>
        <xdr:cNvCxnSpPr/>
      </xdr:nvCxnSpPr>
      <xdr:spPr>
        <a:xfrm flipV="1">
          <a:off x="10535261" y="7896346"/>
          <a:ext cx="1113502"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42627</xdr:colOff>
      <xdr:row>44</xdr:row>
      <xdr:rowOff>162046</xdr:rowOff>
    </xdr:from>
    <xdr:to>
      <xdr:col>20</xdr:col>
      <xdr:colOff>546530</xdr:colOff>
      <xdr:row>44</xdr:row>
      <xdr:rowOff>163364</xdr:rowOff>
    </xdr:to>
    <xdr:cxnSp macro="">
      <xdr:nvCxnSpPr>
        <xdr:cNvPr id="274" name="Straight Connector 273">
          <a:extLst>
            <a:ext uri="{FF2B5EF4-FFF2-40B4-BE49-F238E27FC236}">
              <a16:creationId xmlns:a16="http://schemas.microsoft.com/office/drawing/2014/main" id="{ABAADA41-6BD4-4F54-B929-B940519EC9FF}"/>
            </a:ext>
          </a:extLst>
        </xdr:cNvPr>
        <xdr:cNvCxnSpPr/>
      </xdr:nvCxnSpPr>
      <xdr:spPr>
        <a:xfrm flipV="1">
          <a:off x="11739327" y="7896346"/>
          <a:ext cx="1113503"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58081</xdr:colOff>
      <xdr:row>53</xdr:row>
      <xdr:rowOff>159446</xdr:rowOff>
    </xdr:from>
    <xdr:to>
      <xdr:col>10</xdr:col>
      <xdr:colOff>562028</xdr:colOff>
      <xdr:row>53</xdr:row>
      <xdr:rowOff>160764</xdr:rowOff>
    </xdr:to>
    <xdr:cxnSp macro="">
      <xdr:nvCxnSpPr>
        <xdr:cNvPr id="275" name="Straight Connector 274">
          <a:extLst>
            <a:ext uri="{FF2B5EF4-FFF2-40B4-BE49-F238E27FC236}">
              <a16:creationId xmlns:a16="http://schemas.microsoft.com/office/drawing/2014/main" id="{49755F5A-1B0B-45E7-8E56-84749781339D}"/>
            </a:ext>
          </a:extLst>
        </xdr:cNvPr>
        <xdr:cNvCxnSpPr/>
      </xdr:nvCxnSpPr>
      <xdr:spPr>
        <a:xfrm flipV="1">
          <a:off x="5658781" y="93986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60135</xdr:colOff>
      <xdr:row>53</xdr:row>
      <xdr:rowOff>159446</xdr:rowOff>
    </xdr:from>
    <xdr:to>
      <xdr:col>12</xdr:col>
      <xdr:colOff>564958</xdr:colOff>
      <xdr:row>53</xdr:row>
      <xdr:rowOff>160764</xdr:rowOff>
    </xdr:to>
    <xdr:cxnSp macro="">
      <xdr:nvCxnSpPr>
        <xdr:cNvPr id="276" name="Straight Connector 275">
          <a:extLst>
            <a:ext uri="{FF2B5EF4-FFF2-40B4-BE49-F238E27FC236}">
              <a16:creationId xmlns:a16="http://schemas.microsoft.com/office/drawing/2014/main" id="{B4DC8F6C-A0E1-4A95-91F4-A7FB4CFDC901}"/>
            </a:ext>
          </a:extLst>
        </xdr:cNvPr>
        <xdr:cNvCxnSpPr/>
      </xdr:nvCxnSpPr>
      <xdr:spPr>
        <a:xfrm flipV="1">
          <a:off x="6880035" y="9398696"/>
          <a:ext cx="1114423"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58460</xdr:colOff>
      <xdr:row>53</xdr:row>
      <xdr:rowOff>159446</xdr:rowOff>
    </xdr:from>
    <xdr:to>
      <xdr:col>14</xdr:col>
      <xdr:colOff>563282</xdr:colOff>
      <xdr:row>53</xdr:row>
      <xdr:rowOff>160764</xdr:rowOff>
    </xdr:to>
    <xdr:cxnSp macro="">
      <xdr:nvCxnSpPr>
        <xdr:cNvPr id="277" name="Straight Connector 276">
          <a:extLst>
            <a:ext uri="{FF2B5EF4-FFF2-40B4-BE49-F238E27FC236}">
              <a16:creationId xmlns:a16="http://schemas.microsoft.com/office/drawing/2014/main" id="{DAD9B9C9-6A59-4D73-9EC4-8592528ED7CA}"/>
            </a:ext>
          </a:extLst>
        </xdr:cNvPr>
        <xdr:cNvCxnSpPr/>
      </xdr:nvCxnSpPr>
      <xdr:spPr>
        <a:xfrm flipV="1">
          <a:off x="8097560" y="9398696"/>
          <a:ext cx="1114422"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69063</xdr:colOff>
      <xdr:row>53</xdr:row>
      <xdr:rowOff>159446</xdr:rowOff>
    </xdr:from>
    <xdr:to>
      <xdr:col>16</xdr:col>
      <xdr:colOff>572966</xdr:colOff>
      <xdr:row>53</xdr:row>
      <xdr:rowOff>160764</xdr:rowOff>
    </xdr:to>
    <xdr:cxnSp macro="">
      <xdr:nvCxnSpPr>
        <xdr:cNvPr id="278" name="Straight Connector 277">
          <a:extLst>
            <a:ext uri="{FF2B5EF4-FFF2-40B4-BE49-F238E27FC236}">
              <a16:creationId xmlns:a16="http://schemas.microsoft.com/office/drawing/2014/main" id="{484C8F05-CD61-4EBF-AB17-5D01C108C52C}"/>
            </a:ext>
          </a:extLst>
        </xdr:cNvPr>
        <xdr:cNvCxnSpPr/>
      </xdr:nvCxnSpPr>
      <xdr:spPr>
        <a:xfrm flipV="1">
          <a:off x="9327363" y="9398696"/>
          <a:ext cx="1113503"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57761</xdr:colOff>
      <xdr:row>53</xdr:row>
      <xdr:rowOff>159446</xdr:rowOff>
    </xdr:from>
    <xdr:to>
      <xdr:col>18</xdr:col>
      <xdr:colOff>561663</xdr:colOff>
      <xdr:row>53</xdr:row>
      <xdr:rowOff>160764</xdr:rowOff>
    </xdr:to>
    <xdr:cxnSp macro="">
      <xdr:nvCxnSpPr>
        <xdr:cNvPr id="279" name="Straight Connector 278">
          <a:extLst>
            <a:ext uri="{FF2B5EF4-FFF2-40B4-BE49-F238E27FC236}">
              <a16:creationId xmlns:a16="http://schemas.microsoft.com/office/drawing/2014/main" id="{C9237920-0171-46D8-BB5A-63D33FF8C717}"/>
            </a:ext>
          </a:extLst>
        </xdr:cNvPr>
        <xdr:cNvCxnSpPr/>
      </xdr:nvCxnSpPr>
      <xdr:spPr>
        <a:xfrm flipV="1">
          <a:off x="10535261" y="9398696"/>
          <a:ext cx="1113502"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42627</xdr:colOff>
      <xdr:row>53</xdr:row>
      <xdr:rowOff>159446</xdr:rowOff>
    </xdr:from>
    <xdr:to>
      <xdr:col>20</xdr:col>
      <xdr:colOff>546530</xdr:colOff>
      <xdr:row>53</xdr:row>
      <xdr:rowOff>160764</xdr:rowOff>
    </xdr:to>
    <xdr:cxnSp macro="">
      <xdr:nvCxnSpPr>
        <xdr:cNvPr id="280" name="Straight Connector 279">
          <a:extLst>
            <a:ext uri="{FF2B5EF4-FFF2-40B4-BE49-F238E27FC236}">
              <a16:creationId xmlns:a16="http://schemas.microsoft.com/office/drawing/2014/main" id="{EA69D3E6-373C-4609-8F44-492E22FF3759}"/>
            </a:ext>
          </a:extLst>
        </xdr:cNvPr>
        <xdr:cNvCxnSpPr/>
      </xdr:nvCxnSpPr>
      <xdr:spPr>
        <a:xfrm flipV="1">
          <a:off x="11739327" y="9398696"/>
          <a:ext cx="1113503"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58081</xdr:colOff>
      <xdr:row>54</xdr:row>
      <xdr:rowOff>161846</xdr:rowOff>
    </xdr:from>
    <xdr:to>
      <xdr:col>10</xdr:col>
      <xdr:colOff>562028</xdr:colOff>
      <xdr:row>54</xdr:row>
      <xdr:rowOff>163164</xdr:rowOff>
    </xdr:to>
    <xdr:cxnSp macro="">
      <xdr:nvCxnSpPr>
        <xdr:cNvPr id="281" name="Straight Connector 280">
          <a:extLst>
            <a:ext uri="{FF2B5EF4-FFF2-40B4-BE49-F238E27FC236}">
              <a16:creationId xmlns:a16="http://schemas.microsoft.com/office/drawing/2014/main" id="{6C1295E7-2817-4CDD-B15F-4848BCDFC859}"/>
            </a:ext>
          </a:extLst>
        </xdr:cNvPr>
        <xdr:cNvCxnSpPr/>
      </xdr:nvCxnSpPr>
      <xdr:spPr>
        <a:xfrm flipV="1">
          <a:off x="5658781" y="95852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60135</xdr:colOff>
      <xdr:row>54</xdr:row>
      <xdr:rowOff>161846</xdr:rowOff>
    </xdr:from>
    <xdr:to>
      <xdr:col>12</xdr:col>
      <xdr:colOff>564958</xdr:colOff>
      <xdr:row>54</xdr:row>
      <xdr:rowOff>163164</xdr:rowOff>
    </xdr:to>
    <xdr:cxnSp macro="">
      <xdr:nvCxnSpPr>
        <xdr:cNvPr id="282" name="Straight Connector 281">
          <a:extLst>
            <a:ext uri="{FF2B5EF4-FFF2-40B4-BE49-F238E27FC236}">
              <a16:creationId xmlns:a16="http://schemas.microsoft.com/office/drawing/2014/main" id="{AD03DF6E-3BFE-4CF3-850A-479BA776F78C}"/>
            </a:ext>
          </a:extLst>
        </xdr:cNvPr>
        <xdr:cNvCxnSpPr/>
      </xdr:nvCxnSpPr>
      <xdr:spPr>
        <a:xfrm flipV="1">
          <a:off x="6880035" y="9585246"/>
          <a:ext cx="1114423"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58460</xdr:colOff>
      <xdr:row>54</xdr:row>
      <xdr:rowOff>161846</xdr:rowOff>
    </xdr:from>
    <xdr:to>
      <xdr:col>14</xdr:col>
      <xdr:colOff>563282</xdr:colOff>
      <xdr:row>54</xdr:row>
      <xdr:rowOff>163164</xdr:rowOff>
    </xdr:to>
    <xdr:cxnSp macro="">
      <xdr:nvCxnSpPr>
        <xdr:cNvPr id="283" name="Straight Connector 282">
          <a:extLst>
            <a:ext uri="{FF2B5EF4-FFF2-40B4-BE49-F238E27FC236}">
              <a16:creationId xmlns:a16="http://schemas.microsoft.com/office/drawing/2014/main" id="{076F86D6-BA6C-419E-B561-BABFD5369BEF}"/>
            </a:ext>
          </a:extLst>
        </xdr:cNvPr>
        <xdr:cNvCxnSpPr/>
      </xdr:nvCxnSpPr>
      <xdr:spPr>
        <a:xfrm flipV="1">
          <a:off x="8097560" y="9585246"/>
          <a:ext cx="1114422"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69063</xdr:colOff>
      <xdr:row>54</xdr:row>
      <xdr:rowOff>161846</xdr:rowOff>
    </xdr:from>
    <xdr:to>
      <xdr:col>16</xdr:col>
      <xdr:colOff>572966</xdr:colOff>
      <xdr:row>54</xdr:row>
      <xdr:rowOff>163164</xdr:rowOff>
    </xdr:to>
    <xdr:cxnSp macro="">
      <xdr:nvCxnSpPr>
        <xdr:cNvPr id="284" name="Straight Connector 283">
          <a:extLst>
            <a:ext uri="{FF2B5EF4-FFF2-40B4-BE49-F238E27FC236}">
              <a16:creationId xmlns:a16="http://schemas.microsoft.com/office/drawing/2014/main" id="{B510B282-CB2C-4776-BEAC-7F2512275DC9}"/>
            </a:ext>
          </a:extLst>
        </xdr:cNvPr>
        <xdr:cNvCxnSpPr/>
      </xdr:nvCxnSpPr>
      <xdr:spPr>
        <a:xfrm flipV="1">
          <a:off x="9327363" y="9585246"/>
          <a:ext cx="1113503"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57761</xdr:colOff>
      <xdr:row>54</xdr:row>
      <xdr:rowOff>161846</xdr:rowOff>
    </xdr:from>
    <xdr:to>
      <xdr:col>18</xdr:col>
      <xdr:colOff>561663</xdr:colOff>
      <xdr:row>54</xdr:row>
      <xdr:rowOff>163164</xdr:rowOff>
    </xdr:to>
    <xdr:cxnSp macro="">
      <xdr:nvCxnSpPr>
        <xdr:cNvPr id="285" name="Straight Connector 284">
          <a:extLst>
            <a:ext uri="{FF2B5EF4-FFF2-40B4-BE49-F238E27FC236}">
              <a16:creationId xmlns:a16="http://schemas.microsoft.com/office/drawing/2014/main" id="{F3E32AF1-063F-4986-841C-7AE3A676B78F}"/>
            </a:ext>
          </a:extLst>
        </xdr:cNvPr>
        <xdr:cNvCxnSpPr/>
      </xdr:nvCxnSpPr>
      <xdr:spPr>
        <a:xfrm flipV="1">
          <a:off x="10535261" y="9585246"/>
          <a:ext cx="1113502"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42627</xdr:colOff>
      <xdr:row>54</xdr:row>
      <xdr:rowOff>161846</xdr:rowOff>
    </xdr:from>
    <xdr:to>
      <xdr:col>20</xdr:col>
      <xdr:colOff>546530</xdr:colOff>
      <xdr:row>54</xdr:row>
      <xdr:rowOff>163164</xdr:rowOff>
    </xdr:to>
    <xdr:cxnSp macro="">
      <xdr:nvCxnSpPr>
        <xdr:cNvPr id="286" name="Straight Connector 285">
          <a:extLst>
            <a:ext uri="{FF2B5EF4-FFF2-40B4-BE49-F238E27FC236}">
              <a16:creationId xmlns:a16="http://schemas.microsoft.com/office/drawing/2014/main" id="{2462C34D-ADA0-4E70-B228-BA962AA3C16B}"/>
            </a:ext>
          </a:extLst>
        </xdr:cNvPr>
        <xdr:cNvCxnSpPr/>
      </xdr:nvCxnSpPr>
      <xdr:spPr>
        <a:xfrm flipV="1">
          <a:off x="11739327" y="9585246"/>
          <a:ext cx="1113503"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58081</xdr:colOff>
      <xdr:row>55</xdr:row>
      <xdr:rowOff>4246</xdr:rowOff>
    </xdr:from>
    <xdr:to>
      <xdr:col>10</xdr:col>
      <xdr:colOff>562028</xdr:colOff>
      <xdr:row>55</xdr:row>
      <xdr:rowOff>5564</xdr:rowOff>
    </xdr:to>
    <xdr:cxnSp macro="">
      <xdr:nvCxnSpPr>
        <xdr:cNvPr id="287" name="Straight Connector 286">
          <a:extLst>
            <a:ext uri="{FF2B5EF4-FFF2-40B4-BE49-F238E27FC236}">
              <a16:creationId xmlns:a16="http://schemas.microsoft.com/office/drawing/2014/main" id="{B245F94D-C47D-451A-85A0-F8FBD8BBF534}"/>
            </a:ext>
          </a:extLst>
        </xdr:cNvPr>
        <xdr:cNvCxnSpPr/>
      </xdr:nvCxnSpPr>
      <xdr:spPr>
        <a:xfrm flipV="1">
          <a:off x="5658781" y="96117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60135</xdr:colOff>
      <xdr:row>55</xdr:row>
      <xdr:rowOff>4246</xdr:rowOff>
    </xdr:from>
    <xdr:to>
      <xdr:col>12</xdr:col>
      <xdr:colOff>564958</xdr:colOff>
      <xdr:row>55</xdr:row>
      <xdr:rowOff>5564</xdr:rowOff>
    </xdr:to>
    <xdr:cxnSp macro="">
      <xdr:nvCxnSpPr>
        <xdr:cNvPr id="288" name="Straight Connector 287">
          <a:extLst>
            <a:ext uri="{FF2B5EF4-FFF2-40B4-BE49-F238E27FC236}">
              <a16:creationId xmlns:a16="http://schemas.microsoft.com/office/drawing/2014/main" id="{4127E80F-69FE-479F-9BC7-5FF08CCBD717}"/>
            </a:ext>
          </a:extLst>
        </xdr:cNvPr>
        <xdr:cNvCxnSpPr/>
      </xdr:nvCxnSpPr>
      <xdr:spPr>
        <a:xfrm flipV="1">
          <a:off x="6880035" y="9611796"/>
          <a:ext cx="1114423"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58460</xdr:colOff>
      <xdr:row>55</xdr:row>
      <xdr:rowOff>4246</xdr:rowOff>
    </xdr:from>
    <xdr:to>
      <xdr:col>14</xdr:col>
      <xdr:colOff>563282</xdr:colOff>
      <xdr:row>55</xdr:row>
      <xdr:rowOff>5564</xdr:rowOff>
    </xdr:to>
    <xdr:cxnSp macro="">
      <xdr:nvCxnSpPr>
        <xdr:cNvPr id="289" name="Straight Connector 288">
          <a:extLst>
            <a:ext uri="{FF2B5EF4-FFF2-40B4-BE49-F238E27FC236}">
              <a16:creationId xmlns:a16="http://schemas.microsoft.com/office/drawing/2014/main" id="{48830F43-B8CB-457D-9129-95866201C780}"/>
            </a:ext>
          </a:extLst>
        </xdr:cNvPr>
        <xdr:cNvCxnSpPr/>
      </xdr:nvCxnSpPr>
      <xdr:spPr>
        <a:xfrm flipV="1">
          <a:off x="8097560" y="9611796"/>
          <a:ext cx="1114422"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69063</xdr:colOff>
      <xdr:row>55</xdr:row>
      <xdr:rowOff>4246</xdr:rowOff>
    </xdr:from>
    <xdr:to>
      <xdr:col>16</xdr:col>
      <xdr:colOff>572966</xdr:colOff>
      <xdr:row>55</xdr:row>
      <xdr:rowOff>5564</xdr:rowOff>
    </xdr:to>
    <xdr:cxnSp macro="">
      <xdr:nvCxnSpPr>
        <xdr:cNvPr id="290" name="Straight Connector 289">
          <a:extLst>
            <a:ext uri="{FF2B5EF4-FFF2-40B4-BE49-F238E27FC236}">
              <a16:creationId xmlns:a16="http://schemas.microsoft.com/office/drawing/2014/main" id="{2FF2B2EB-F98D-4019-92BF-F63679F0BF5B}"/>
            </a:ext>
          </a:extLst>
        </xdr:cNvPr>
        <xdr:cNvCxnSpPr/>
      </xdr:nvCxnSpPr>
      <xdr:spPr>
        <a:xfrm flipV="1">
          <a:off x="9327363" y="9611796"/>
          <a:ext cx="1113503"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57761</xdr:colOff>
      <xdr:row>55</xdr:row>
      <xdr:rowOff>4246</xdr:rowOff>
    </xdr:from>
    <xdr:to>
      <xdr:col>18</xdr:col>
      <xdr:colOff>561663</xdr:colOff>
      <xdr:row>55</xdr:row>
      <xdr:rowOff>5564</xdr:rowOff>
    </xdr:to>
    <xdr:cxnSp macro="">
      <xdr:nvCxnSpPr>
        <xdr:cNvPr id="291" name="Straight Connector 290">
          <a:extLst>
            <a:ext uri="{FF2B5EF4-FFF2-40B4-BE49-F238E27FC236}">
              <a16:creationId xmlns:a16="http://schemas.microsoft.com/office/drawing/2014/main" id="{524AC76A-6B96-465E-8C97-CDB191443A62}"/>
            </a:ext>
          </a:extLst>
        </xdr:cNvPr>
        <xdr:cNvCxnSpPr/>
      </xdr:nvCxnSpPr>
      <xdr:spPr>
        <a:xfrm flipV="1">
          <a:off x="10535261" y="9611796"/>
          <a:ext cx="1113502"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42627</xdr:colOff>
      <xdr:row>55</xdr:row>
      <xdr:rowOff>4246</xdr:rowOff>
    </xdr:from>
    <xdr:to>
      <xdr:col>20</xdr:col>
      <xdr:colOff>546530</xdr:colOff>
      <xdr:row>55</xdr:row>
      <xdr:rowOff>5564</xdr:rowOff>
    </xdr:to>
    <xdr:cxnSp macro="">
      <xdr:nvCxnSpPr>
        <xdr:cNvPr id="292" name="Straight Connector 291">
          <a:extLst>
            <a:ext uri="{FF2B5EF4-FFF2-40B4-BE49-F238E27FC236}">
              <a16:creationId xmlns:a16="http://schemas.microsoft.com/office/drawing/2014/main" id="{4F2A9B96-CA65-42E1-8FFA-86F614BE56E6}"/>
            </a:ext>
          </a:extLst>
        </xdr:cNvPr>
        <xdr:cNvCxnSpPr/>
      </xdr:nvCxnSpPr>
      <xdr:spPr>
        <a:xfrm flipV="1">
          <a:off x="11739327" y="9611796"/>
          <a:ext cx="1113503"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9641</xdr:colOff>
      <xdr:row>61</xdr:row>
      <xdr:rowOff>152722</xdr:rowOff>
    </xdr:from>
    <xdr:to>
      <xdr:col>21</xdr:col>
      <xdr:colOff>41413</xdr:colOff>
      <xdr:row>61</xdr:row>
      <xdr:rowOff>152722</xdr:rowOff>
    </xdr:to>
    <xdr:cxnSp macro="">
      <xdr:nvCxnSpPr>
        <xdr:cNvPr id="293" name="Straight Connector 292">
          <a:extLst>
            <a:ext uri="{FF2B5EF4-FFF2-40B4-BE49-F238E27FC236}">
              <a16:creationId xmlns:a16="http://schemas.microsoft.com/office/drawing/2014/main" id="{D8FF7F0C-D295-452B-8F1E-80489D4474C9}"/>
            </a:ext>
          </a:extLst>
        </xdr:cNvPr>
        <xdr:cNvCxnSpPr/>
      </xdr:nvCxnSpPr>
      <xdr:spPr>
        <a:xfrm>
          <a:off x="3781541" y="10738172"/>
          <a:ext cx="9175772" cy="0"/>
        </a:xfrm>
        <a:prstGeom prst="line">
          <a:avLst/>
        </a:prstGeom>
        <a:ln w="12700">
          <a:solidFill>
            <a:schemeClr val="bg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0</xdr:colOff>
      <xdr:row>64</xdr:row>
      <xdr:rowOff>155963</xdr:rowOff>
    </xdr:from>
    <xdr:to>
      <xdr:col>5</xdr:col>
      <xdr:colOff>0</xdr:colOff>
      <xdr:row>64</xdr:row>
      <xdr:rowOff>163262</xdr:rowOff>
    </xdr:to>
    <xdr:cxnSp macro="">
      <xdr:nvCxnSpPr>
        <xdr:cNvPr id="294" name="Straight Connector 293">
          <a:extLst>
            <a:ext uri="{FF2B5EF4-FFF2-40B4-BE49-F238E27FC236}">
              <a16:creationId xmlns:a16="http://schemas.microsoft.com/office/drawing/2014/main" id="{C841DF18-4A97-4100-8AA5-8D4836BDC8B5}"/>
            </a:ext>
          </a:extLst>
        </xdr:cNvPr>
        <xdr:cNvCxnSpPr/>
      </xdr:nvCxnSpPr>
      <xdr:spPr>
        <a:xfrm>
          <a:off x="609600" y="11300213"/>
          <a:ext cx="2552700" cy="7299"/>
        </a:xfrm>
        <a:prstGeom prst="line">
          <a:avLst/>
        </a:prstGeom>
        <a:ln w="12700">
          <a:solidFill>
            <a:schemeClr val="bg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604796</xdr:colOff>
      <xdr:row>68</xdr:row>
      <xdr:rowOff>154145</xdr:rowOff>
    </xdr:from>
    <xdr:to>
      <xdr:col>27</xdr:col>
      <xdr:colOff>0</xdr:colOff>
      <xdr:row>68</xdr:row>
      <xdr:rowOff>157534</xdr:rowOff>
    </xdr:to>
    <xdr:cxnSp macro="">
      <xdr:nvCxnSpPr>
        <xdr:cNvPr id="295" name="Straight Connector 294">
          <a:extLst>
            <a:ext uri="{FF2B5EF4-FFF2-40B4-BE49-F238E27FC236}">
              <a16:creationId xmlns:a16="http://schemas.microsoft.com/office/drawing/2014/main" id="{CC0C49E8-6836-4782-900C-1B4684EB6F98}"/>
            </a:ext>
          </a:extLst>
        </xdr:cNvPr>
        <xdr:cNvCxnSpPr/>
      </xdr:nvCxnSpPr>
      <xdr:spPr>
        <a:xfrm flipV="1">
          <a:off x="3767096" y="12041345"/>
          <a:ext cx="13454104" cy="3389"/>
        </a:xfrm>
        <a:prstGeom prst="line">
          <a:avLst/>
        </a:prstGeom>
        <a:ln w="12700">
          <a:solidFill>
            <a:schemeClr val="bg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0</xdr:colOff>
      <xdr:row>38</xdr:row>
      <xdr:rowOff>155032</xdr:rowOff>
    </xdr:from>
    <xdr:to>
      <xdr:col>27</xdr:col>
      <xdr:colOff>0</xdr:colOff>
      <xdr:row>38</xdr:row>
      <xdr:rowOff>155124</xdr:rowOff>
    </xdr:to>
    <xdr:cxnSp macro="">
      <xdr:nvCxnSpPr>
        <xdr:cNvPr id="296" name="Straight Connector 295">
          <a:extLst>
            <a:ext uri="{FF2B5EF4-FFF2-40B4-BE49-F238E27FC236}">
              <a16:creationId xmlns:a16="http://schemas.microsoft.com/office/drawing/2014/main" id="{802504FD-6B7E-4738-A5C4-D465691B8B13}"/>
            </a:ext>
          </a:extLst>
        </xdr:cNvPr>
        <xdr:cNvCxnSpPr/>
      </xdr:nvCxnSpPr>
      <xdr:spPr>
        <a:xfrm flipV="1">
          <a:off x="13525500" y="6784432"/>
          <a:ext cx="3695700" cy="92"/>
        </a:xfrm>
        <a:prstGeom prst="line">
          <a:avLst/>
        </a:prstGeom>
        <a:ln w="12700">
          <a:solidFill>
            <a:schemeClr val="bg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62365</xdr:colOff>
      <xdr:row>9</xdr:row>
      <xdr:rowOff>159148</xdr:rowOff>
    </xdr:from>
    <xdr:to>
      <xdr:col>25</xdr:col>
      <xdr:colOff>702445</xdr:colOff>
      <xdr:row>9</xdr:row>
      <xdr:rowOff>159148</xdr:rowOff>
    </xdr:to>
    <xdr:cxnSp macro="">
      <xdr:nvCxnSpPr>
        <xdr:cNvPr id="297" name="Straight Connector 296">
          <a:extLst>
            <a:ext uri="{FF2B5EF4-FFF2-40B4-BE49-F238E27FC236}">
              <a16:creationId xmlns:a16="http://schemas.microsoft.com/office/drawing/2014/main" id="{AF86B2F4-A64F-4B71-BA2F-69AD9426C0A9}"/>
            </a:ext>
          </a:extLst>
        </xdr:cNvPr>
        <xdr:cNvCxnSpPr/>
      </xdr:nvCxnSpPr>
      <xdr:spPr>
        <a:xfrm>
          <a:off x="15873865" y="1702198"/>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58251</xdr:colOff>
      <xdr:row>9</xdr:row>
      <xdr:rowOff>159148</xdr:rowOff>
    </xdr:from>
    <xdr:to>
      <xdr:col>26</xdr:col>
      <xdr:colOff>698331</xdr:colOff>
      <xdr:row>9</xdr:row>
      <xdr:rowOff>159148</xdr:rowOff>
    </xdr:to>
    <xdr:cxnSp macro="">
      <xdr:nvCxnSpPr>
        <xdr:cNvPr id="298" name="Straight Connector 297">
          <a:extLst>
            <a:ext uri="{FF2B5EF4-FFF2-40B4-BE49-F238E27FC236}">
              <a16:creationId xmlns:a16="http://schemas.microsoft.com/office/drawing/2014/main" id="{07F18070-D7C4-4CCB-AA76-27DF95F63DBE}"/>
            </a:ext>
          </a:extLst>
        </xdr:cNvPr>
        <xdr:cNvCxnSpPr/>
      </xdr:nvCxnSpPr>
      <xdr:spPr>
        <a:xfrm>
          <a:off x="16631751" y="1702198"/>
          <a:ext cx="5892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67196</xdr:colOff>
      <xdr:row>13</xdr:row>
      <xdr:rowOff>159506</xdr:rowOff>
    </xdr:from>
    <xdr:to>
      <xdr:col>25</xdr:col>
      <xdr:colOff>707276</xdr:colOff>
      <xdr:row>13</xdr:row>
      <xdr:rowOff>159506</xdr:rowOff>
    </xdr:to>
    <xdr:cxnSp macro="">
      <xdr:nvCxnSpPr>
        <xdr:cNvPr id="299" name="Straight Connector 298">
          <a:extLst>
            <a:ext uri="{FF2B5EF4-FFF2-40B4-BE49-F238E27FC236}">
              <a16:creationId xmlns:a16="http://schemas.microsoft.com/office/drawing/2014/main" id="{2A56A510-650C-47A4-8361-89A92ADC67A9}"/>
            </a:ext>
          </a:extLst>
        </xdr:cNvPr>
        <xdr:cNvCxnSpPr/>
      </xdr:nvCxnSpPr>
      <xdr:spPr>
        <a:xfrm>
          <a:off x="15878696" y="2445506"/>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63082</xdr:colOff>
      <xdr:row>13</xdr:row>
      <xdr:rowOff>159506</xdr:rowOff>
    </xdr:from>
    <xdr:to>
      <xdr:col>26</xdr:col>
      <xdr:colOff>703162</xdr:colOff>
      <xdr:row>13</xdr:row>
      <xdr:rowOff>159506</xdr:rowOff>
    </xdr:to>
    <xdr:cxnSp macro="">
      <xdr:nvCxnSpPr>
        <xdr:cNvPr id="300" name="Straight Connector 299">
          <a:extLst>
            <a:ext uri="{FF2B5EF4-FFF2-40B4-BE49-F238E27FC236}">
              <a16:creationId xmlns:a16="http://schemas.microsoft.com/office/drawing/2014/main" id="{65B51B71-FD1E-43AC-BD6A-EBA9C270A6C6}"/>
            </a:ext>
          </a:extLst>
        </xdr:cNvPr>
        <xdr:cNvCxnSpPr/>
      </xdr:nvCxnSpPr>
      <xdr:spPr>
        <a:xfrm>
          <a:off x="16636582" y="2445506"/>
          <a:ext cx="58293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68004</xdr:colOff>
      <xdr:row>18</xdr:row>
      <xdr:rowOff>171282</xdr:rowOff>
    </xdr:from>
    <xdr:to>
      <xdr:col>25</xdr:col>
      <xdr:colOff>708084</xdr:colOff>
      <xdr:row>18</xdr:row>
      <xdr:rowOff>171282</xdr:rowOff>
    </xdr:to>
    <xdr:cxnSp macro="">
      <xdr:nvCxnSpPr>
        <xdr:cNvPr id="301" name="Straight Connector 300">
          <a:extLst>
            <a:ext uri="{FF2B5EF4-FFF2-40B4-BE49-F238E27FC236}">
              <a16:creationId xmlns:a16="http://schemas.microsoft.com/office/drawing/2014/main" id="{A2016C3F-4091-4844-A95F-C84EC483AD57}"/>
            </a:ext>
          </a:extLst>
        </xdr:cNvPr>
        <xdr:cNvCxnSpPr/>
      </xdr:nvCxnSpPr>
      <xdr:spPr>
        <a:xfrm>
          <a:off x="15879504" y="3378032"/>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63890</xdr:colOff>
      <xdr:row>18</xdr:row>
      <xdr:rowOff>171282</xdr:rowOff>
    </xdr:from>
    <xdr:to>
      <xdr:col>26</xdr:col>
      <xdr:colOff>703970</xdr:colOff>
      <xdr:row>18</xdr:row>
      <xdr:rowOff>171282</xdr:rowOff>
    </xdr:to>
    <xdr:cxnSp macro="">
      <xdr:nvCxnSpPr>
        <xdr:cNvPr id="302" name="Straight Connector 301">
          <a:extLst>
            <a:ext uri="{FF2B5EF4-FFF2-40B4-BE49-F238E27FC236}">
              <a16:creationId xmlns:a16="http://schemas.microsoft.com/office/drawing/2014/main" id="{E698FEEC-C519-49E4-BABB-35881B773BA5}"/>
            </a:ext>
          </a:extLst>
        </xdr:cNvPr>
        <xdr:cNvCxnSpPr/>
      </xdr:nvCxnSpPr>
      <xdr:spPr>
        <a:xfrm>
          <a:off x="16637390" y="3378032"/>
          <a:ext cx="58293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69448</xdr:colOff>
      <xdr:row>20</xdr:row>
      <xdr:rowOff>166161</xdr:rowOff>
    </xdr:from>
    <xdr:to>
      <xdr:col>25</xdr:col>
      <xdr:colOff>709528</xdr:colOff>
      <xdr:row>20</xdr:row>
      <xdr:rowOff>166161</xdr:rowOff>
    </xdr:to>
    <xdr:cxnSp macro="">
      <xdr:nvCxnSpPr>
        <xdr:cNvPr id="303" name="Straight Connector 302">
          <a:extLst>
            <a:ext uri="{FF2B5EF4-FFF2-40B4-BE49-F238E27FC236}">
              <a16:creationId xmlns:a16="http://schemas.microsoft.com/office/drawing/2014/main" id="{5D39D0E9-77D0-4556-A2C6-7510B8511D55}"/>
            </a:ext>
          </a:extLst>
        </xdr:cNvPr>
        <xdr:cNvCxnSpPr/>
      </xdr:nvCxnSpPr>
      <xdr:spPr>
        <a:xfrm>
          <a:off x="15880948" y="3607861"/>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65334</xdr:colOff>
      <xdr:row>20</xdr:row>
      <xdr:rowOff>166161</xdr:rowOff>
    </xdr:from>
    <xdr:to>
      <xdr:col>26</xdr:col>
      <xdr:colOff>705414</xdr:colOff>
      <xdr:row>20</xdr:row>
      <xdr:rowOff>166161</xdr:rowOff>
    </xdr:to>
    <xdr:cxnSp macro="">
      <xdr:nvCxnSpPr>
        <xdr:cNvPr id="304" name="Straight Connector 303">
          <a:extLst>
            <a:ext uri="{FF2B5EF4-FFF2-40B4-BE49-F238E27FC236}">
              <a16:creationId xmlns:a16="http://schemas.microsoft.com/office/drawing/2014/main" id="{BD6A4D5E-11E0-440B-BA7C-DDDCD9905EBA}"/>
            </a:ext>
          </a:extLst>
        </xdr:cNvPr>
        <xdr:cNvCxnSpPr/>
      </xdr:nvCxnSpPr>
      <xdr:spPr>
        <a:xfrm>
          <a:off x="16638834" y="3607861"/>
          <a:ext cx="58293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74167</xdr:colOff>
      <xdr:row>24</xdr:row>
      <xdr:rowOff>159033</xdr:rowOff>
    </xdr:from>
    <xdr:to>
      <xdr:col>25</xdr:col>
      <xdr:colOff>714247</xdr:colOff>
      <xdr:row>24</xdr:row>
      <xdr:rowOff>159033</xdr:rowOff>
    </xdr:to>
    <xdr:cxnSp macro="">
      <xdr:nvCxnSpPr>
        <xdr:cNvPr id="305" name="Straight Connector 304">
          <a:extLst>
            <a:ext uri="{FF2B5EF4-FFF2-40B4-BE49-F238E27FC236}">
              <a16:creationId xmlns:a16="http://schemas.microsoft.com/office/drawing/2014/main" id="{B2D075E3-2A35-4E71-BD0A-067D34F2794D}"/>
            </a:ext>
          </a:extLst>
        </xdr:cNvPr>
        <xdr:cNvCxnSpPr/>
      </xdr:nvCxnSpPr>
      <xdr:spPr>
        <a:xfrm>
          <a:off x="15885667" y="4337333"/>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70053</xdr:colOff>
      <xdr:row>24</xdr:row>
      <xdr:rowOff>159033</xdr:rowOff>
    </xdr:from>
    <xdr:to>
      <xdr:col>26</xdr:col>
      <xdr:colOff>710133</xdr:colOff>
      <xdr:row>24</xdr:row>
      <xdr:rowOff>159033</xdr:rowOff>
    </xdr:to>
    <xdr:cxnSp macro="">
      <xdr:nvCxnSpPr>
        <xdr:cNvPr id="306" name="Straight Connector 305">
          <a:extLst>
            <a:ext uri="{FF2B5EF4-FFF2-40B4-BE49-F238E27FC236}">
              <a16:creationId xmlns:a16="http://schemas.microsoft.com/office/drawing/2014/main" id="{CF176362-17A8-4908-9FCE-64EB5647D018}"/>
            </a:ext>
          </a:extLst>
        </xdr:cNvPr>
        <xdr:cNvCxnSpPr/>
      </xdr:nvCxnSpPr>
      <xdr:spPr>
        <a:xfrm>
          <a:off x="16643553" y="4337333"/>
          <a:ext cx="5765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74167</xdr:colOff>
      <xdr:row>28</xdr:row>
      <xdr:rowOff>166653</xdr:rowOff>
    </xdr:from>
    <xdr:to>
      <xdr:col>25</xdr:col>
      <xdr:colOff>714247</xdr:colOff>
      <xdr:row>28</xdr:row>
      <xdr:rowOff>166653</xdr:rowOff>
    </xdr:to>
    <xdr:cxnSp macro="">
      <xdr:nvCxnSpPr>
        <xdr:cNvPr id="307" name="Straight Connector 306">
          <a:extLst>
            <a:ext uri="{FF2B5EF4-FFF2-40B4-BE49-F238E27FC236}">
              <a16:creationId xmlns:a16="http://schemas.microsoft.com/office/drawing/2014/main" id="{F897C2AE-8A93-46AC-981A-0F60CA8B36B4}"/>
            </a:ext>
          </a:extLst>
        </xdr:cNvPr>
        <xdr:cNvCxnSpPr/>
      </xdr:nvCxnSpPr>
      <xdr:spPr>
        <a:xfrm>
          <a:off x="15885667" y="5081553"/>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70053</xdr:colOff>
      <xdr:row>28</xdr:row>
      <xdr:rowOff>166653</xdr:rowOff>
    </xdr:from>
    <xdr:to>
      <xdr:col>26</xdr:col>
      <xdr:colOff>710133</xdr:colOff>
      <xdr:row>28</xdr:row>
      <xdr:rowOff>166653</xdr:rowOff>
    </xdr:to>
    <xdr:cxnSp macro="">
      <xdr:nvCxnSpPr>
        <xdr:cNvPr id="308" name="Straight Connector 307">
          <a:extLst>
            <a:ext uri="{FF2B5EF4-FFF2-40B4-BE49-F238E27FC236}">
              <a16:creationId xmlns:a16="http://schemas.microsoft.com/office/drawing/2014/main" id="{93EA8331-C436-4CF3-8113-357BD2652E70}"/>
            </a:ext>
          </a:extLst>
        </xdr:cNvPr>
        <xdr:cNvCxnSpPr/>
      </xdr:nvCxnSpPr>
      <xdr:spPr>
        <a:xfrm>
          <a:off x="16643553" y="5081553"/>
          <a:ext cx="5765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74167</xdr:colOff>
      <xdr:row>33</xdr:row>
      <xdr:rowOff>161573</xdr:rowOff>
    </xdr:from>
    <xdr:to>
      <xdr:col>25</xdr:col>
      <xdr:colOff>714247</xdr:colOff>
      <xdr:row>33</xdr:row>
      <xdr:rowOff>161573</xdr:rowOff>
    </xdr:to>
    <xdr:cxnSp macro="">
      <xdr:nvCxnSpPr>
        <xdr:cNvPr id="309" name="Straight Connector 308">
          <a:extLst>
            <a:ext uri="{FF2B5EF4-FFF2-40B4-BE49-F238E27FC236}">
              <a16:creationId xmlns:a16="http://schemas.microsoft.com/office/drawing/2014/main" id="{43E5FFEC-2BA0-4435-8196-EE963C34379D}"/>
            </a:ext>
          </a:extLst>
        </xdr:cNvPr>
        <xdr:cNvCxnSpPr/>
      </xdr:nvCxnSpPr>
      <xdr:spPr>
        <a:xfrm>
          <a:off x="15885667" y="6009923"/>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70053</xdr:colOff>
      <xdr:row>33</xdr:row>
      <xdr:rowOff>161573</xdr:rowOff>
    </xdr:from>
    <xdr:to>
      <xdr:col>26</xdr:col>
      <xdr:colOff>710133</xdr:colOff>
      <xdr:row>33</xdr:row>
      <xdr:rowOff>161573</xdr:rowOff>
    </xdr:to>
    <xdr:cxnSp macro="">
      <xdr:nvCxnSpPr>
        <xdr:cNvPr id="310" name="Straight Connector 309">
          <a:extLst>
            <a:ext uri="{FF2B5EF4-FFF2-40B4-BE49-F238E27FC236}">
              <a16:creationId xmlns:a16="http://schemas.microsoft.com/office/drawing/2014/main" id="{D7F78336-D38C-4B9A-9CD6-2A8F708D08DC}"/>
            </a:ext>
          </a:extLst>
        </xdr:cNvPr>
        <xdr:cNvCxnSpPr/>
      </xdr:nvCxnSpPr>
      <xdr:spPr>
        <a:xfrm>
          <a:off x="16643553" y="6009923"/>
          <a:ext cx="5765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71627</xdr:colOff>
      <xdr:row>34</xdr:row>
      <xdr:rowOff>164113</xdr:rowOff>
    </xdr:from>
    <xdr:to>
      <xdr:col>25</xdr:col>
      <xdr:colOff>711707</xdr:colOff>
      <xdr:row>34</xdr:row>
      <xdr:rowOff>164113</xdr:rowOff>
    </xdr:to>
    <xdr:cxnSp macro="">
      <xdr:nvCxnSpPr>
        <xdr:cNvPr id="311" name="Straight Connector 310">
          <a:extLst>
            <a:ext uri="{FF2B5EF4-FFF2-40B4-BE49-F238E27FC236}">
              <a16:creationId xmlns:a16="http://schemas.microsoft.com/office/drawing/2014/main" id="{F9E53346-305A-4A01-9088-BB39642D824F}"/>
            </a:ext>
          </a:extLst>
        </xdr:cNvPr>
        <xdr:cNvCxnSpPr/>
      </xdr:nvCxnSpPr>
      <xdr:spPr>
        <a:xfrm>
          <a:off x="15883127" y="6196613"/>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67513</xdr:colOff>
      <xdr:row>34</xdr:row>
      <xdr:rowOff>164113</xdr:rowOff>
    </xdr:from>
    <xdr:to>
      <xdr:col>26</xdr:col>
      <xdr:colOff>707593</xdr:colOff>
      <xdr:row>34</xdr:row>
      <xdr:rowOff>164113</xdr:rowOff>
    </xdr:to>
    <xdr:cxnSp macro="">
      <xdr:nvCxnSpPr>
        <xdr:cNvPr id="312" name="Straight Connector 311">
          <a:extLst>
            <a:ext uri="{FF2B5EF4-FFF2-40B4-BE49-F238E27FC236}">
              <a16:creationId xmlns:a16="http://schemas.microsoft.com/office/drawing/2014/main" id="{4809B67B-0CE7-4436-AE8B-F7126356C17A}"/>
            </a:ext>
          </a:extLst>
        </xdr:cNvPr>
        <xdr:cNvCxnSpPr/>
      </xdr:nvCxnSpPr>
      <xdr:spPr>
        <a:xfrm>
          <a:off x="16641013" y="6196613"/>
          <a:ext cx="58293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67221</xdr:colOff>
      <xdr:row>41</xdr:row>
      <xdr:rowOff>164521</xdr:rowOff>
    </xdr:from>
    <xdr:to>
      <xdr:col>26</xdr:col>
      <xdr:colOff>707301</xdr:colOff>
      <xdr:row>41</xdr:row>
      <xdr:rowOff>164521</xdr:rowOff>
    </xdr:to>
    <xdr:cxnSp macro="">
      <xdr:nvCxnSpPr>
        <xdr:cNvPr id="313" name="Straight Connector 312">
          <a:extLst>
            <a:ext uri="{FF2B5EF4-FFF2-40B4-BE49-F238E27FC236}">
              <a16:creationId xmlns:a16="http://schemas.microsoft.com/office/drawing/2014/main" id="{86D624FE-DED8-4335-A293-3EF873843825}"/>
            </a:ext>
          </a:extLst>
        </xdr:cNvPr>
        <xdr:cNvCxnSpPr/>
      </xdr:nvCxnSpPr>
      <xdr:spPr>
        <a:xfrm>
          <a:off x="16640721" y="7346371"/>
          <a:ext cx="58293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67221</xdr:colOff>
      <xdr:row>43</xdr:row>
      <xdr:rowOff>165008</xdr:rowOff>
    </xdr:from>
    <xdr:to>
      <xdr:col>26</xdr:col>
      <xdr:colOff>707301</xdr:colOff>
      <xdr:row>43</xdr:row>
      <xdr:rowOff>165008</xdr:rowOff>
    </xdr:to>
    <xdr:cxnSp macro="">
      <xdr:nvCxnSpPr>
        <xdr:cNvPr id="314" name="Straight Connector 313">
          <a:extLst>
            <a:ext uri="{FF2B5EF4-FFF2-40B4-BE49-F238E27FC236}">
              <a16:creationId xmlns:a16="http://schemas.microsoft.com/office/drawing/2014/main" id="{BCC4D430-5E4B-41F3-A065-DDE895E09267}"/>
            </a:ext>
          </a:extLst>
        </xdr:cNvPr>
        <xdr:cNvCxnSpPr/>
      </xdr:nvCxnSpPr>
      <xdr:spPr>
        <a:xfrm>
          <a:off x="16640721" y="7715158"/>
          <a:ext cx="58293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64183</xdr:colOff>
      <xdr:row>48</xdr:row>
      <xdr:rowOff>167497</xdr:rowOff>
    </xdr:from>
    <xdr:to>
      <xdr:col>22</xdr:col>
      <xdr:colOff>704263</xdr:colOff>
      <xdr:row>48</xdr:row>
      <xdr:rowOff>167497</xdr:rowOff>
    </xdr:to>
    <xdr:cxnSp macro="">
      <xdr:nvCxnSpPr>
        <xdr:cNvPr id="315" name="Straight Connector 314">
          <a:extLst>
            <a:ext uri="{FF2B5EF4-FFF2-40B4-BE49-F238E27FC236}">
              <a16:creationId xmlns:a16="http://schemas.microsoft.com/office/drawing/2014/main" id="{5E045D92-1411-4674-83DA-91FE244455A6}"/>
            </a:ext>
          </a:extLst>
        </xdr:cNvPr>
        <xdr:cNvCxnSpPr/>
      </xdr:nvCxnSpPr>
      <xdr:spPr>
        <a:xfrm>
          <a:off x="13589683" y="8638397"/>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606525</xdr:colOff>
      <xdr:row>46</xdr:row>
      <xdr:rowOff>139367</xdr:rowOff>
    </xdr:from>
    <xdr:to>
      <xdr:col>27</xdr:col>
      <xdr:colOff>0</xdr:colOff>
      <xdr:row>46</xdr:row>
      <xdr:rowOff>139367</xdr:rowOff>
    </xdr:to>
    <xdr:cxnSp macro="">
      <xdr:nvCxnSpPr>
        <xdr:cNvPr id="316" name="Straight Connector 315">
          <a:extLst>
            <a:ext uri="{FF2B5EF4-FFF2-40B4-BE49-F238E27FC236}">
              <a16:creationId xmlns:a16="http://schemas.microsoft.com/office/drawing/2014/main" id="{888AC1F4-1503-4C4E-B5CC-8EFDAA705192}"/>
            </a:ext>
          </a:extLst>
        </xdr:cNvPr>
        <xdr:cNvCxnSpPr/>
      </xdr:nvCxnSpPr>
      <xdr:spPr>
        <a:xfrm>
          <a:off x="13522425" y="8241967"/>
          <a:ext cx="3698775"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61632</xdr:colOff>
      <xdr:row>48</xdr:row>
      <xdr:rowOff>167497</xdr:rowOff>
    </xdr:from>
    <xdr:to>
      <xdr:col>23</xdr:col>
      <xdr:colOff>701712</xdr:colOff>
      <xdr:row>48</xdr:row>
      <xdr:rowOff>167497</xdr:rowOff>
    </xdr:to>
    <xdr:cxnSp macro="">
      <xdr:nvCxnSpPr>
        <xdr:cNvPr id="317" name="Straight Connector 316">
          <a:extLst>
            <a:ext uri="{FF2B5EF4-FFF2-40B4-BE49-F238E27FC236}">
              <a16:creationId xmlns:a16="http://schemas.microsoft.com/office/drawing/2014/main" id="{0004F35B-B3D8-4E44-82B0-1D012854CFB9}"/>
            </a:ext>
          </a:extLst>
        </xdr:cNvPr>
        <xdr:cNvCxnSpPr/>
      </xdr:nvCxnSpPr>
      <xdr:spPr>
        <a:xfrm>
          <a:off x="14349132" y="8638397"/>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24</xdr:col>
      <xdr:colOff>59079</xdr:colOff>
      <xdr:row>48</xdr:row>
      <xdr:rowOff>167497</xdr:rowOff>
    </xdr:from>
    <xdr:to>
      <xdr:col>24</xdr:col>
      <xdr:colOff>699159</xdr:colOff>
      <xdr:row>48</xdr:row>
      <xdr:rowOff>167497</xdr:rowOff>
    </xdr:to>
    <xdr:cxnSp macro="">
      <xdr:nvCxnSpPr>
        <xdr:cNvPr id="318" name="Straight Connector 317">
          <a:extLst>
            <a:ext uri="{FF2B5EF4-FFF2-40B4-BE49-F238E27FC236}">
              <a16:creationId xmlns:a16="http://schemas.microsoft.com/office/drawing/2014/main" id="{780822CB-AD11-4025-BB8D-D14E8B0BFEFA}"/>
            </a:ext>
          </a:extLst>
        </xdr:cNvPr>
        <xdr:cNvCxnSpPr/>
      </xdr:nvCxnSpPr>
      <xdr:spPr>
        <a:xfrm>
          <a:off x="15108579" y="8638397"/>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68679</xdr:colOff>
      <xdr:row>48</xdr:row>
      <xdr:rowOff>167497</xdr:rowOff>
    </xdr:from>
    <xdr:to>
      <xdr:col>25</xdr:col>
      <xdr:colOff>708759</xdr:colOff>
      <xdr:row>48</xdr:row>
      <xdr:rowOff>167497</xdr:rowOff>
    </xdr:to>
    <xdr:cxnSp macro="">
      <xdr:nvCxnSpPr>
        <xdr:cNvPr id="319" name="Straight Connector 318">
          <a:extLst>
            <a:ext uri="{FF2B5EF4-FFF2-40B4-BE49-F238E27FC236}">
              <a16:creationId xmlns:a16="http://schemas.microsoft.com/office/drawing/2014/main" id="{973773E0-58BA-42F5-992C-41D26AF39163}"/>
            </a:ext>
          </a:extLst>
        </xdr:cNvPr>
        <xdr:cNvCxnSpPr/>
      </xdr:nvCxnSpPr>
      <xdr:spPr>
        <a:xfrm>
          <a:off x="15880179" y="8638397"/>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63090</xdr:colOff>
      <xdr:row>48</xdr:row>
      <xdr:rowOff>167497</xdr:rowOff>
    </xdr:from>
    <xdr:to>
      <xdr:col>26</xdr:col>
      <xdr:colOff>703170</xdr:colOff>
      <xdr:row>48</xdr:row>
      <xdr:rowOff>167497</xdr:rowOff>
    </xdr:to>
    <xdr:cxnSp macro="">
      <xdr:nvCxnSpPr>
        <xdr:cNvPr id="320" name="Straight Connector 319">
          <a:extLst>
            <a:ext uri="{FF2B5EF4-FFF2-40B4-BE49-F238E27FC236}">
              <a16:creationId xmlns:a16="http://schemas.microsoft.com/office/drawing/2014/main" id="{07C4D3AE-593F-41FC-BE81-D4F12D181A07}"/>
            </a:ext>
          </a:extLst>
        </xdr:cNvPr>
        <xdr:cNvCxnSpPr/>
      </xdr:nvCxnSpPr>
      <xdr:spPr>
        <a:xfrm>
          <a:off x="16636590" y="8638397"/>
          <a:ext cx="58293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61274</xdr:colOff>
      <xdr:row>54</xdr:row>
      <xdr:rowOff>154333</xdr:rowOff>
    </xdr:from>
    <xdr:to>
      <xdr:col>23</xdr:col>
      <xdr:colOff>701354</xdr:colOff>
      <xdr:row>54</xdr:row>
      <xdr:rowOff>154333</xdr:rowOff>
    </xdr:to>
    <xdr:cxnSp macro="">
      <xdr:nvCxnSpPr>
        <xdr:cNvPr id="321" name="Straight Connector 320">
          <a:extLst>
            <a:ext uri="{FF2B5EF4-FFF2-40B4-BE49-F238E27FC236}">
              <a16:creationId xmlns:a16="http://schemas.microsoft.com/office/drawing/2014/main" id="{8620995C-2797-485E-A085-6AAE0B4CC8B9}"/>
            </a:ext>
          </a:extLst>
        </xdr:cNvPr>
        <xdr:cNvCxnSpPr/>
      </xdr:nvCxnSpPr>
      <xdr:spPr>
        <a:xfrm>
          <a:off x="14348774" y="9577733"/>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24</xdr:col>
      <xdr:colOff>58721</xdr:colOff>
      <xdr:row>54</xdr:row>
      <xdr:rowOff>154333</xdr:rowOff>
    </xdr:from>
    <xdr:to>
      <xdr:col>24</xdr:col>
      <xdr:colOff>698801</xdr:colOff>
      <xdr:row>54</xdr:row>
      <xdr:rowOff>154333</xdr:rowOff>
    </xdr:to>
    <xdr:cxnSp macro="">
      <xdr:nvCxnSpPr>
        <xdr:cNvPr id="322" name="Straight Connector 321">
          <a:extLst>
            <a:ext uri="{FF2B5EF4-FFF2-40B4-BE49-F238E27FC236}">
              <a16:creationId xmlns:a16="http://schemas.microsoft.com/office/drawing/2014/main" id="{DB6CF69F-D0BC-437C-870F-1C8565D89B09}"/>
            </a:ext>
          </a:extLst>
        </xdr:cNvPr>
        <xdr:cNvCxnSpPr/>
      </xdr:nvCxnSpPr>
      <xdr:spPr>
        <a:xfrm>
          <a:off x="15108221" y="9577733"/>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14238</xdr:colOff>
      <xdr:row>57</xdr:row>
      <xdr:rowOff>155953</xdr:rowOff>
    </xdr:from>
    <xdr:to>
      <xdr:col>27</xdr:col>
      <xdr:colOff>0</xdr:colOff>
      <xdr:row>57</xdr:row>
      <xdr:rowOff>156614</xdr:rowOff>
    </xdr:to>
    <xdr:cxnSp macro="">
      <xdr:nvCxnSpPr>
        <xdr:cNvPr id="323" name="Straight Connector 322">
          <a:extLst>
            <a:ext uri="{FF2B5EF4-FFF2-40B4-BE49-F238E27FC236}">
              <a16:creationId xmlns:a16="http://schemas.microsoft.com/office/drawing/2014/main" id="{50EA4A23-C247-4D29-BC94-19CAC7D5AD5A}"/>
            </a:ext>
          </a:extLst>
        </xdr:cNvPr>
        <xdr:cNvCxnSpPr/>
      </xdr:nvCxnSpPr>
      <xdr:spPr>
        <a:xfrm flipV="1">
          <a:off x="13539738" y="9998453"/>
          <a:ext cx="3681462" cy="661"/>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73838</xdr:colOff>
      <xdr:row>59</xdr:row>
      <xdr:rowOff>155229</xdr:rowOff>
    </xdr:from>
    <xdr:to>
      <xdr:col>23</xdr:col>
      <xdr:colOff>713918</xdr:colOff>
      <xdr:row>59</xdr:row>
      <xdr:rowOff>155229</xdr:rowOff>
    </xdr:to>
    <xdr:cxnSp macro="">
      <xdr:nvCxnSpPr>
        <xdr:cNvPr id="324" name="Straight Connector 323">
          <a:extLst>
            <a:ext uri="{FF2B5EF4-FFF2-40B4-BE49-F238E27FC236}">
              <a16:creationId xmlns:a16="http://schemas.microsoft.com/office/drawing/2014/main" id="{047E4835-E595-4B1C-881C-E77C7E40BBF3}"/>
            </a:ext>
          </a:extLst>
        </xdr:cNvPr>
        <xdr:cNvCxnSpPr/>
      </xdr:nvCxnSpPr>
      <xdr:spPr>
        <a:xfrm>
          <a:off x="14361338" y="10372379"/>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24</xdr:col>
      <xdr:colOff>71285</xdr:colOff>
      <xdr:row>59</xdr:row>
      <xdr:rowOff>155229</xdr:rowOff>
    </xdr:from>
    <xdr:to>
      <xdr:col>24</xdr:col>
      <xdr:colOff>711365</xdr:colOff>
      <xdr:row>59</xdr:row>
      <xdr:rowOff>155229</xdr:rowOff>
    </xdr:to>
    <xdr:cxnSp macro="">
      <xdr:nvCxnSpPr>
        <xdr:cNvPr id="325" name="Straight Connector 324">
          <a:extLst>
            <a:ext uri="{FF2B5EF4-FFF2-40B4-BE49-F238E27FC236}">
              <a16:creationId xmlns:a16="http://schemas.microsoft.com/office/drawing/2014/main" id="{9D4E32E8-69C3-4745-9CE9-21BE5CD89721}"/>
            </a:ext>
          </a:extLst>
        </xdr:cNvPr>
        <xdr:cNvCxnSpPr/>
      </xdr:nvCxnSpPr>
      <xdr:spPr>
        <a:xfrm>
          <a:off x="15120785" y="10372379"/>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80885</xdr:colOff>
      <xdr:row>59</xdr:row>
      <xdr:rowOff>155229</xdr:rowOff>
    </xdr:from>
    <xdr:to>
      <xdr:col>25</xdr:col>
      <xdr:colOff>720965</xdr:colOff>
      <xdr:row>59</xdr:row>
      <xdr:rowOff>155229</xdr:rowOff>
    </xdr:to>
    <xdr:cxnSp macro="">
      <xdr:nvCxnSpPr>
        <xdr:cNvPr id="326" name="Straight Connector 325">
          <a:extLst>
            <a:ext uri="{FF2B5EF4-FFF2-40B4-BE49-F238E27FC236}">
              <a16:creationId xmlns:a16="http://schemas.microsoft.com/office/drawing/2014/main" id="{A1C16C03-E055-44B3-8078-FD298F968448}"/>
            </a:ext>
          </a:extLst>
        </xdr:cNvPr>
        <xdr:cNvCxnSpPr/>
      </xdr:nvCxnSpPr>
      <xdr:spPr>
        <a:xfrm>
          <a:off x="15892385" y="10372379"/>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75296</xdr:colOff>
      <xdr:row>59</xdr:row>
      <xdr:rowOff>155229</xdr:rowOff>
    </xdr:from>
    <xdr:to>
      <xdr:col>26</xdr:col>
      <xdr:colOff>715376</xdr:colOff>
      <xdr:row>59</xdr:row>
      <xdr:rowOff>155229</xdr:rowOff>
    </xdr:to>
    <xdr:cxnSp macro="">
      <xdr:nvCxnSpPr>
        <xdr:cNvPr id="327" name="Straight Connector 326">
          <a:extLst>
            <a:ext uri="{FF2B5EF4-FFF2-40B4-BE49-F238E27FC236}">
              <a16:creationId xmlns:a16="http://schemas.microsoft.com/office/drawing/2014/main" id="{538953AC-664C-4DD6-967D-F079541BCE9E}"/>
            </a:ext>
          </a:extLst>
        </xdr:cNvPr>
        <xdr:cNvCxnSpPr/>
      </xdr:nvCxnSpPr>
      <xdr:spPr>
        <a:xfrm>
          <a:off x="16648796" y="10372379"/>
          <a:ext cx="57023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76885</xdr:colOff>
      <xdr:row>64</xdr:row>
      <xdr:rowOff>159393</xdr:rowOff>
    </xdr:from>
    <xdr:to>
      <xdr:col>23</xdr:col>
      <xdr:colOff>716965</xdr:colOff>
      <xdr:row>64</xdr:row>
      <xdr:rowOff>159393</xdr:rowOff>
    </xdr:to>
    <xdr:cxnSp macro="">
      <xdr:nvCxnSpPr>
        <xdr:cNvPr id="328" name="Straight Connector 327">
          <a:extLst>
            <a:ext uri="{FF2B5EF4-FFF2-40B4-BE49-F238E27FC236}">
              <a16:creationId xmlns:a16="http://schemas.microsoft.com/office/drawing/2014/main" id="{BAFC30F5-1189-42D3-8C05-DE98EBEDFC44}"/>
            </a:ext>
          </a:extLst>
        </xdr:cNvPr>
        <xdr:cNvCxnSpPr/>
      </xdr:nvCxnSpPr>
      <xdr:spPr>
        <a:xfrm>
          <a:off x="14364385" y="11303643"/>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24</xdr:col>
      <xdr:colOff>74332</xdr:colOff>
      <xdr:row>64</xdr:row>
      <xdr:rowOff>159393</xdr:rowOff>
    </xdr:from>
    <xdr:to>
      <xdr:col>24</xdr:col>
      <xdr:colOff>714412</xdr:colOff>
      <xdr:row>64</xdr:row>
      <xdr:rowOff>159393</xdr:rowOff>
    </xdr:to>
    <xdr:cxnSp macro="">
      <xdr:nvCxnSpPr>
        <xdr:cNvPr id="329" name="Straight Connector 328">
          <a:extLst>
            <a:ext uri="{FF2B5EF4-FFF2-40B4-BE49-F238E27FC236}">
              <a16:creationId xmlns:a16="http://schemas.microsoft.com/office/drawing/2014/main" id="{1214AFA5-1FF3-411A-88B9-EE09AE3F36E1}"/>
            </a:ext>
          </a:extLst>
        </xdr:cNvPr>
        <xdr:cNvCxnSpPr/>
      </xdr:nvCxnSpPr>
      <xdr:spPr>
        <a:xfrm>
          <a:off x="15123832" y="11303643"/>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83932</xdr:colOff>
      <xdr:row>64</xdr:row>
      <xdr:rowOff>159393</xdr:rowOff>
    </xdr:from>
    <xdr:to>
      <xdr:col>25</xdr:col>
      <xdr:colOff>724012</xdr:colOff>
      <xdr:row>64</xdr:row>
      <xdr:rowOff>159393</xdr:rowOff>
    </xdr:to>
    <xdr:cxnSp macro="">
      <xdr:nvCxnSpPr>
        <xdr:cNvPr id="330" name="Straight Connector 329">
          <a:extLst>
            <a:ext uri="{FF2B5EF4-FFF2-40B4-BE49-F238E27FC236}">
              <a16:creationId xmlns:a16="http://schemas.microsoft.com/office/drawing/2014/main" id="{D39D54BB-1634-4109-ADD9-68F49172946E}"/>
            </a:ext>
          </a:extLst>
        </xdr:cNvPr>
        <xdr:cNvCxnSpPr/>
      </xdr:nvCxnSpPr>
      <xdr:spPr>
        <a:xfrm>
          <a:off x="15895432" y="11303643"/>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78343</xdr:colOff>
      <xdr:row>64</xdr:row>
      <xdr:rowOff>159393</xdr:rowOff>
    </xdr:from>
    <xdr:to>
      <xdr:col>26</xdr:col>
      <xdr:colOff>718423</xdr:colOff>
      <xdr:row>64</xdr:row>
      <xdr:rowOff>159393</xdr:rowOff>
    </xdr:to>
    <xdr:cxnSp macro="">
      <xdr:nvCxnSpPr>
        <xdr:cNvPr id="331" name="Straight Connector 330">
          <a:extLst>
            <a:ext uri="{FF2B5EF4-FFF2-40B4-BE49-F238E27FC236}">
              <a16:creationId xmlns:a16="http://schemas.microsoft.com/office/drawing/2014/main" id="{73CA8EAE-5CE5-456C-9D14-3B5CFDAD39AD}"/>
            </a:ext>
          </a:extLst>
        </xdr:cNvPr>
        <xdr:cNvCxnSpPr/>
      </xdr:nvCxnSpPr>
      <xdr:spPr>
        <a:xfrm>
          <a:off x="16651843" y="11303643"/>
          <a:ext cx="57023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81638</xdr:colOff>
      <xdr:row>11</xdr:row>
      <xdr:rowOff>169534</xdr:rowOff>
    </xdr:from>
    <xdr:to>
      <xdr:col>20</xdr:col>
      <xdr:colOff>585586</xdr:colOff>
      <xdr:row>11</xdr:row>
      <xdr:rowOff>170691</xdr:rowOff>
    </xdr:to>
    <xdr:cxnSp macro="">
      <xdr:nvCxnSpPr>
        <xdr:cNvPr id="332" name="Straight Connector 331">
          <a:extLst>
            <a:ext uri="{FF2B5EF4-FFF2-40B4-BE49-F238E27FC236}">
              <a16:creationId xmlns:a16="http://schemas.microsoft.com/office/drawing/2014/main" id="{D4F09EEA-85D5-4E19-A37B-29F9CDD6A724}"/>
            </a:ext>
          </a:extLst>
        </xdr:cNvPr>
        <xdr:cNvCxnSpPr/>
      </xdr:nvCxnSpPr>
      <xdr:spPr>
        <a:xfrm flipV="1">
          <a:off x="11778338" y="208088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81981</xdr:colOff>
      <xdr:row>16</xdr:row>
      <xdr:rowOff>154837</xdr:rowOff>
    </xdr:from>
    <xdr:to>
      <xdr:col>10</xdr:col>
      <xdr:colOff>585928</xdr:colOff>
      <xdr:row>16</xdr:row>
      <xdr:rowOff>155994</xdr:rowOff>
    </xdr:to>
    <xdr:cxnSp macro="">
      <xdr:nvCxnSpPr>
        <xdr:cNvPr id="333" name="Straight Connector 332">
          <a:extLst>
            <a:ext uri="{FF2B5EF4-FFF2-40B4-BE49-F238E27FC236}">
              <a16:creationId xmlns:a16="http://schemas.microsoft.com/office/drawing/2014/main" id="{6778A60D-8D17-41C6-A9C2-EC9183E8A179}"/>
            </a:ext>
          </a:extLst>
        </xdr:cNvPr>
        <xdr:cNvCxnSpPr/>
      </xdr:nvCxnSpPr>
      <xdr:spPr>
        <a:xfrm flipV="1">
          <a:off x="5682681" y="299328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84473</xdr:colOff>
      <xdr:row>16</xdr:row>
      <xdr:rowOff>154837</xdr:rowOff>
    </xdr:from>
    <xdr:to>
      <xdr:col>12</xdr:col>
      <xdr:colOff>588420</xdr:colOff>
      <xdr:row>16</xdr:row>
      <xdr:rowOff>155994</xdr:rowOff>
    </xdr:to>
    <xdr:cxnSp macro="">
      <xdr:nvCxnSpPr>
        <xdr:cNvPr id="334" name="Straight Connector 333">
          <a:extLst>
            <a:ext uri="{FF2B5EF4-FFF2-40B4-BE49-F238E27FC236}">
              <a16:creationId xmlns:a16="http://schemas.microsoft.com/office/drawing/2014/main" id="{1CF7C3FE-6BBC-45E9-91CB-8C13AA22DFA7}"/>
            </a:ext>
          </a:extLst>
        </xdr:cNvPr>
        <xdr:cNvCxnSpPr/>
      </xdr:nvCxnSpPr>
      <xdr:spPr>
        <a:xfrm flipV="1">
          <a:off x="6904373" y="299328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82797</xdr:colOff>
      <xdr:row>16</xdr:row>
      <xdr:rowOff>154837</xdr:rowOff>
    </xdr:from>
    <xdr:to>
      <xdr:col>14</xdr:col>
      <xdr:colOff>586744</xdr:colOff>
      <xdr:row>16</xdr:row>
      <xdr:rowOff>155994</xdr:rowOff>
    </xdr:to>
    <xdr:cxnSp macro="">
      <xdr:nvCxnSpPr>
        <xdr:cNvPr id="335" name="Straight Connector 334">
          <a:extLst>
            <a:ext uri="{FF2B5EF4-FFF2-40B4-BE49-F238E27FC236}">
              <a16:creationId xmlns:a16="http://schemas.microsoft.com/office/drawing/2014/main" id="{CA6726B2-3B41-4215-B9FB-0E67F4698D63}"/>
            </a:ext>
          </a:extLst>
        </xdr:cNvPr>
        <xdr:cNvCxnSpPr/>
      </xdr:nvCxnSpPr>
      <xdr:spPr>
        <a:xfrm flipV="1">
          <a:off x="8121897" y="299328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92541</xdr:colOff>
      <xdr:row>16</xdr:row>
      <xdr:rowOff>154837</xdr:rowOff>
    </xdr:from>
    <xdr:to>
      <xdr:col>16</xdr:col>
      <xdr:colOff>596489</xdr:colOff>
      <xdr:row>16</xdr:row>
      <xdr:rowOff>155994</xdr:rowOff>
    </xdr:to>
    <xdr:cxnSp macro="">
      <xdr:nvCxnSpPr>
        <xdr:cNvPr id="336" name="Straight Connector 335">
          <a:extLst>
            <a:ext uri="{FF2B5EF4-FFF2-40B4-BE49-F238E27FC236}">
              <a16:creationId xmlns:a16="http://schemas.microsoft.com/office/drawing/2014/main" id="{0EB2B9E8-E828-443A-A08B-63E615397EE5}"/>
            </a:ext>
          </a:extLst>
        </xdr:cNvPr>
        <xdr:cNvCxnSpPr/>
      </xdr:nvCxnSpPr>
      <xdr:spPr>
        <a:xfrm flipV="1">
          <a:off x="9350841" y="2993287"/>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81638</xdr:colOff>
      <xdr:row>16</xdr:row>
      <xdr:rowOff>154837</xdr:rowOff>
    </xdr:from>
    <xdr:to>
      <xdr:col>18</xdr:col>
      <xdr:colOff>585586</xdr:colOff>
      <xdr:row>16</xdr:row>
      <xdr:rowOff>155994</xdr:rowOff>
    </xdr:to>
    <xdr:cxnSp macro="">
      <xdr:nvCxnSpPr>
        <xdr:cNvPr id="337" name="Straight Connector 336">
          <a:extLst>
            <a:ext uri="{FF2B5EF4-FFF2-40B4-BE49-F238E27FC236}">
              <a16:creationId xmlns:a16="http://schemas.microsoft.com/office/drawing/2014/main" id="{BDB1163F-9D0D-4DE7-A3EC-47E6151271DE}"/>
            </a:ext>
          </a:extLst>
        </xdr:cNvPr>
        <xdr:cNvCxnSpPr/>
      </xdr:nvCxnSpPr>
      <xdr:spPr>
        <a:xfrm flipV="1">
          <a:off x="10559138" y="2993287"/>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81638</xdr:colOff>
      <xdr:row>11</xdr:row>
      <xdr:rowOff>169534</xdr:rowOff>
    </xdr:from>
    <xdr:to>
      <xdr:col>20</xdr:col>
      <xdr:colOff>585586</xdr:colOff>
      <xdr:row>11</xdr:row>
      <xdr:rowOff>170691</xdr:rowOff>
    </xdr:to>
    <xdr:cxnSp macro="">
      <xdr:nvCxnSpPr>
        <xdr:cNvPr id="338" name="Straight Connector 337">
          <a:extLst>
            <a:ext uri="{FF2B5EF4-FFF2-40B4-BE49-F238E27FC236}">
              <a16:creationId xmlns:a16="http://schemas.microsoft.com/office/drawing/2014/main" id="{0727A50D-7C3A-45A0-80D6-E1929B7F62B4}"/>
            </a:ext>
          </a:extLst>
        </xdr:cNvPr>
        <xdr:cNvCxnSpPr/>
      </xdr:nvCxnSpPr>
      <xdr:spPr>
        <a:xfrm flipV="1">
          <a:off x="11778338" y="208088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81638</xdr:colOff>
      <xdr:row>13</xdr:row>
      <xdr:rowOff>154837</xdr:rowOff>
    </xdr:from>
    <xdr:to>
      <xdr:col>20</xdr:col>
      <xdr:colOff>585586</xdr:colOff>
      <xdr:row>13</xdr:row>
      <xdr:rowOff>155994</xdr:rowOff>
    </xdr:to>
    <xdr:cxnSp macro="">
      <xdr:nvCxnSpPr>
        <xdr:cNvPr id="339" name="Straight Connector 338">
          <a:extLst>
            <a:ext uri="{FF2B5EF4-FFF2-40B4-BE49-F238E27FC236}">
              <a16:creationId xmlns:a16="http://schemas.microsoft.com/office/drawing/2014/main" id="{BF0A65D2-B84D-48F1-A025-EF57FC6644CF}"/>
            </a:ext>
          </a:extLst>
        </xdr:cNvPr>
        <xdr:cNvCxnSpPr/>
      </xdr:nvCxnSpPr>
      <xdr:spPr>
        <a:xfrm flipV="1">
          <a:off x="11778338" y="2440837"/>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81638</xdr:colOff>
      <xdr:row>16</xdr:row>
      <xdr:rowOff>158334</xdr:rowOff>
    </xdr:from>
    <xdr:to>
      <xdr:col>20</xdr:col>
      <xdr:colOff>585586</xdr:colOff>
      <xdr:row>16</xdr:row>
      <xdr:rowOff>159491</xdr:rowOff>
    </xdr:to>
    <xdr:cxnSp macro="">
      <xdr:nvCxnSpPr>
        <xdr:cNvPr id="340" name="Straight Connector 339">
          <a:extLst>
            <a:ext uri="{FF2B5EF4-FFF2-40B4-BE49-F238E27FC236}">
              <a16:creationId xmlns:a16="http://schemas.microsoft.com/office/drawing/2014/main" id="{C606F31C-20EC-4C4D-B39F-BCC46EBE85E7}"/>
            </a:ext>
          </a:extLst>
        </xdr:cNvPr>
        <xdr:cNvCxnSpPr/>
      </xdr:nvCxnSpPr>
      <xdr:spPr>
        <a:xfrm flipV="1">
          <a:off x="11778338" y="299678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81638</xdr:colOff>
      <xdr:row>18</xdr:row>
      <xdr:rowOff>166215</xdr:rowOff>
    </xdr:from>
    <xdr:to>
      <xdr:col>20</xdr:col>
      <xdr:colOff>585586</xdr:colOff>
      <xdr:row>18</xdr:row>
      <xdr:rowOff>167372</xdr:rowOff>
    </xdr:to>
    <xdr:cxnSp macro="">
      <xdr:nvCxnSpPr>
        <xdr:cNvPr id="341" name="Straight Connector 340">
          <a:extLst>
            <a:ext uri="{FF2B5EF4-FFF2-40B4-BE49-F238E27FC236}">
              <a16:creationId xmlns:a16="http://schemas.microsoft.com/office/drawing/2014/main" id="{75D83613-16A9-49EE-8ACB-6B776F50BEDC}"/>
            </a:ext>
          </a:extLst>
        </xdr:cNvPr>
        <xdr:cNvCxnSpPr/>
      </xdr:nvCxnSpPr>
      <xdr:spPr>
        <a:xfrm flipV="1">
          <a:off x="11778338" y="3372965"/>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96661</xdr:colOff>
      <xdr:row>23</xdr:row>
      <xdr:rowOff>152197</xdr:rowOff>
    </xdr:from>
    <xdr:to>
      <xdr:col>20</xdr:col>
      <xdr:colOff>600563</xdr:colOff>
      <xdr:row>23</xdr:row>
      <xdr:rowOff>153354</xdr:rowOff>
    </xdr:to>
    <xdr:cxnSp macro="">
      <xdr:nvCxnSpPr>
        <xdr:cNvPr id="342" name="Straight Connector 341">
          <a:extLst>
            <a:ext uri="{FF2B5EF4-FFF2-40B4-BE49-F238E27FC236}">
              <a16:creationId xmlns:a16="http://schemas.microsoft.com/office/drawing/2014/main" id="{60043368-7E42-47F4-BC13-3AA8C637A1C6}"/>
            </a:ext>
          </a:extLst>
        </xdr:cNvPr>
        <xdr:cNvCxnSpPr/>
      </xdr:nvCxnSpPr>
      <xdr:spPr>
        <a:xfrm flipV="1">
          <a:off x="11793361" y="4146347"/>
          <a:ext cx="1113502"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81638</xdr:colOff>
      <xdr:row>24</xdr:row>
      <xdr:rowOff>191437</xdr:rowOff>
    </xdr:from>
    <xdr:to>
      <xdr:col>20</xdr:col>
      <xdr:colOff>585586</xdr:colOff>
      <xdr:row>24</xdr:row>
      <xdr:rowOff>192594</xdr:rowOff>
    </xdr:to>
    <xdr:cxnSp macro="">
      <xdr:nvCxnSpPr>
        <xdr:cNvPr id="343" name="Straight Connector 342">
          <a:extLst>
            <a:ext uri="{FF2B5EF4-FFF2-40B4-BE49-F238E27FC236}">
              <a16:creationId xmlns:a16="http://schemas.microsoft.com/office/drawing/2014/main" id="{6A1B6480-4822-4574-B13A-44D739943614}"/>
            </a:ext>
          </a:extLst>
        </xdr:cNvPr>
        <xdr:cNvCxnSpPr/>
      </xdr:nvCxnSpPr>
      <xdr:spPr>
        <a:xfrm flipV="1">
          <a:off x="11778338" y="4363387"/>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81638</xdr:colOff>
      <xdr:row>25</xdr:row>
      <xdr:rowOff>5545</xdr:rowOff>
    </xdr:from>
    <xdr:to>
      <xdr:col>20</xdr:col>
      <xdr:colOff>585586</xdr:colOff>
      <xdr:row>25</xdr:row>
      <xdr:rowOff>6702</xdr:rowOff>
    </xdr:to>
    <xdr:cxnSp macro="">
      <xdr:nvCxnSpPr>
        <xdr:cNvPr id="344" name="Straight Connector 343">
          <a:extLst>
            <a:ext uri="{FF2B5EF4-FFF2-40B4-BE49-F238E27FC236}">
              <a16:creationId xmlns:a16="http://schemas.microsoft.com/office/drawing/2014/main" id="{1D919ED4-D861-474B-BF82-8C901F5BABB6}"/>
            </a:ext>
          </a:extLst>
        </xdr:cNvPr>
        <xdr:cNvCxnSpPr/>
      </xdr:nvCxnSpPr>
      <xdr:spPr>
        <a:xfrm flipV="1">
          <a:off x="11778338" y="4367995"/>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76561</xdr:colOff>
      <xdr:row>33</xdr:row>
      <xdr:rowOff>162327</xdr:rowOff>
    </xdr:from>
    <xdr:to>
      <xdr:col>20</xdr:col>
      <xdr:colOff>580463</xdr:colOff>
      <xdr:row>33</xdr:row>
      <xdr:rowOff>163484</xdr:rowOff>
    </xdr:to>
    <xdr:cxnSp macro="">
      <xdr:nvCxnSpPr>
        <xdr:cNvPr id="345" name="Straight Connector 344">
          <a:extLst>
            <a:ext uri="{FF2B5EF4-FFF2-40B4-BE49-F238E27FC236}">
              <a16:creationId xmlns:a16="http://schemas.microsoft.com/office/drawing/2014/main" id="{4893C1B7-DCC3-432F-9B7E-935DB3CA3370}"/>
            </a:ext>
          </a:extLst>
        </xdr:cNvPr>
        <xdr:cNvCxnSpPr/>
      </xdr:nvCxnSpPr>
      <xdr:spPr>
        <a:xfrm flipV="1">
          <a:off x="11773261" y="6010677"/>
          <a:ext cx="1113502"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76561</xdr:colOff>
      <xdr:row>40</xdr:row>
      <xdr:rowOff>159727</xdr:rowOff>
    </xdr:from>
    <xdr:to>
      <xdr:col>20</xdr:col>
      <xdr:colOff>580463</xdr:colOff>
      <xdr:row>40</xdr:row>
      <xdr:rowOff>160884</xdr:rowOff>
    </xdr:to>
    <xdr:cxnSp macro="">
      <xdr:nvCxnSpPr>
        <xdr:cNvPr id="346" name="Straight Connector 345">
          <a:extLst>
            <a:ext uri="{FF2B5EF4-FFF2-40B4-BE49-F238E27FC236}">
              <a16:creationId xmlns:a16="http://schemas.microsoft.com/office/drawing/2014/main" id="{2B40E5F0-4E33-4E4A-ADDD-31171A07F2C7}"/>
            </a:ext>
          </a:extLst>
        </xdr:cNvPr>
        <xdr:cNvCxnSpPr/>
      </xdr:nvCxnSpPr>
      <xdr:spPr>
        <a:xfrm flipV="1">
          <a:off x="11773261" y="7157427"/>
          <a:ext cx="1113502"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57761</xdr:colOff>
      <xdr:row>44</xdr:row>
      <xdr:rowOff>162046</xdr:rowOff>
    </xdr:from>
    <xdr:to>
      <xdr:col>20</xdr:col>
      <xdr:colOff>561663</xdr:colOff>
      <xdr:row>44</xdr:row>
      <xdr:rowOff>163364</xdr:rowOff>
    </xdr:to>
    <xdr:cxnSp macro="">
      <xdr:nvCxnSpPr>
        <xdr:cNvPr id="347" name="Straight Connector 346">
          <a:extLst>
            <a:ext uri="{FF2B5EF4-FFF2-40B4-BE49-F238E27FC236}">
              <a16:creationId xmlns:a16="http://schemas.microsoft.com/office/drawing/2014/main" id="{74B358D4-C6E0-4CDF-A2FD-416EC8310F25}"/>
            </a:ext>
          </a:extLst>
        </xdr:cNvPr>
        <xdr:cNvCxnSpPr/>
      </xdr:nvCxnSpPr>
      <xdr:spPr>
        <a:xfrm flipV="1">
          <a:off x="11754461" y="7896346"/>
          <a:ext cx="1113502"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57761</xdr:colOff>
      <xdr:row>53</xdr:row>
      <xdr:rowOff>159446</xdr:rowOff>
    </xdr:from>
    <xdr:to>
      <xdr:col>20</xdr:col>
      <xdr:colOff>561663</xdr:colOff>
      <xdr:row>53</xdr:row>
      <xdr:rowOff>160764</xdr:rowOff>
    </xdr:to>
    <xdr:cxnSp macro="">
      <xdr:nvCxnSpPr>
        <xdr:cNvPr id="348" name="Straight Connector 347">
          <a:extLst>
            <a:ext uri="{FF2B5EF4-FFF2-40B4-BE49-F238E27FC236}">
              <a16:creationId xmlns:a16="http://schemas.microsoft.com/office/drawing/2014/main" id="{BF0B4915-29D5-46B8-A34B-39F6F70F9DFC}"/>
            </a:ext>
          </a:extLst>
        </xdr:cNvPr>
        <xdr:cNvCxnSpPr/>
      </xdr:nvCxnSpPr>
      <xdr:spPr>
        <a:xfrm flipV="1">
          <a:off x="11754461" y="9398696"/>
          <a:ext cx="1113502"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57761</xdr:colOff>
      <xdr:row>54</xdr:row>
      <xdr:rowOff>161846</xdr:rowOff>
    </xdr:from>
    <xdr:to>
      <xdr:col>20</xdr:col>
      <xdr:colOff>561663</xdr:colOff>
      <xdr:row>54</xdr:row>
      <xdr:rowOff>163164</xdr:rowOff>
    </xdr:to>
    <xdr:cxnSp macro="">
      <xdr:nvCxnSpPr>
        <xdr:cNvPr id="349" name="Straight Connector 348">
          <a:extLst>
            <a:ext uri="{FF2B5EF4-FFF2-40B4-BE49-F238E27FC236}">
              <a16:creationId xmlns:a16="http://schemas.microsoft.com/office/drawing/2014/main" id="{93AB6A6D-A7AD-4413-8766-147B18DCDDA6}"/>
            </a:ext>
          </a:extLst>
        </xdr:cNvPr>
        <xdr:cNvCxnSpPr/>
      </xdr:nvCxnSpPr>
      <xdr:spPr>
        <a:xfrm flipV="1">
          <a:off x="11754461" y="9585246"/>
          <a:ext cx="1113502"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57761</xdr:colOff>
      <xdr:row>55</xdr:row>
      <xdr:rowOff>4246</xdr:rowOff>
    </xdr:from>
    <xdr:to>
      <xdr:col>20</xdr:col>
      <xdr:colOff>561663</xdr:colOff>
      <xdr:row>55</xdr:row>
      <xdr:rowOff>5564</xdr:rowOff>
    </xdr:to>
    <xdr:cxnSp macro="">
      <xdr:nvCxnSpPr>
        <xdr:cNvPr id="350" name="Straight Connector 349">
          <a:extLst>
            <a:ext uri="{FF2B5EF4-FFF2-40B4-BE49-F238E27FC236}">
              <a16:creationId xmlns:a16="http://schemas.microsoft.com/office/drawing/2014/main" id="{ABEFB86B-FC0D-43AC-B632-C18C1016BD3D}"/>
            </a:ext>
          </a:extLst>
        </xdr:cNvPr>
        <xdr:cNvCxnSpPr/>
      </xdr:nvCxnSpPr>
      <xdr:spPr>
        <a:xfrm flipV="1">
          <a:off x="11754461" y="9611796"/>
          <a:ext cx="1113502"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81638</xdr:colOff>
      <xdr:row>16</xdr:row>
      <xdr:rowOff>154837</xdr:rowOff>
    </xdr:from>
    <xdr:to>
      <xdr:col>20</xdr:col>
      <xdr:colOff>585586</xdr:colOff>
      <xdr:row>16</xdr:row>
      <xdr:rowOff>155994</xdr:rowOff>
    </xdr:to>
    <xdr:cxnSp macro="">
      <xdr:nvCxnSpPr>
        <xdr:cNvPr id="351" name="Straight Connector 350">
          <a:extLst>
            <a:ext uri="{FF2B5EF4-FFF2-40B4-BE49-F238E27FC236}">
              <a16:creationId xmlns:a16="http://schemas.microsoft.com/office/drawing/2014/main" id="{3313D591-4865-4A9A-9083-E6D47F61BD1B}"/>
            </a:ext>
          </a:extLst>
        </xdr:cNvPr>
        <xdr:cNvCxnSpPr/>
      </xdr:nvCxnSpPr>
      <xdr:spPr>
        <a:xfrm flipV="1">
          <a:off x="11778338" y="2993287"/>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81981</xdr:colOff>
      <xdr:row>24</xdr:row>
      <xdr:rowOff>191437</xdr:rowOff>
    </xdr:from>
    <xdr:to>
      <xdr:col>12</xdr:col>
      <xdr:colOff>585928</xdr:colOff>
      <xdr:row>24</xdr:row>
      <xdr:rowOff>192594</xdr:rowOff>
    </xdr:to>
    <xdr:cxnSp macro="">
      <xdr:nvCxnSpPr>
        <xdr:cNvPr id="352" name="Straight Connector 351">
          <a:extLst>
            <a:ext uri="{FF2B5EF4-FFF2-40B4-BE49-F238E27FC236}">
              <a16:creationId xmlns:a16="http://schemas.microsoft.com/office/drawing/2014/main" id="{AD9E2FA6-230A-4833-A86D-C1811F32D8BF}"/>
            </a:ext>
          </a:extLst>
        </xdr:cNvPr>
        <xdr:cNvCxnSpPr/>
      </xdr:nvCxnSpPr>
      <xdr:spPr>
        <a:xfrm flipV="1">
          <a:off x="6901881" y="436338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81981</xdr:colOff>
      <xdr:row>25</xdr:row>
      <xdr:rowOff>5545</xdr:rowOff>
    </xdr:from>
    <xdr:to>
      <xdr:col>12</xdr:col>
      <xdr:colOff>585928</xdr:colOff>
      <xdr:row>25</xdr:row>
      <xdr:rowOff>6702</xdr:rowOff>
    </xdr:to>
    <xdr:cxnSp macro="">
      <xdr:nvCxnSpPr>
        <xdr:cNvPr id="353" name="Straight Connector 352">
          <a:extLst>
            <a:ext uri="{FF2B5EF4-FFF2-40B4-BE49-F238E27FC236}">
              <a16:creationId xmlns:a16="http://schemas.microsoft.com/office/drawing/2014/main" id="{02D3FB71-295D-447F-BF59-6B75BC5F1278}"/>
            </a:ext>
          </a:extLst>
        </xdr:cNvPr>
        <xdr:cNvCxnSpPr/>
      </xdr:nvCxnSpPr>
      <xdr:spPr>
        <a:xfrm flipV="1">
          <a:off x="6901881" y="436799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81981</xdr:colOff>
      <xdr:row>24</xdr:row>
      <xdr:rowOff>191437</xdr:rowOff>
    </xdr:from>
    <xdr:to>
      <xdr:col>14</xdr:col>
      <xdr:colOff>585928</xdr:colOff>
      <xdr:row>24</xdr:row>
      <xdr:rowOff>192594</xdr:rowOff>
    </xdr:to>
    <xdr:cxnSp macro="">
      <xdr:nvCxnSpPr>
        <xdr:cNvPr id="354" name="Straight Connector 353">
          <a:extLst>
            <a:ext uri="{FF2B5EF4-FFF2-40B4-BE49-F238E27FC236}">
              <a16:creationId xmlns:a16="http://schemas.microsoft.com/office/drawing/2014/main" id="{9D3BFDF1-6C2F-47B4-91FF-B637F78F7762}"/>
            </a:ext>
          </a:extLst>
        </xdr:cNvPr>
        <xdr:cNvCxnSpPr/>
      </xdr:nvCxnSpPr>
      <xdr:spPr>
        <a:xfrm flipV="1">
          <a:off x="8121081" y="436338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81981</xdr:colOff>
      <xdr:row>25</xdr:row>
      <xdr:rowOff>5545</xdr:rowOff>
    </xdr:from>
    <xdr:to>
      <xdr:col>14</xdr:col>
      <xdr:colOff>585928</xdr:colOff>
      <xdr:row>25</xdr:row>
      <xdr:rowOff>6702</xdr:rowOff>
    </xdr:to>
    <xdr:cxnSp macro="">
      <xdr:nvCxnSpPr>
        <xdr:cNvPr id="355" name="Straight Connector 354">
          <a:extLst>
            <a:ext uri="{FF2B5EF4-FFF2-40B4-BE49-F238E27FC236}">
              <a16:creationId xmlns:a16="http://schemas.microsoft.com/office/drawing/2014/main" id="{1704D851-9807-4D8B-8A31-4BC27795D384}"/>
            </a:ext>
          </a:extLst>
        </xdr:cNvPr>
        <xdr:cNvCxnSpPr/>
      </xdr:nvCxnSpPr>
      <xdr:spPr>
        <a:xfrm flipV="1">
          <a:off x="8121081" y="436799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81981</xdr:colOff>
      <xdr:row>24</xdr:row>
      <xdr:rowOff>191437</xdr:rowOff>
    </xdr:from>
    <xdr:to>
      <xdr:col>16</xdr:col>
      <xdr:colOff>585928</xdr:colOff>
      <xdr:row>24</xdr:row>
      <xdr:rowOff>192594</xdr:rowOff>
    </xdr:to>
    <xdr:cxnSp macro="">
      <xdr:nvCxnSpPr>
        <xdr:cNvPr id="356" name="Straight Connector 355">
          <a:extLst>
            <a:ext uri="{FF2B5EF4-FFF2-40B4-BE49-F238E27FC236}">
              <a16:creationId xmlns:a16="http://schemas.microsoft.com/office/drawing/2014/main" id="{C8DA6F12-5D97-45E3-9256-30AD1D96D4B7}"/>
            </a:ext>
          </a:extLst>
        </xdr:cNvPr>
        <xdr:cNvCxnSpPr/>
      </xdr:nvCxnSpPr>
      <xdr:spPr>
        <a:xfrm flipV="1">
          <a:off x="9340281" y="436338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81981</xdr:colOff>
      <xdr:row>25</xdr:row>
      <xdr:rowOff>5545</xdr:rowOff>
    </xdr:from>
    <xdr:to>
      <xdr:col>16</xdr:col>
      <xdr:colOff>585928</xdr:colOff>
      <xdr:row>25</xdr:row>
      <xdr:rowOff>6702</xdr:rowOff>
    </xdr:to>
    <xdr:cxnSp macro="">
      <xdr:nvCxnSpPr>
        <xdr:cNvPr id="357" name="Straight Connector 356">
          <a:extLst>
            <a:ext uri="{FF2B5EF4-FFF2-40B4-BE49-F238E27FC236}">
              <a16:creationId xmlns:a16="http://schemas.microsoft.com/office/drawing/2014/main" id="{96B18F9C-C4CA-4E19-A95E-5F616CFBCEEF}"/>
            </a:ext>
          </a:extLst>
        </xdr:cNvPr>
        <xdr:cNvCxnSpPr/>
      </xdr:nvCxnSpPr>
      <xdr:spPr>
        <a:xfrm flipV="1">
          <a:off x="9340281" y="436799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81981</xdr:colOff>
      <xdr:row>24</xdr:row>
      <xdr:rowOff>191437</xdr:rowOff>
    </xdr:from>
    <xdr:to>
      <xdr:col>18</xdr:col>
      <xdr:colOff>585928</xdr:colOff>
      <xdr:row>24</xdr:row>
      <xdr:rowOff>192594</xdr:rowOff>
    </xdr:to>
    <xdr:cxnSp macro="">
      <xdr:nvCxnSpPr>
        <xdr:cNvPr id="358" name="Straight Connector 357">
          <a:extLst>
            <a:ext uri="{FF2B5EF4-FFF2-40B4-BE49-F238E27FC236}">
              <a16:creationId xmlns:a16="http://schemas.microsoft.com/office/drawing/2014/main" id="{3F7E935E-C633-4471-94C8-B63A02585435}"/>
            </a:ext>
          </a:extLst>
        </xdr:cNvPr>
        <xdr:cNvCxnSpPr/>
      </xdr:nvCxnSpPr>
      <xdr:spPr>
        <a:xfrm flipV="1">
          <a:off x="10559481" y="436338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81981</xdr:colOff>
      <xdr:row>25</xdr:row>
      <xdr:rowOff>5545</xdr:rowOff>
    </xdr:from>
    <xdr:to>
      <xdr:col>18</xdr:col>
      <xdr:colOff>585928</xdr:colOff>
      <xdr:row>25</xdr:row>
      <xdr:rowOff>6702</xdr:rowOff>
    </xdr:to>
    <xdr:cxnSp macro="">
      <xdr:nvCxnSpPr>
        <xdr:cNvPr id="359" name="Straight Connector 358">
          <a:extLst>
            <a:ext uri="{FF2B5EF4-FFF2-40B4-BE49-F238E27FC236}">
              <a16:creationId xmlns:a16="http://schemas.microsoft.com/office/drawing/2014/main" id="{B0FD9394-EA64-47BC-BE4E-E2B9E800BBB4}"/>
            </a:ext>
          </a:extLst>
        </xdr:cNvPr>
        <xdr:cNvCxnSpPr/>
      </xdr:nvCxnSpPr>
      <xdr:spPr>
        <a:xfrm flipV="1">
          <a:off x="10559481" y="436799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81981</xdr:colOff>
      <xdr:row>24</xdr:row>
      <xdr:rowOff>191437</xdr:rowOff>
    </xdr:from>
    <xdr:to>
      <xdr:col>20</xdr:col>
      <xdr:colOff>585928</xdr:colOff>
      <xdr:row>24</xdr:row>
      <xdr:rowOff>192594</xdr:rowOff>
    </xdr:to>
    <xdr:cxnSp macro="">
      <xdr:nvCxnSpPr>
        <xdr:cNvPr id="360" name="Straight Connector 359">
          <a:extLst>
            <a:ext uri="{FF2B5EF4-FFF2-40B4-BE49-F238E27FC236}">
              <a16:creationId xmlns:a16="http://schemas.microsoft.com/office/drawing/2014/main" id="{EDF5344A-C54B-4AB5-AE02-0C0FF334FF6A}"/>
            </a:ext>
          </a:extLst>
        </xdr:cNvPr>
        <xdr:cNvCxnSpPr/>
      </xdr:nvCxnSpPr>
      <xdr:spPr>
        <a:xfrm flipV="1">
          <a:off x="11778681" y="436338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81981</xdr:colOff>
      <xdr:row>25</xdr:row>
      <xdr:rowOff>5545</xdr:rowOff>
    </xdr:from>
    <xdr:to>
      <xdr:col>20</xdr:col>
      <xdr:colOff>585928</xdr:colOff>
      <xdr:row>25</xdr:row>
      <xdr:rowOff>6702</xdr:rowOff>
    </xdr:to>
    <xdr:cxnSp macro="">
      <xdr:nvCxnSpPr>
        <xdr:cNvPr id="361" name="Straight Connector 360">
          <a:extLst>
            <a:ext uri="{FF2B5EF4-FFF2-40B4-BE49-F238E27FC236}">
              <a16:creationId xmlns:a16="http://schemas.microsoft.com/office/drawing/2014/main" id="{EC460E9F-60AB-4E4E-AB83-EB361B5FB71C}"/>
            </a:ext>
          </a:extLst>
        </xdr:cNvPr>
        <xdr:cNvCxnSpPr/>
      </xdr:nvCxnSpPr>
      <xdr:spPr>
        <a:xfrm flipV="1">
          <a:off x="11778681" y="436799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81981</xdr:colOff>
      <xdr:row>27</xdr:row>
      <xdr:rowOff>191437</xdr:rowOff>
    </xdr:from>
    <xdr:to>
      <xdr:col>10</xdr:col>
      <xdr:colOff>585928</xdr:colOff>
      <xdr:row>27</xdr:row>
      <xdr:rowOff>192594</xdr:rowOff>
    </xdr:to>
    <xdr:cxnSp macro="">
      <xdr:nvCxnSpPr>
        <xdr:cNvPr id="362" name="Straight Connector 361">
          <a:extLst>
            <a:ext uri="{FF2B5EF4-FFF2-40B4-BE49-F238E27FC236}">
              <a16:creationId xmlns:a16="http://schemas.microsoft.com/office/drawing/2014/main" id="{C01D50FB-B3F7-476C-891F-D351AD28FBDF}"/>
            </a:ext>
          </a:extLst>
        </xdr:cNvPr>
        <xdr:cNvCxnSpPr/>
      </xdr:nvCxnSpPr>
      <xdr:spPr>
        <a:xfrm flipV="1">
          <a:off x="5682681" y="491583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81981</xdr:colOff>
      <xdr:row>28</xdr:row>
      <xdr:rowOff>5545</xdr:rowOff>
    </xdr:from>
    <xdr:to>
      <xdr:col>10</xdr:col>
      <xdr:colOff>585928</xdr:colOff>
      <xdr:row>28</xdr:row>
      <xdr:rowOff>6702</xdr:rowOff>
    </xdr:to>
    <xdr:cxnSp macro="">
      <xdr:nvCxnSpPr>
        <xdr:cNvPr id="363" name="Straight Connector 362">
          <a:extLst>
            <a:ext uri="{FF2B5EF4-FFF2-40B4-BE49-F238E27FC236}">
              <a16:creationId xmlns:a16="http://schemas.microsoft.com/office/drawing/2014/main" id="{1B50DBC1-EE76-4AAB-8FBB-9BEF0909E711}"/>
            </a:ext>
          </a:extLst>
        </xdr:cNvPr>
        <xdr:cNvCxnSpPr/>
      </xdr:nvCxnSpPr>
      <xdr:spPr>
        <a:xfrm flipV="1">
          <a:off x="5682681" y="492044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81981</xdr:colOff>
      <xdr:row>27</xdr:row>
      <xdr:rowOff>191437</xdr:rowOff>
    </xdr:from>
    <xdr:to>
      <xdr:col>12</xdr:col>
      <xdr:colOff>585928</xdr:colOff>
      <xdr:row>27</xdr:row>
      <xdr:rowOff>192594</xdr:rowOff>
    </xdr:to>
    <xdr:cxnSp macro="">
      <xdr:nvCxnSpPr>
        <xdr:cNvPr id="364" name="Straight Connector 363">
          <a:extLst>
            <a:ext uri="{FF2B5EF4-FFF2-40B4-BE49-F238E27FC236}">
              <a16:creationId xmlns:a16="http://schemas.microsoft.com/office/drawing/2014/main" id="{9BD16417-812B-4030-9236-73F2DAB069C7}"/>
            </a:ext>
          </a:extLst>
        </xdr:cNvPr>
        <xdr:cNvCxnSpPr/>
      </xdr:nvCxnSpPr>
      <xdr:spPr>
        <a:xfrm flipV="1">
          <a:off x="6901881" y="491583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81981</xdr:colOff>
      <xdr:row>28</xdr:row>
      <xdr:rowOff>5545</xdr:rowOff>
    </xdr:from>
    <xdr:to>
      <xdr:col>12</xdr:col>
      <xdr:colOff>585928</xdr:colOff>
      <xdr:row>28</xdr:row>
      <xdr:rowOff>6702</xdr:rowOff>
    </xdr:to>
    <xdr:cxnSp macro="">
      <xdr:nvCxnSpPr>
        <xdr:cNvPr id="365" name="Straight Connector 364">
          <a:extLst>
            <a:ext uri="{FF2B5EF4-FFF2-40B4-BE49-F238E27FC236}">
              <a16:creationId xmlns:a16="http://schemas.microsoft.com/office/drawing/2014/main" id="{653A4EF3-2246-4DF5-B9EC-35D83486D84D}"/>
            </a:ext>
          </a:extLst>
        </xdr:cNvPr>
        <xdr:cNvCxnSpPr/>
      </xdr:nvCxnSpPr>
      <xdr:spPr>
        <a:xfrm flipV="1">
          <a:off x="6901881" y="492044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81981</xdr:colOff>
      <xdr:row>27</xdr:row>
      <xdr:rowOff>191437</xdr:rowOff>
    </xdr:from>
    <xdr:to>
      <xdr:col>14</xdr:col>
      <xdr:colOff>585928</xdr:colOff>
      <xdr:row>27</xdr:row>
      <xdr:rowOff>192594</xdr:rowOff>
    </xdr:to>
    <xdr:cxnSp macro="">
      <xdr:nvCxnSpPr>
        <xdr:cNvPr id="366" name="Straight Connector 365">
          <a:extLst>
            <a:ext uri="{FF2B5EF4-FFF2-40B4-BE49-F238E27FC236}">
              <a16:creationId xmlns:a16="http://schemas.microsoft.com/office/drawing/2014/main" id="{BA0B91D2-3A27-45A8-BC1A-C72D7E6D9888}"/>
            </a:ext>
          </a:extLst>
        </xdr:cNvPr>
        <xdr:cNvCxnSpPr/>
      </xdr:nvCxnSpPr>
      <xdr:spPr>
        <a:xfrm flipV="1">
          <a:off x="8121081" y="491583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81981</xdr:colOff>
      <xdr:row>28</xdr:row>
      <xdr:rowOff>5545</xdr:rowOff>
    </xdr:from>
    <xdr:to>
      <xdr:col>14</xdr:col>
      <xdr:colOff>585928</xdr:colOff>
      <xdr:row>28</xdr:row>
      <xdr:rowOff>6702</xdr:rowOff>
    </xdr:to>
    <xdr:cxnSp macro="">
      <xdr:nvCxnSpPr>
        <xdr:cNvPr id="367" name="Straight Connector 366">
          <a:extLst>
            <a:ext uri="{FF2B5EF4-FFF2-40B4-BE49-F238E27FC236}">
              <a16:creationId xmlns:a16="http://schemas.microsoft.com/office/drawing/2014/main" id="{922026DA-EC66-403C-B591-ECDEC8F42BD7}"/>
            </a:ext>
          </a:extLst>
        </xdr:cNvPr>
        <xdr:cNvCxnSpPr/>
      </xdr:nvCxnSpPr>
      <xdr:spPr>
        <a:xfrm flipV="1">
          <a:off x="8121081" y="492044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81981</xdr:colOff>
      <xdr:row>27</xdr:row>
      <xdr:rowOff>191437</xdr:rowOff>
    </xdr:from>
    <xdr:to>
      <xdr:col>16</xdr:col>
      <xdr:colOff>585928</xdr:colOff>
      <xdr:row>27</xdr:row>
      <xdr:rowOff>192594</xdr:rowOff>
    </xdr:to>
    <xdr:cxnSp macro="">
      <xdr:nvCxnSpPr>
        <xdr:cNvPr id="368" name="Straight Connector 367">
          <a:extLst>
            <a:ext uri="{FF2B5EF4-FFF2-40B4-BE49-F238E27FC236}">
              <a16:creationId xmlns:a16="http://schemas.microsoft.com/office/drawing/2014/main" id="{973087B7-64E9-4430-AADD-845DE25256C0}"/>
            </a:ext>
          </a:extLst>
        </xdr:cNvPr>
        <xdr:cNvCxnSpPr/>
      </xdr:nvCxnSpPr>
      <xdr:spPr>
        <a:xfrm flipV="1">
          <a:off x="9340281" y="491583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81981</xdr:colOff>
      <xdr:row>28</xdr:row>
      <xdr:rowOff>5545</xdr:rowOff>
    </xdr:from>
    <xdr:to>
      <xdr:col>16</xdr:col>
      <xdr:colOff>585928</xdr:colOff>
      <xdr:row>28</xdr:row>
      <xdr:rowOff>6702</xdr:rowOff>
    </xdr:to>
    <xdr:cxnSp macro="">
      <xdr:nvCxnSpPr>
        <xdr:cNvPr id="369" name="Straight Connector 368">
          <a:extLst>
            <a:ext uri="{FF2B5EF4-FFF2-40B4-BE49-F238E27FC236}">
              <a16:creationId xmlns:a16="http://schemas.microsoft.com/office/drawing/2014/main" id="{F1536520-56C8-4766-BB42-66FBDA9B0971}"/>
            </a:ext>
          </a:extLst>
        </xdr:cNvPr>
        <xdr:cNvCxnSpPr/>
      </xdr:nvCxnSpPr>
      <xdr:spPr>
        <a:xfrm flipV="1">
          <a:off x="9340281" y="492044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81981</xdr:colOff>
      <xdr:row>27</xdr:row>
      <xdr:rowOff>191437</xdr:rowOff>
    </xdr:from>
    <xdr:to>
      <xdr:col>18</xdr:col>
      <xdr:colOff>585928</xdr:colOff>
      <xdr:row>27</xdr:row>
      <xdr:rowOff>192594</xdr:rowOff>
    </xdr:to>
    <xdr:cxnSp macro="">
      <xdr:nvCxnSpPr>
        <xdr:cNvPr id="370" name="Straight Connector 369">
          <a:extLst>
            <a:ext uri="{FF2B5EF4-FFF2-40B4-BE49-F238E27FC236}">
              <a16:creationId xmlns:a16="http://schemas.microsoft.com/office/drawing/2014/main" id="{76C84B61-1746-4E63-A98D-E2DED11738DC}"/>
            </a:ext>
          </a:extLst>
        </xdr:cNvPr>
        <xdr:cNvCxnSpPr/>
      </xdr:nvCxnSpPr>
      <xdr:spPr>
        <a:xfrm flipV="1">
          <a:off x="10559481" y="491583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81981</xdr:colOff>
      <xdr:row>28</xdr:row>
      <xdr:rowOff>5545</xdr:rowOff>
    </xdr:from>
    <xdr:to>
      <xdr:col>18</xdr:col>
      <xdr:colOff>585928</xdr:colOff>
      <xdr:row>28</xdr:row>
      <xdr:rowOff>6702</xdr:rowOff>
    </xdr:to>
    <xdr:cxnSp macro="">
      <xdr:nvCxnSpPr>
        <xdr:cNvPr id="371" name="Straight Connector 370">
          <a:extLst>
            <a:ext uri="{FF2B5EF4-FFF2-40B4-BE49-F238E27FC236}">
              <a16:creationId xmlns:a16="http://schemas.microsoft.com/office/drawing/2014/main" id="{197D2C76-D426-445C-85F0-F96823FB27C7}"/>
            </a:ext>
          </a:extLst>
        </xdr:cNvPr>
        <xdr:cNvCxnSpPr/>
      </xdr:nvCxnSpPr>
      <xdr:spPr>
        <a:xfrm flipV="1">
          <a:off x="10559481" y="492044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81981</xdr:colOff>
      <xdr:row>27</xdr:row>
      <xdr:rowOff>191437</xdr:rowOff>
    </xdr:from>
    <xdr:to>
      <xdr:col>20</xdr:col>
      <xdr:colOff>585928</xdr:colOff>
      <xdr:row>27</xdr:row>
      <xdr:rowOff>192594</xdr:rowOff>
    </xdr:to>
    <xdr:cxnSp macro="">
      <xdr:nvCxnSpPr>
        <xdr:cNvPr id="372" name="Straight Connector 371">
          <a:extLst>
            <a:ext uri="{FF2B5EF4-FFF2-40B4-BE49-F238E27FC236}">
              <a16:creationId xmlns:a16="http://schemas.microsoft.com/office/drawing/2014/main" id="{1DEBE199-4D2B-486F-A559-ADF8DED4CD66}"/>
            </a:ext>
          </a:extLst>
        </xdr:cNvPr>
        <xdr:cNvCxnSpPr/>
      </xdr:nvCxnSpPr>
      <xdr:spPr>
        <a:xfrm flipV="1">
          <a:off x="11778681" y="4915837"/>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81981</xdr:colOff>
      <xdr:row>28</xdr:row>
      <xdr:rowOff>5545</xdr:rowOff>
    </xdr:from>
    <xdr:to>
      <xdr:col>20</xdr:col>
      <xdr:colOff>585928</xdr:colOff>
      <xdr:row>28</xdr:row>
      <xdr:rowOff>6702</xdr:rowOff>
    </xdr:to>
    <xdr:cxnSp macro="">
      <xdr:nvCxnSpPr>
        <xdr:cNvPr id="373" name="Straight Connector 372">
          <a:extLst>
            <a:ext uri="{FF2B5EF4-FFF2-40B4-BE49-F238E27FC236}">
              <a16:creationId xmlns:a16="http://schemas.microsoft.com/office/drawing/2014/main" id="{603EEBE9-FF36-468A-AECC-A86E1468E634}"/>
            </a:ext>
          </a:extLst>
        </xdr:cNvPr>
        <xdr:cNvCxnSpPr/>
      </xdr:nvCxnSpPr>
      <xdr:spPr>
        <a:xfrm flipV="1">
          <a:off x="11778681" y="4920445"/>
          <a:ext cx="1113547"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58081</xdr:colOff>
      <xdr:row>44</xdr:row>
      <xdr:rowOff>162046</xdr:rowOff>
    </xdr:from>
    <xdr:to>
      <xdr:col>12</xdr:col>
      <xdr:colOff>562028</xdr:colOff>
      <xdr:row>44</xdr:row>
      <xdr:rowOff>163364</xdr:rowOff>
    </xdr:to>
    <xdr:cxnSp macro="">
      <xdr:nvCxnSpPr>
        <xdr:cNvPr id="374" name="Straight Connector 373">
          <a:extLst>
            <a:ext uri="{FF2B5EF4-FFF2-40B4-BE49-F238E27FC236}">
              <a16:creationId xmlns:a16="http://schemas.microsoft.com/office/drawing/2014/main" id="{ABF87552-24EE-4111-8EC1-03B9A000A08B}"/>
            </a:ext>
          </a:extLst>
        </xdr:cNvPr>
        <xdr:cNvCxnSpPr/>
      </xdr:nvCxnSpPr>
      <xdr:spPr>
        <a:xfrm flipV="1">
          <a:off x="6877981" y="78963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58081</xdr:colOff>
      <xdr:row>44</xdr:row>
      <xdr:rowOff>162046</xdr:rowOff>
    </xdr:from>
    <xdr:to>
      <xdr:col>14</xdr:col>
      <xdr:colOff>562028</xdr:colOff>
      <xdr:row>44</xdr:row>
      <xdr:rowOff>163364</xdr:rowOff>
    </xdr:to>
    <xdr:cxnSp macro="">
      <xdr:nvCxnSpPr>
        <xdr:cNvPr id="375" name="Straight Connector 374">
          <a:extLst>
            <a:ext uri="{FF2B5EF4-FFF2-40B4-BE49-F238E27FC236}">
              <a16:creationId xmlns:a16="http://schemas.microsoft.com/office/drawing/2014/main" id="{12BA09A7-E310-4A47-A6F6-45628B9979E0}"/>
            </a:ext>
          </a:extLst>
        </xdr:cNvPr>
        <xdr:cNvCxnSpPr/>
      </xdr:nvCxnSpPr>
      <xdr:spPr>
        <a:xfrm flipV="1">
          <a:off x="8097181" y="78963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58081</xdr:colOff>
      <xdr:row>44</xdr:row>
      <xdr:rowOff>162046</xdr:rowOff>
    </xdr:from>
    <xdr:to>
      <xdr:col>16</xdr:col>
      <xdr:colOff>562028</xdr:colOff>
      <xdr:row>44</xdr:row>
      <xdr:rowOff>163364</xdr:rowOff>
    </xdr:to>
    <xdr:cxnSp macro="">
      <xdr:nvCxnSpPr>
        <xdr:cNvPr id="376" name="Straight Connector 375">
          <a:extLst>
            <a:ext uri="{FF2B5EF4-FFF2-40B4-BE49-F238E27FC236}">
              <a16:creationId xmlns:a16="http://schemas.microsoft.com/office/drawing/2014/main" id="{D6F2656B-9883-44DB-8F8F-19C11C3041B8}"/>
            </a:ext>
          </a:extLst>
        </xdr:cNvPr>
        <xdr:cNvCxnSpPr/>
      </xdr:nvCxnSpPr>
      <xdr:spPr>
        <a:xfrm flipV="1">
          <a:off x="9316381" y="78963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58081</xdr:colOff>
      <xdr:row>44</xdr:row>
      <xdr:rowOff>162046</xdr:rowOff>
    </xdr:from>
    <xdr:to>
      <xdr:col>18</xdr:col>
      <xdr:colOff>562028</xdr:colOff>
      <xdr:row>44</xdr:row>
      <xdr:rowOff>163364</xdr:rowOff>
    </xdr:to>
    <xdr:cxnSp macro="">
      <xdr:nvCxnSpPr>
        <xdr:cNvPr id="377" name="Straight Connector 376">
          <a:extLst>
            <a:ext uri="{FF2B5EF4-FFF2-40B4-BE49-F238E27FC236}">
              <a16:creationId xmlns:a16="http://schemas.microsoft.com/office/drawing/2014/main" id="{2C2995AA-55CB-42A4-8ED6-6C403C787DB8}"/>
            </a:ext>
          </a:extLst>
        </xdr:cNvPr>
        <xdr:cNvCxnSpPr/>
      </xdr:nvCxnSpPr>
      <xdr:spPr>
        <a:xfrm flipV="1">
          <a:off x="10535581" y="78963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58081</xdr:colOff>
      <xdr:row>44</xdr:row>
      <xdr:rowOff>162046</xdr:rowOff>
    </xdr:from>
    <xdr:to>
      <xdr:col>20</xdr:col>
      <xdr:colOff>562028</xdr:colOff>
      <xdr:row>44</xdr:row>
      <xdr:rowOff>163364</xdr:rowOff>
    </xdr:to>
    <xdr:cxnSp macro="">
      <xdr:nvCxnSpPr>
        <xdr:cNvPr id="378" name="Straight Connector 377">
          <a:extLst>
            <a:ext uri="{FF2B5EF4-FFF2-40B4-BE49-F238E27FC236}">
              <a16:creationId xmlns:a16="http://schemas.microsoft.com/office/drawing/2014/main" id="{FC8763BA-6A8F-4AE6-BFCC-8363FF0D14D1}"/>
            </a:ext>
          </a:extLst>
        </xdr:cNvPr>
        <xdr:cNvCxnSpPr/>
      </xdr:nvCxnSpPr>
      <xdr:spPr>
        <a:xfrm flipV="1">
          <a:off x="11754781" y="78963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58081</xdr:colOff>
      <xdr:row>53</xdr:row>
      <xdr:rowOff>159446</xdr:rowOff>
    </xdr:from>
    <xdr:to>
      <xdr:col>12</xdr:col>
      <xdr:colOff>562028</xdr:colOff>
      <xdr:row>53</xdr:row>
      <xdr:rowOff>160764</xdr:rowOff>
    </xdr:to>
    <xdr:cxnSp macro="">
      <xdr:nvCxnSpPr>
        <xdr:cNvPr id="379" name="Straight Connector 378">
          <a:extLst>
            <a:ext uri="{FF2B5EF4-FFF2-40B4-BE49-F238E27FC236}">
              <a16:creationId xmlns:a16="http://schemas.microsoft.com/office/drawing/2014/main" id="{5618FD42-982F-44D6-9DC2-272994114A45}"/>
            </a:ext>
          </a:extLst>
        </xdr:cNvPr>
        <xdr:cNvCxnSpPr/>
      </xdr:nvCxnSpPr>
      <xdr:spPr>
        <a:xfrm flipV="1">
          <a:off x="6877981" y="93986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58081</xdr:colOff>
      <xdr:row>53</xdr:row>
      <xdr:rowOff>159446</xdr:rowOff>
    </xdr:from>
    <xdr:to>
      <xdr:col>14</xdr:col>
      <xdr:colOff>562028</xdr:colOff>
      <xdr:row>53</xdr:row>
      <xdr:rowOff>160764</xdr:rowOff>
    </xdr:to>
    <xdr:cxnSp macro="">
      <xdr:nvCxnSpPr>
        <xdr:cNvPr id="380" name="Straight Connector 379">
          <a:extLst>
            <a:ext uri="{FF2B5EF4-FFF2-40B4-BE49-F238E27FC236}">
              <a16:creationId xmlns:a16="http://schemas.microsoft.com/office/drawing/2014/main" id="{B43C9F93-7884-49D3-96AB-6793262A61B8}"/>
            </a:ext>
          </a:extLst>
        </xdr:cNvPr>
        <xdr:cNvCxnSpPr/>
      </xdr:nvCxnSpPr>
      <xdr:spPr>
        <a:xfrm flipV="1">
          <a:off x="8097181" y="93986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58081</xdr:colOff>
      <xdr:row>53</xdr:row>
      <xdr:rowOff>159446</xdr:rowOff>
    </xdr:from>
    <xdr:to>
      <xdr:col>16</xdr:col>
      <xdr:colOff>562028</xdr:colOff>
      <xdr:row>53</xdr:row>
      <xdr:rowOff>160764</xdr:rowOff>
    </xdr:to>
    <xdr:cxnSp macro="">
      <xdr:nvCxnSpPr>
        <xdr:cNvPr id="381" name="Straight Connector 380">
          <a:extLst>
            <a:ext uri="{FF2B5EF4-FFF2-40B4-BE49-F238E27FC236}">
              <a16:creationId xmlns:a16="http://schemas.microsoft.com/office/drawing/2014/main" id="{2C6F65BF-5889-452F-9CEE-A173C0E6DFC7}"/>
            </a:ext>
          </a:extLst>
        </xdr:cNvPr>
        <xdr:cNvCxnSpPr/>
      </xdr:nvCxnSpPr>
      <xdr:spPr>
        <a:xfrm flipV="1">
          <a:off x="9316381" y="93986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58081</xdr:colOff>
      <xdr:row>53</xdr:row>
      <xdr:rowOff>159446</xdr:rowOff>
    </xdr:from>
    <xdr:to>
      <xdr:col>18</xdr:col>
      <xdr:colOff>562028</xdr:colOff>
      <xdr:row>53</xdr:row>
      <xdr:rowOff>160764</xdr:rowOff>
    </xdr:to>
    <xdr:cxnSp macro="">
      <xdr:nvCxnSpPr>
        <xdr:cNvPr id="382" name="Straight Connector 381">
          <a:extLst>
            <a:ext uri="{FF2B5EF4-FFF2-40B4-BE49-F238E27FC236}">
              <a16:creationId xmlns:a16="http://schemas.microsoft.com/office/drawing/2014/main" id="{0B598962-CEDD-4061-A3DB-68C98249F62D}"/>
            </a:ext>
          </a:extLst>
        </xdr:cNvPr>
        <xdr:cNvCxnSpPr/>
      </xdr:nvCxnSpPr>
      <xdr:spPr>
        <a:xfrm flipV="1">
          <a:off x="10535581" y="93986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58081</xdr:colOff>
      <xdr:row>53</xdr:row>
      <xdr:rowOff>159446</xdr:rowOff>
    </xdr:from>
    <xdr:to>
      <xdr:col>20</xdr:col>
      <xdr:colOff>562028</xdr:colOff>
      <xdr:row>53</xdr:row>
      <xdr:rowOff>160764</xdr:rowOff>
    </xdr:to>
    <xdr:cxnSp macro="">
      <xdr:nvCxnSpPr>
        <xdr:cNvPr id="383" name="Straight Connector 382">
          <a:extLst>
            <a:ext uri="{FF2B5EF4-FFF2-40B4-BE49-F238E27FC236}">
              <a16:creationId xmlns:a16="http://schemas.microsoft.com/office/drawing/2014/main" id="{3F1D9CE0-6CCB-4CAB-8CBA-1AA4741CDA08}"/>
            </a:ext>
          </a:extLst>
        </xdr:cNvPr>
        <xdr:cNvCxnSpPr/>
      </xdr:nvCxnSpPr>
      <xdr:spPr>
        <a:xfrm flipV="1">
          <a:off x="11754781" y="93986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58081</xdr:colOff>
      <xdr:row>54</xdr:row>
      <xdr:rowOff>159446</xdr:rowOff>
    </xdr:from>
    <xdr:to>
      <xdr:col>10</xdr:col>
      <xdr:colOff>562028</xdr:colOff>
      <xdr:row>54</xdr:row>
      <xdr:rowOff>160764</xdr:rowOff>
    </xdr:to>
    <xdr:cxnSp macro="">
      <xdr:nvCxnSpPr>
        <xdr:cNvPr id="384" name="Straight Connector 383">
          <a:extLst>
            <a:ext uri="{FF2B5EF4-FFF2-40B4-BE49-F238E27FC236}">
              <a16:creationId xmlns:a16="http://schemas.microsoft.com/office/drawing/2014/main" id="{AE4836E3-A2F5-44DF-A8DD-782B14CBA50D}"/>
            </a:ext>
          </a:extLst>
        </xdr:cNvPr>
        <xdr:cNvCxnSpPr/>
      </xdr:nvCxnSpPr>
      <xdr:spPr>
        <a:xfrm flipV="1">
          <a:off x="5658781" y="95828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58081</xdr:colOff>
      <xdr:row>54</xdr:row>
      <xdr:rowOff>161846</xdr:rowOff>
    </xdr:from>
    <xdr:to>
      <xdr:col>12</xdr:col>
      <xdr:colOff>562028</xdr:colOff>
      <xdr:row>54</xdr:row>
      <xdr:rowOff>163164</xdr:rowOff>
    </xdr:to>
    <xdr:cxnSp macro="">
      <xdr:nvCxnSpPr>
        <xdr:cNvPr id="385" name="Straight Connector 384">
          <a:extLst>
            <a:ext uri="{FF2B5EF4-FFF2-40B4-BE49-F238E27FC236}">
              <a16:creationId xmlns:a16="http://schemas.microsoft.com/office/drawing/2014/main" id="{0EC9218D-A250-4AB7-A7E3-4A974FC9B147}"/>
            </a:ext>
          </a:extLst>
        </xdr:cNvPr>
        <xdr:cNvCxnSpPr/>
      </xdr:nvCxnSpPr>
      <xdr:spPr>
        <a:xfrm flipV="1">
          <a:off x="6877981" y="95852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58081</xdr:colOff>
      <xdr:row>54</xdr:row>
      <xdr:rowOff>159446</xdr:rowOff>
    </xdr:from>
    <xdr:to>
      <xdr:col>12</xdr:col>
      <xdr:colOff>562028</xdr:colOff>
      <xdr:row>54</xdr:row>
      <xdr:rowOff>160764</xdr:rowOff>
    </xdr:to>
    <xdr:cxnSp macro="">
      <xdr:nvCxnSpPr>
        <xdr:cNvPr id="386" name="Straight Connector 385">
          <a:extLst>
            <a:ext uri="{FF2B5EF4-FFF2-40B4-BE49-F238E27FC236}">
              <a16:creationId xmlns:a16="http://schemas.microsoft.com/office/drawing/2014/main" id="{540197EA-C4BE-4D7C-A914-B78D4A7BBD1A}"/>
            </a:ext>
          </a:extLst>
        </xdr:cNvPr>
        <xdr:cNvCxnSpPr/>
      </xdr:nvCxnSpPr>
      <xdr:spPr>
        <a:xfrm flipV="1">
          <a:off x="6877981" y="95828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58081</xdr:colOff>
      <xdr:row>54</xdr:row>
      <xdr:rowOff>161846</xdr:rowOff>
    </xdr:from>
    <xdr:to>
      <xdr:col>14</xdr:col>
      <xdr:colOff>562028</xdr:colOff>
      <xdr:row>54</xdr:row>
      <xdr:rowOff>163164</xdr:rowOff>
    </xdr:to>
    <xdr:cxnSp macro="">
      <xdr:nvCxnSpPr>
        <xdr:cNvPr id="387" name="Straight Connector 386">
          <a:extLst>
            <a:ext uri="{FF2B5EF4-FFF2-40B4-BE49-F238E27FC236}">
              <a16:creationId xmlns:a16="http://schemas.microsoft.com/office/drawing/2014/main" id="{60327DF2-6E5F-4227-B09C-93C239703F83}"/>
            </a:ext>
          </a:extLst>
        </xdr:cNvPr>
        <xdr:cNvCxnSpPr/>
      </xdr:nvCxnSpPr>
      <xdr:spPr>
        <a:xfrm flipV="1">
          <a:off x="8097181" y="95852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58081</xdr:colOff>
      <xdr:row>54</xdr:row>
      <xdr:rowOff>159446</xdr:rowOff>
    </xdr:from>
    <xdr:to>
      <xdr:col>14</xdr:col>
      <xdr:colOff>562028</xdr:colOff>
      <xdr:row>54</xdr:row>
      <xdr:rowOff>160764</xdr:rowOff>
    </xdr:to>
    <xdr:cxnSp macro="">
      <xdr:nvCxnSpPr>
        <xdr:cNvPr id="388" name="Straight Connector 387">
          <a:extLst>
            <a:ext uri="{FF2B5EF4-FFF2-40B4-BE49-F238E27FC236}">
              <a16:creationId xmlns:a16="http://schemas.microsoft.com/office/drawing/2014/main" id="{B819F126-6CE2-420B-87F4-225B13B23FBF}"/>
            </a:ext>
          </a:extLst>
        </xdr:cNvPr>
        <xdr:cNvCxnSpPr/>
      </xdr:nvCxnSpPr>
      <xdr:spPr>
        <a:xfrm flipV="1">
          <a:off x="8097181" y="95828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58081</xdr:colOff>
      <xdr:row>54</xdr:row>
      <xdr:rowOff>161846</xdr:rowOff>
    </xdr:from>
    <xdr:to>
      <xdr:col>16</xdr:col>
      <xdr:colOff>562028</xdr:colOff>
      <xdr:row>54</xdr:row>
      <xdr:rowOff>163164</xdr:rowOff>
    </xdr:to>
    <xdr:cxnSp macro="">
      <xdr:nvCxnSpPr>
        <xdr:cNvPr id="389" name="Straight Connector 388">
          <a:extLst>
            <a:ext uri="{FF2B5EF4-FFF2-40B4-BE49-F238E27FC236}">
              <a16:creationId xmlns:a16="http://schemas.microsoft.com/office/drawing/2014/main" id="{E43F06A8-E81C-4D29-AA48-88A097CC5550}"/>
            </a:ext>
          </a:extLst>
        </xdr:cNvPr>
        <xdr:cNvCxnSpPr/>
      </xdr:nvCxnSpPr>
      <xdr:spPr>
        <a:xfrm flipV="1">
          <a:off x="9316381" y="95852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58081</xdr:colOff>
      <xdr:row>54</xdr:row>
      <xdr:rowOff>159446</xdr:rowOff>
    </xdr:from>
    <xdr:to>
      <xdr:col>16</xdr:col>
      <xdr:colOff>562028</xdr:colOff>
      <xdr:row>54</xdr:row>
      <xdr:rowOff>160764</xdr:rowOff>
    </xdr:to>
    <xdr:cxnSp macro="">
      <xdr:nvCxnSpPr>
        <xdr:cNvPr id="390" name="Straight Connector 389">
          <a:extLst>
            <a:ext uri="{FF2B5EF4-FFF2-40B4-BE49-F238E27FC236}">
              <a16:creationId xmlns:a16="http://schemas.microsoft.com/office/drawing/2014/main" id="{0EF8E8B8-CE6C-43E8-BF08-F843DAB638D8}"/>
            </a:ext>
          </a:extLst>
        </xdr:cNvPr>
        <xdr:cNvCxnSpPr/>
      </xdr:nvCxnSpPr>
      <xdr:spPr>
        <a:xfrm flipV="1">
          <a:off x="9316381" y="95828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58081</xdr:colOff>
      <xdr:row>54</xdr:row>
      <xdr:rowOff>161846</xdr:rowOff>
    </xdr:from>
    <xdr:to>
      <xdr:col>18</xdr:col>
      <xdr:colOff>562028</xdr:colOff>
      <xdr:row>54</xdr:row>
      <xdr:rowOff>163164</xdr:rowOff>
    </xdr:to>
    <xdr:cxnSp macro="">
      <xdr:nvCxnSpPr>
        <xdr:cNvPr id="391" name="Straight Connector 390">
          <a:extLst>
            <a:ext uri="{FF2B5EF4-FFF2-40B4-BE49-F238E27FC236}">
              <a16:creationId xmlns:a16="http://schemas.microsoft.com/office/drawing/2014/main" id="{D9C88E38-EAD3-4F0B-BCE5-32FF471D542C}"/>
            </a:ext>
          </a:extLst>
        </xdr:cNvPr>
        <xdr:cNvCxnSpPr/>
      </xdr:nvCxnSpPr>
      <xdr:spPr>
        <a:xfrm flipV="1">
          <a:off x="10535581" y="95852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58081</xdr:colOff>
      <xdr:row>54</xdr:row>
      <xdr:rowOff>159446</xdr:rowOff>
    </xdr:from>
    <xdr:to>
      <xdr:col>18</xdr:col>
      <xdr:colOff>562028</xdr:colOff>
      <xdr:row>54</xdr:row>
      <xdr:rowOff>160764</xdr:rowOff>
    </xdr:to>
    <xdr:cxnSp macro="">
      <xdr:nvCxnSpPr>
        <xdr:cNvPr id="392" name="Straight Connector 391">
          <a:extLst>
            <a:ext uri="{FF2B5EF4-FFF2-40B4-BE49-F238E27FC236}">
              <a16:creationId xmlns:a16="http://schemas.microsoft.com/office/drawing/2014/main" id="{01BA64CD-A745-4AB4-B899-A39687E35E00}"/>
            </a:ext>
          </a:extLst>
        </xdr:cNvPr>
        <xdr:cNvCxnSpPr/>
      </xdr:nvCxnSpPr>
      <xdr:spPr>
        <a:xfrm flipV="1">
          <a:off x="10535581" y="95828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58081</xdr:colOff>
      <xdr:row>54</xdr:row>
      <xdr:rowOff>161846</xdr:rowOff>
    </xdr:from>
    <xdr:to>
      <xdr:col>20</xdr:col>
      <xdr:colOff>562028</xdr:colOff>
      <xdr:row>54</xdr:row>
      <xdr:rowOff>163164</xdr:rowOff>
    </xdr:to>
    <xdr:cxnSp macro="">
      <xdr:nvCxnSpPr>
        <xdr:cNvPr id="393" name="Straight Connector 392">
          <a:extLst>
            <a:ext uri="{FF2B5EF4-FFF2-40B4-BE49-F238E27FC236}">
              <a16:creationId xmlns:a16="http://schemas.microsoft.com/office/drawing/2014/main" id="{33520F4B-18CB-4381-A328-B7FE615B8538}"/>
            </a:ext>
          </a:extLst>
        </xdr:cNvPr>
        <xdr:cNvCxnSpPr/>
      </xdr:nvCxnSpPr>
      <xdr:spPr>
        <a:xfrm flipV="1">
          <a:off x="11754781" y="95852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58081</xdr:colOff>
      <xdr:row>54</xdr:row>
      <xdr:rowOff>159446</xdr:rowOff>
    </xdr:from>
    <xdr:to>
      <xdr:col>20</xdr:col>
      <xdr:colOff>562028</xdr:colOff>
      <xdr:row>54</xdr:row>
      <xdr:rowOff>160764</xdr:rowOff>
    </xdr:to>
    <xdr:cxnSp macro="">
      <xdr:nvCxnSpPr>
        <xdr:cNvPr id="394" name="Straight Connector 393">
          <a:extLst>
            <a:ext uri="{FF2B5EF4-FFF2-40B4-BE49-F238E27FC236}">
              <a16:creationId xmlns:a16="http://schemas.microsoft.com/office/drawing/2014/main" id="{74858B6B-6C70-44C7-86F3-EB83CDD8390B}"/>
            </a:ext>
          </a:extLst>
        </xdr:cNvPr>
        <xdr:cNvCxnSpPr/>
      </xdr:nvCxnSpPr>
      <xdr:spPr>
        <a:xfrm flipV="1">
          <a:off x="11754781" y="958284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58081</xdr:colOff>
      <xdr:row>55</xdr:row>
      <xdr:rowOff>4246</xdr:rowOff>
    </xdr:from>
    <xdr:to>
      <xdr:col>12</xdr:col>
      <xdr:colOff>562028</xdr:colOff>
      <xdr:row>55</xdr:row>
      <xdr:rowOff>5564</xdr:rowOff>
    </xdr:to>
    <xdr:cxnSp macro="">
      <xdr:nvCxnSpPr>
        <xdr:cNvPr id="395" name="Straight Connector 394">
          <a:extLst>
            <a:ext uri="{FF2B5EF4-FFF2-40B4-BE49-F238E27FC236}">
              <a16:creationId xmlns:a16="http://schemas.microsoft.com/office/drawing/2014/main" id="{FBF1D3E8-2C4D-4150-8A25-3521796C60D9}"/>
            </a:ext>
          </a:extLst>
        </xdr:cNvPr>
        <xdr:cNvCxnSpPr/>
      </xdr:nvCxnSpPr>
      <xdr:spPr>
        <a:xfrm flipV="1">
          <a:off x="6877981" y="96117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58081</xdr:colOff>
      <xdr:row>55</xdr:row>
      <xdr:rowOff>4246</xdr:rowOff>
    </xdr:from>
    <xdr:to>
      <xdr:col>14</xdr:col>
      <xdr:colOff>562028</xdr:colOff>
      <xdr:row>55</xdr:row>
      <xdr:rowOff>5564</xdr:rowOff>
    </xdr:to>
    <xdr:cxnSp macro="">
      <xdr:nvCxnSpPr>
        <xdr:cNvPr id="396" name="Straight Connector 395">
          <a:extLst>
            <a:ext uri="{FF2B5EF4-FFF2-40B4-BE49-F238E27FC236}">
              <a16:creationId xmlns:a16="http://schemas.microsoft.com/office/drawing/2014/main" id="{0A0BA29C-7F76-46CE-A966-A740F8D25D7F}"/>
            </a:ext>
          </a:extLst>
        </xdr:cNvPr>
        <xdr:cNvCxnSpPr/>
      </xdr:nvCxnSpPr>
      <xdr:spPr>
        <a:xfrm flipV="1">
          <a:off x="8097181" y="96117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58081</xdr:colOff>
      <xdr:row>55</xdr:row>
      <xdr:rowOff>4246</xdr:rowOff>
    </xdr:from>
    <xdr:to>
      <xdr:col>16</xdr:col>
      <xdr:colOff>562028</xdr:colOff>
      <xdr:row>55</xdr:row>
      <xdr:rowOff>5564</xdr:rowOff>
    </xdr:to>
    <xdr:cxnSp macro="">
      <xdr:nvCxnSpPr>
        <xdr:cNvPr id="397" name="Straight Connector 396">
          <a:extLst>
            <a:ext uri="{FF2B5EF4-FFF2-40B4-BE49-F238E27FC236}">
              <a16:creationId xmlns:a16="http://schemas.microsoft.com/office/drawing/2014/main" id="{0EA01251-52DE-4402-BEDD-CD4DC30BD06B}"/>
            </a:ext>
          </a:extLst>
        </xdr:cNvPr>
        <xdr:cNvCxnSpPr/>
      </xdr:nvCxnSpPr>
      <xdr:spPr>
        <a:xfrm flipV="1">
          <a:off x="9316381" y="96117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58081</xdr:colOff>
      <xdr:row>55</xdr:row>
      <xdr:rowOff>4246</xdr:rowOff>
    </xdr:from>
    <xdr:to>
      <xdr:col>18</xdr:col>
      <xdr:colOff>562028</xdr:colOff>
      <xdr:row>55</xdr:row>
      <xdr:rowOff>5564</xdr:rowOff>
    </xdr:to>
    <xdr:cxnSp macro="">
      <xdr:nvCxnSpPr>
        <xdr:cNvPr id="398" name="Straight Connector 397">
          <a:extLst>
            <a:ext uri="{FF2B5EF4-FFF2-40B4-BE49-F238E27FC236}">
              <a16:creationId xmlns:a16="http://schemas.microsoft.com/office/drawing/2014/main" id="{F7D28724-778F-412E-940E-56B7B2DD0B8B}"/>
            </a:ext>
          </a:extLst>
        </xdr:cNvPr>
        <xdr:cNvCxnSpPr/>
      </xdr:nvCxnSpPr>
      <xdr:spPr>
        <a:xfrm flipV="1">
          <a:off x="10535581" y="96117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58081</xdr:colOff>
      <xdr:row>55</xdr:row>
      <xdr:rowOff>4246</xdr:rowOff>
    </xdr:from>
    <xdr:to>
      <xdr:col>20</xdr:col>
      <xdr:colOff>562028</xdr:colOff>
      <xdr:row>55</xdr:row>
      <xdr:rowOff>5564</xdr:rowOff>
    </xdr:to>
    <xdr:cxnSp macro="">
      <xdr:nvCxnSpPr>
        <xdr:cNvPr id="399" name="Straight Connector 398">
          <a:extLst>
            <a:ext uri="{FF2B5EF4-FFF2-40B4-BE49-F238E27FC236}">
              <a16:creationId xmlns:a16="http://schemas.microsoft.com/office/drawing/2014/main" id="{6E074FAD-5D79-4C86-BDF1-8CF77C7F82A9}"/>
            </a:ext>
          </a:extLst>
        </xdr:cNvPr>
        <xdr:cNvCxnSpPr/>
      </xdr:nvCxnSpPr>
      <xdr:spPr>
        <a:xfrm flipV="1">
          <a:off x="11754781" y="9611796"/>
          <a:ext cx="1113547" cy="1318"/>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69448</xdr:colOff>
      <xdr:row>20</xdr:row>
      <xdr:rowOff>166161</xdr:rowOff>
    </xdr:from>
    <xdr:to>
      <xdr:col>26</xdr:col>
      <xdr:colOff>709528</xdr:colOff>
      <xdr:row>20</xdr:row>
      <xdr:rowOff>166161</xdr:rowOff>
    </xdr:to>
    <xdr:cxnSp macro="">
      <xdr:nvCxnSpPr>
        <xdr:cNvPr id="400" name="Straight Connector 399">
          <a:extLst>
            <a:ext uri="{FF2B5EF4-FFF2-40B4-BE49-F238E27FC236}">
              <a16:creationId xmlns:a16="http://schemas.microsoft.com/office/drawing/2014/main" id="{A08559C3-7661-4C4F-AD58-BDCAF07DBA1A}"/>
            </a:ext>
          </a:extLst>
        </xdr:cNvPr>
        <xdr:cNvCxnSpPr/>
      </xdr:nvCxnSpPr>
      <xdr:spPr>
        <a:xfrm>
          <a:off x="16642948" y="3607861"/>
          <a:ext cx="5765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69448</xdr:colOff>
      <xdr:row>20</xdr:row>
      <xdr:rowOff>166161</xdr:rowOff>
    </xdr:from>
    <xdr:to>
      <xdr:col>26</xdr:col>
      <xdr:colOff>709528</xdr:colOff>
      <xdr:row>20</xdr:row>
      <xdr:rowOff>166161</xdr:rowOff>
    </xdr:to>
    <xdr:cxnSp macro="">
      <xdr:nvCxnSpPr>
        <xdr:cNvPr id="401" name="Straight Connector 400">
          <a:extLst>
            <a:ext uri="{FF2B5EF4-FFF2-40B4-BE49-F238E27FC236}">
              <a16:creationId xmlns:a16="http://schemas.microsoft.com/office/drawing/2014/main" id="{A48610C1-8F02-4779-8218-1195417FCA16}"/>
            </a:ext>
          </a:extLst>
        </xdr:cNvPr>
        <xdr:cNvCxnSpPr/>
      </xdr:nvCxnSpPr>
      <xdr:spPr>
        <a:xfrm>
          <a:off x="16642948" y="3607861"/>
          <a:ext cx="5765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71627</xdr:colOff>
      <xdr:row>34</xdr:row>
      <xdr:rowOff>164113</xdr:rowOff>
    </xdr:from>
    <xdr:to>
      <xdr:col>26</xdr:col>
      <xdr:colOff>711707</xdr:colOff>
      <xdr:row>34</xdr:row>
      <xdr:rowOff>164113</xdr:rowOff>
    </xdr:to>
    <xdr:cxnSp macro="">
      <xdr:nvCxnSpPr>
        <xdr:cNvPr id="402" name="Straight Connector 401">
          <a:extLst>
            <a:ext uri="{FF2B5EF4-FFF2-40B4-BE49-F238E27FC236}">
              <a16:creationId xmlns:a16="http://schemas.microsoft.com/office/drawing/2014/main" id="{9CC6C44F-69AD-4054-B08D-411C1E9E6217}"/>
            </a:ext>
          </a:extLst>
        </xdr:cNvPr>
        <xdr:cNvCxnSpPr/>
      </xdr:nvCxnSpPr>
      <xdr:spPr>
        <a:xfrm>
          <a:off x="16645127" y="6196613"/>
          <a:ext cx="5765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81638</xdr:colOff>
      <xdr:row>11</xdr:row>
      <xdr:rowOff>169534</xdr:rowOff>
    </xdr:from>
    <xdr:to>
      <xdr:col>20</xdr:col>
      <xdr:colOff>585586</xdr:colOff>
      <xdr:row>11</xdr:row>
      <xdr:rowOff>170691</xdr:rowOff>
    </xdr:to>
    <xdr:cxnSp macro="">
      <xdr:nvCxnSpPr>
        <xdr:cNvPr id="403" name="Straight Connector 402">
          <a:extLst>
            <a:ext uri="{FF2B5EF4-FFF2-40B4-BE49-F238E27FC236}">
              <a16:creationId xmlns:a16="http://schemas.microsoft.com/office/drawing/2014/main" id="{226D7E4F-0CDC-4B4E-9039-89A60AB27F05}"/>
            </a:ext>
          </a:extLst>
        </xdr:cNvPr>
        <xdr:cNvCxnSpPr/>
      </xdr:nvCxnSpPr>
      <xdr:spPr>
        <a:xfrm flipV="1">
          <a:off x="11778338" y="2080884"/>
          <a:ext cx="1113548" cy="1157"/>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74332</xdr:colOff>
      <xdr:row>64</xdr:row>
      <xdr:rowOff>159393</xdr:rowOff>
    </xdr:from>
    <xdr:to>
      <xdr:col>25</xdr:col>
      <xdr:colOff>714412</xdr:colOff>
      <xdr:row>64</xdr:row>
      <xdr:rowOff>159393</xdr:rowOff>
    </xdr:to>
    <xdr:cxnSp macro="">
      <xdr:nvCxnSpPr>
        <xdr:cNvPr id="404" name="Straight Connector 403">
          <a:extLst>
            <a:ext uri="{FF2B5EF4-FFF2-40B4-BE49-F238E27FC236}">
              <a16:creationId xmlns:a16="http://schemas.microsoft.com/office/drawing/2014/main" id="{E4AF8A10-24B7-48B8-B7CE-792C07B487EE}"/>
            </a:ext>
          </a:extLst>
        </xdr:cNvPr>
        <xdr:cNvCxnSpPr/>
      </xdr:nvCxnSpPr>
      <xdr:spPr>
        <a:xfrm>
          <a:off x="15885832" y="11303643"/>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55843</xdr:colOff>
      <xdr:row>26</xdr:row>
      <xdr:rowOff>139492</xdr:rowOff>
    </xdr:from>
    <xdr:to>
      <xdr:col>4</xdr:col>
      <xdr:colOff>541946</xdr:colOff>
      <xdr:row>26</xdr:row>
      <xdr:rowOff>139492</xdr:rowOff>
    </xdr:to>
    <xdr:cxnSp macro="">
      <xdr:nvCxnSpPr>
        <xdr:cNvPr id="405" name="Straight Connector 404">
          <a:extLst>
            <a:ext uri="{FF2B5EF4-FFF2-40B4-BE49-F238E27FC236}">
              <a16:creationId xmlns:a16="http://schemas.microsoft.com/office/drawing/2014/main" id="{8173CEFF-D0AC-45D8-BAE9-A3BE9874BFBC}"/>
            </a:ext>
          </a:extLst>
        </xdr:cNvPr>
        <xdr:cNvCxnSpPr/>
      </xdr:nvCxnSpPr>
      <xdr:spPr>
        <a:xfrm>
          <a:off x="2678393" y="4686092"/>
          <a:ext cx="486103"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55843</xdr:colOff>
      <xdr:row>32</xdr:row>
      <xdr:rowOff>169413</xdr:rowOff>
    </xdr:from>
    <xdr:to>
      <xdr:col>4</xdr:col>
      <xdr:colOff>541946</xdr:colOff>
      <xdr:row>32</xdr:row>
      <xdr:rowOff>169413</xdr:rowOff>
    </xdr:to>
    <xdr:cxnSp macro="">
      <xdr:nvCxnSpPr>
        <xdr:cNvPr id="406" name="Straight Connector 405">
          <a:extLst>
            <a:ext uri="{FF2B5EF4-FFF2-40B4-BE49-F238E27FC236}">
              <a16:creationId xmlns:a16="http://schemas.microsoft.com/office/drawing/2014/main" id="{8F1B6B5D-71DC-4A1A-A31E-A98C1F3E6CEF}"/>
            </a:ext>
          </a:extLst>
        </xdr:cNvPr>
        <xdr:cNvCxnSpPr/>
      </xdr:nvCxnSpPr>
      <xdr:spPr>
        <a:xfrm>
          <a:off x="2678393" y="5833613"/>
          <a:ext cx="486103"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55843</xdr:colOff>
      <xdr:row>33</xdr:row>
      <xdr:rowOff>167269</xdr:rowOff>
    </xdr:from>
    <xdr:to>
      <xdr:col>4</xdr:col>
      <xdr:colOff>541946</xdr:colOff>
      <xdr:row>33</xdr:row>
      <xdr:rowOff>167269</xdr:rowOff>
    </xdr:to>
    <xdr:cxnSp macro="">
      <xdr:nvCxnSpPr>
        <xdr:cNvPr id="407" name="Straight Connector 406">
          <a:extLst>
            <a:ext uri="{FF2B5EF4-FFF2-40B4-BE49-F238E27FC236}">
              <a16:creationId xmlns:a16="http://schemas.microsoft.com/office/drawing/2014/main" id="{94FE19DF-B889-48A9-9C6A-DFE9E9D8C321}"/>
            </a:ext>
          </a:extLst>
        </xdr:cNvPr>
        <xdr:cNvCxnSpPr/>
      </xdr:nvCxnSpPr>
      <xdr:spPr>
        <a:xfrm>
          <a:off x="2678393" y="6015619"/>
          <a:ext cx="486103"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55843</xdr:colOff>
      <xdr:row>26</xdr:row>
      <xdr:rowOff>139492</xdr:rowOff>
    </xdr:from>
    <xdr:to>
      <xdr:col>4</xdr:col>
      <xdr:colOff>791256</xdr:colOff>
      <xdr:row>26</xdr:row>
      <xdr:rowOff>139492</xdr:rowOff>
    </xdr:to>
    <xdr:cxnSp macro="">
      <xdr:nvCxnSpPr>
        <xdr:cNvPr id="408" name="Straight Connector 407">
          <a:extLst>
            <a:ext uri="{FF2B5EF4-FFF2-40B4-BE49-F238E27FC236}">
              <a16:creationId xmlns:a16="http://schemas.microsoft.com/office/drawing/2014/main" id="{167D4E24-A50D-461E-B36E-BB92DE76C653}"/>
            </a:ext>
          </a:extLst>
        </xdr:cNvPr>
        <xdr:cNvCxnSpPr/>
      </xdr:nvCxnSpPr>
      <xdr:spPr>
        <a:xfrm>
          <a:off x="2678393" y="4686092"/>
          <a:ext cx="481413"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55843</xdr:colOff>
      <xdr:row>32</xdr:row>
      <xdr:rowOff>169413</xdr:rowOff>
    </xdr:from>
    <xdr:to>
      <xdr:col>4</xdr:col>
      <xdr:colOff>748036</xdr:colOff>
      <xdr:row>32</xdr:row>
      <xdr:rowOff>169413</xdr:rowOff>
    </xdr:to>
    <xdr:cxnSp macro="">
      <xdr:nvCxnSpPr>
        <xdr:cNvPr id="409" name="Straight Connector 408">
          <a:extLst>
            <a:ext uri="{FF2B5EF4-FFF2-40B4-BE49-F238E27FC236}">
              <a16:creationId xmlns:a16="http://schemas.microsoft.com/office/drawing/2014/main" id="{3B7CE83B-E3FB-4B82-A653-4784A5E9EF19}"/>
            </a:ext>
          </a:extLst>
        </xdr:cNvPr>
        <xdr:cNvCxnSpPr/>
      </xdr:nvCxnSpPr>
      <xdr:spPr>
        <a:xfrm>
          <a:off x="2678393" y="5833613"/>
          <a:ext cx="482643"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55843</xdr:colOff>
      <xdr:row>33</xdr:row>
      <xdr:rowOff>167269</xdr:rowOff>
    </xdr:from>
    <xdr:to>
      <xdr:col>4</xdr:col>
      <xdr:colOff>754685</xdr:colOff>
      <xdr:row>33</xdr:row>
      <xdr:rowOff>167269</xdr:rowOff>
    </xdr:to>
    <xdr:cxnSp macro="">
      <xdr:nvCxnSpPr>
        <xdr:cNvPr id="410" name="Straight Connector 409">
          <a:extLst>
            <a:ext uri="{FF2B5EF4-FFF2-40B4-BE49-F238E27FC236}">
              <a16:creationId xmlns:a16="http://schemas.microsoft.com/office/drawing/2014/main" id="{A43B3109-B362-4261-B9B0-91004FF783E3}"/>
            </a:ext>
          </a:extLst>
        </xdr:cNvPr>
        <xdr:cNvCxnSpPr/>
      </xdr:nvCxnSpPr>
      <xdr:spPr>
        <a:xfrm>
          <a:off x="2678393" y="6015619"/>
          <a:ext cx="482942"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55843</xdr:colOff>
      <xdr:row>26</xdr:row>
      <xdr:rowOff>139492</xdr:rowOff>
    </xdr:from>
    <xdr:to>
      <xdr:col>4</xdr:col>
      <xdr:colOff>541946</xdr:colOff>
      <xdr:row>26</xdr:row>
      <xdr:rowOff>139492</xdr:rowOff>
    </xdr:to>
    <xdr:cxnSp macro="">
      <xdr:nvCxnSpPr>
        <xdr:cNvPr id="411" name="Straight Connector 410">
          <a:extLst>
            <a:ext uri="{FF2B5EF4-FFF2-40B4-BE49-F238E27FC236}">
              <a16:creationId xmlns:a16="http://schemas.microsoft.com/office/drawing/2014/main" id="{78609F1C-B37B-4C99-B735-01CC06D838D9}"/>
            </a:ext>
          </a:extLst>
        </xdr:cNvPr>
        <xdr:cNvCxnSpPr/>
      </xdr:nvCxnSpPr>
      <xdr:spPr>
        <a:xfrm>
          <a:off x="2678393" y="4686092"/>
          <a:ext cx="486103"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55843</xdr:colOff>
      <xdr:row>32</xdr:row>
      <xdr:rowOff>169413</xdr:rowOff>
    </xdr:from>
    <xdr:to>
      <xdr:col>4</xdr:col>
      <xdr:colOff>541946</xdr:colOff>
      <xdr:row>32</xdr:row>
      <xdr:rowOff>169413</xdr:rowOff>
    </xdr:to>
    <xdr:cxnSp macro="">
      <xdr:nvCxnSpPr>
        <xdr:cNvPr id="412" name="Straight Connector 411">
          <a:extLst>
            <a:ext uri="{FF2B5EF4-FFF2-40B4-BE49-F238E27FC236}">
              <a16:creationId xmlns:a16="http://schemas.microsoft.com/office/drawing/2014/main" id="{58DD527C-2705-43C3-9A8B-5D6EAD346467}"/>
            </a:ext>
          </a:extLst>
        </xdr:cNvPr>
        <xdr:cNvCxnSpPr/>
      </xdr:nvCxnSpPr>
      <xdr:spPr>
        <a:xfrm>
          <a:off x="2678393" y="5833613"/>
          <a:ext cx="486103"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55843</xdr:colOff>
      <xdr:row>33</xdr:row>
      <xdr:rowOff>167269</xdr:rowOff>
    </xdr:from>
    <xdr:to>
      <xdr:col>4</xdr:col>
      <xdr:colOff>541946</xdr:colOff>
      <xdr:row>33</xdr:row>
      <xdr:rowOff>167269</xdr:rowOff>
    </xdr:to>
    <xdr:cxnSp macro="">
      <xdr:nvCxnSpPr>
        <xdr:cNvPr id="413" name="Straight Connector 412">
          <a:extLst>
            <a:ext uri="{FF2B5EF4-FFF2-40B4-BE49-F238E27FC236}">
              <a16:creationId xmlns:a16="http://schemas.microsoft.com/office/drawing/2014/main" id="{AD390DEB-3D27-4D66-9FBB-A07C8D0F3D9C}"/>
            </a:ext>
          </a:extLst>
        </xdr:cNvPr>
        <xdr:cNvCxnSpPr/>
      </xdr:nvCxnSpPr>
      <xdr:spPr>
        <a:xfrm>
          <a:off x="2678393" y="6015619"/>
          <a:ext cx="486103"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55843</xdr:colOff>
      <xdr:row>26</xdr:row>
      <xdr:rowOff>139492</xdr:rowOff>
    </xdr:from>
    <xdr:to>
      <xdr:col>4</xdr:col>
      <xdr:colOff>541946</xdr:colOff>
      <xdr:row>26</xdr:row>
      <xdr:rowOff>139492</xdr:rowOff>
    </xdr:to>
    <xdr:cxnSp macro="">
      <xdr:nvCxnSpPr>
        <xdr:cNvPr id="414" name="Straight Connector 413">
          <a:extLst>
            <a:ext uri="{FF2B5EF4-FFF2-40B4-BE49-F238E27FC236}">
              <a16:creationId xmlns:a16="http://schemas.microsoft.com/office/drawing/2014/main" id="{985CA175-8136-461F-8CFE-1D8A12A9C368}"/>
            </a:ext>
          </a:extLst>
        </xdr:cNvPr>
        <xdr:cNvCxnSpPr/>
      </xdr:nvCxnSpPr>
      <xdr:spPr>
        <a:xfrm>
          <a:off x="2678393" y="4686092"/>
          <a:ext cx="486103"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55843</xdr:colOff>
      <xdr:row>32</xdr:row>
      <xdr:rowOff>169413</xdr:rowOff>
    </xdr:from>
    <xdr:to>
      <xdr:col>4</xdr:col>
      <xdr:colOff>541946</xdr:colOff>
      <xdr:row>32</xdr:row>
      <xdr:rowOff>169413</xdr:rowOff>
    </xdr:to>
    <xdr:cxnSp macro="">
      <xdr:nvCxnSpPr>
        <xdr:cNvPr id="415" name="Straight Connector 414">
          <a:extLst>
            <a:ext uri="{FF2B5EF4-FFF2-40B4-BE49-F238E27FC236}">
              <a16:creationId xmlns:a16="http://schemas.microsoft.com/office/drawing/2014/main" id="{BB1031AE-DD85-4CA6-8804-AF728467B675}"/>
            </a:ext>
          </a:extLst>
        </xdr:cNvPr>
        <xdr:cNvCxnSpPr/>
      </xdr:nvCxnSpPr>
      <xdr:spPr>
        <a:xfrm>
          <a:off x="2678393" y="5833613"/>
          <a:ext cx="486103"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55843</xdr:colOff>
      <xdr:row>33</xdr:row>
      <xdr:rowOff>167269</xdr:rowOff>
    </xdr:from>
    <xdr:to>
      <xdr:col>4</xdr:col>
      <xdr:colOff>541946</xdr:colOff>
      <xdr:row>33</xdr:row>
      <xdr:rowOff>167269</xdr:rowOff>
    </xdr:to>
    <xdr:cxnSp macro="">
      <xdr:nvCxnSpPr>
        <xdr:cNvPr id="416" name="Straight Connector 415">
          <a:extLst>
            <a:ext uri="{FF2B5EF4-FFF2-40B4-BE49-F238E27FC236}">
              <a16:creationId xmlns:a16="http://schemas.microsoft.com/office/drawing/2014/main" id="{A696CF04-0F4C-4B43-980F-DA524B4EDE97}"/>
            </a:ext>
          </a:extLst>
        </xdr:cNvPr>
        <xdr:cNvCxnSpPr/>
      </xdr:nvCxnSpPr>
      <xdr:spPr>
        <a:xfrm>
          <a:off x="2678393" y="6015619"/>
          <a:ext cx="486103"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55843</xdr:colOff>
      <xdr:row>26</xdr:row>
      <xdr:rowOff>139492</xdr:rowOff>
    </xdr:from>
    <xdr:to>
      <xdr:col>4</xdr:col>
      <xdr:colOff>541946</xdr:colOff>
      <xdr:row>26</xdr:row>
      <xdr:rowOff>139492</xdr:rowOff>
    </xdr:to>
    <xdr:cxnSp macro="">
      <xdr:nvCxnSpPr>
        <xdr:cNvPr id="417" name="Straight Connector 416">
          <a:extLst>
            <a:ext uri="{FF2B5EF4-FFF2-40B4-BE49-F238E27FC236}">
              <a16:creationId xmlns:a16="http://schemas.microsoft.com/office/drawing/2014/main" id="{6521EBA8-1F30-4E50-A74D-DBC574E0813A}"/>
            </a:ext>
          </a:extLst>
        </xdr:cNvPr>
        <xdr:cNvCxnSpPr/>
      </xdr:nvCxnSpPr>
      <xdr:spPr>
        <a:xfrm>
          <a:off x="2678393" y="4686092"/>
          <a:ext cx="486103"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55843</xdr:colOff>
      <xdr:row>32</xdr:row>
      <xdr:rowOff>169413</xdr:rowOff>
    </xdr:from>
    <xdr:to>
      <xdr:col>4</xdr:col>
      <xdr:colOff>541946</xdr:colOff>
      <xdr:row>32</xdr:row>
      <xdr:rowOff>169413</xdr:rowOff>
    </xdr:to>
    <xdr:cxnSp macro="">
      <xdr:nvCxnSpPr>
        <xdr:cNvPr id="418" name="Straight Connector 417">
          <a:extLst>
            <a:ext uri="{FF2B5EF4-FFF2-40B4-BE49-F238E27FC236}">
              <a16:creationId xmlns:a16="http://schemas.microsoft.com/office/drawing/2014/main" id="{72719BE0-4C44-46CF-8342-5918B5BA0E8E}"/>
            </a:ext>
          </a:extLst>
        </xdr:cNvPr>
        <xdr:cNvCxnSpPr/>
      </xdr:nvCxnSpPr>
      <xdr:spPr>
        <a:xfrm>
          <a:off x="2678393" y="5833613"/>
          <a:ext cx="486103"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55843</xdr:colOff>
      <xdr:row>33</xdr:row>
      <xdr:rowOff>167269</xdr:rowOff>
    </xdr:from>
    <xdr:to>
      <xdr:col>4</xdr:col>
      <xdr:colOff>541946</xdr:colOff>
      <xdr:row>33</xdr:row>
      <xdr:rowOff>167269</xdr:rowOff>
    </xdr:to>
    <xdr:cxnSp macro="">
      <xdr:nvCxnSpPr>
        <xdr:cNvPr id="419" name="Straight Connector 418">
          <a:extLst>
            <a:ext uri="{FF2B5EF4-FFF2-40B4-BE49-F238E27FC236}">
              <a16:creationId xmlns:a16="http://schemas.microsoft.com/office/drawing/2014/main" id="{6016B6A6-D3A6-4FF6-9A90-FD71C33C181A}"/>
            </a:ext>
          </a:extLst>
        </xdr:cNvPr>
        <xdr:cNvCxnSpPr/>
      </xdr:nvCxnSpPr>
      <xdr:spPr>
        <a:xfrm>
          <a:off x="2678393" y="6015619"/>
          <a:ext cx="486103"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55843</xdr:colOff>
      <xdr:row>26</xdr:row>
      <xdr:rowOff>139492</xdr:rowOff>
    </xdr:from>
    <xdr:to>
      <xdr:col>4</xdr:col>
      <xdr:colOff>541946</xdr:colOff>
      <xdr:row>26</xdr:row>
      <xdr:rowOff>139492</xdr:rowOff>
    </xdr:to>
    <xdr:cxnSp macro="">
      <xdr:nvCxnSpPr>
        <xdr:cNvPr id="420" name="Straight Connector 419">
          <a:extLst>
            <a:ext uri="{FF2B5EF4-FFF2-40B4-BE49-F238E27FC236}">
              <a16:creationId xmlns:a16="http://schemas.microsoft.com/office/drawing/2014/main" id="{957FEAA7-4603-4EBD-A387-9327770DE603}"/>
            </a:ext>
          </a:extLst>
        </xdr:cNvPr>
        <xdr:cNvCxnSpPr/>
      </xdr:nvCxnSpPr>
      <xdr:spPr>
        <a:xfrm>
          <a:off x="2678393" y="4686092"/>
          <a:ext cx="486103"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55843</xdr:colOff>
      <xdr:row>32</xdr:row>
      <xdr:rowOff>169413</xdr:rowOff>
    </xdr:from>
    <xdr:to>
      <xdr:col>4</xdr:col>
      <xdr:colOff>541946</xdr:colOff>
      <xdr:row>32</xdr:row>
      <xdr:rowOff>169413</xdr:rowOff>
    </xdr:to>
    <xdr:cxnSp macro="">
      <xdr:nvCxnSpPr>
        <xdr:cNvPr id="421" name="Straight Connector 420">
          <a:extLst>
            <a:ext uri="{FF2B5EF4-FFF2-40B4-BE49-F238E27FC236}">
              <a16:creationId xmlns:a16="http://schemas.microsoft.com/office/drawing/2014/main" id="{6D89D6D3-EA2D-4311-8EF4-67E47E65524B}"/>
            </a:ext>
          </a:extLst>
        </xdr:cNvPr>
        <xdr:cNvCxnSpPr/>
      </xdr:nvCxnSpPr>
      <xdr:spPr>
        <a:xfrm>
          <a:off x="2678393" y="5833613"/>
          <a:ext cx="486103"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55843</xdr:colOff>
      <xdr:row>33</xdr:row>
      <xdr:rowOff>167269</xdr:rowOff>
    </xdr:from>
    <xdr:to>
      <xdr:col>4</xdr:col>
      <xdr:colOff>541946</xdr:colOff>
      <xdr:row>33</xdr:row>
      <xdr:rowOff>167269</xdr:rowOff>
    </xdr:to>
    <xdr:cxnSp macro="">
      <xdr:nvCxnSpPr>
        <xdr:cNvPr id="422" name="Straight Connector 421">
          <a:extLst>
            <a:ext uri="{FF2B5EF4-FFF2-40B4-BE49-F238E27FC236}">
              <a16:creationId xmlns:a16="http://schemas.microsoft.com/office/drawing/2014/main" id="{E3B0C5C8-468C-4BD5-B239-281C55F94211}"/>
            </a:ext>
          </a:extLst>
        </xdr:cNvPr>
        <xdr:cNvCxnSpPr/>
      </xdr:nvCxnSpPr>
      <xdr:spPr>
        <a:xfrm>
          <a:off x="2678393" y="6015619"/>
          <a:ext cx="486103"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55843</xdr:colOff>
      <xdr:row>26</xdr:row>
      <xdr:rowOff>139492</xdr:rowOff>
    </xdr:from>
    <xdr:to>
      <xdr:col>4</xdr:col>
      <xdr:colOff>541946</xdr:colOff>
      <xdr:row>26</xdr:row>
      <xdr:rowOff>139492</xdr:rowOff>
    </xdr:to>
    <xdr:cxnSp macro="">
      <xdr:nvCxnSpPr>
        <xdr:cNvPr id="423" name="Straight Connector 422">
          <a:extLst>
            <a:ext uri="{FF2B5EF4-FFF2-40B4-BE49-F238E27FC236}">
              <a16:creationId xmlns:a16="http://schemas.microsoft.com/office/drawing/2014/main" id="{CFFF6639-8E2F-45A6-AFB7-01F1D221C47C}"/>
            </a:ext>
          </a:extLst>
        </xdr:cNvPr>
        <xdr:cNvCxnSpPr/>
      </xdr:nvCxnSpPr>
      <xdr:spPr>
        <a:xfrm>
          <a:off x="2678393" y="4686092"/>
          <a:ext cx="486103"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55843</xdr:colOff>
      <xdr:row>32</xdr:row>
      <xdr:rowOff>169413</xdr:rowOff>
    </xdr:from>
    <xdr:to>
      <xdr:col>4</xdr:col>
      <xdr:colOff>541946</xdr:colOff>
      <xdr:row>32</xdr:row>
      <xdr:rowOff>169413</xdr:rowOff>
    </xdr:to>
    <xdr:cxnSp macro="">
      <xdr:nvCxnSpPr>
        <xdr:cNvPr id="424" name="Straight Connector 423">
          <a:extLst>
            <a:ext uri="{FF2B5EF4-FFF2-40B4-BE49-F238E27FC236}">
              <a16:creationId xmlns:a16="http://schemas.microsoft.com/office/drawing/2014/main" id="{5E02BF9F-3A5D-43C0-A3C3-901A29BC8563}"/>
            </a:ext>
          </a:extLst>
        </xdr:cNvPr>
        <xdr:cNvCxnSpPr/>
      </xdr:nvCxnSpPr>
      <xdr:spPr>
        <a:xfrm>
          <a:off x="2678393" y="5833613"/>
          <a:ext cx="486103"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55843</xdr:colOff>
      <xdr:row>33</xdr:row>
      <xdr:rowOff>167269</xdr:rowOff>
    </xdr:from>
    <xdr:to>
      <xdr:col>4</xdr:col>
      <xdr:colOff>541946</xdr:colOff>
      <xdr:row>33</xdr:row>
      <xdr:rowOff>167269</xdr:rowOff>
    </xdr:to>
    <xdr:cxnSp macro="">
      <xdr:nvCxnSpPr>
        <xdr:cNvPr id="425" name="Straight Connector 424">
          <a:extLst>
            <a:ext uri="{FF2B5EF4-FFF2-40B4-BE49-F238E27FC236}">
              <a16:creationId xmlns:a16="http://schemas.microsoft.com/office/drawing/2014/main" id="{37A8C2BF-A8A7-45A7-AA90-C4F365177A37}"/>
            </a:ext>
          </a:extLst>
        </xdr:cNvPr>
        <xdr:cNvCxnSpPr/>
      </xdr:nvCxnSpPr>
      <xdr:spPr>
        <a:xfrm>
          <a:off x="2678393" y="6015619"/>
          <a:ext cx="486103"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55843</xdr:colOff>
      <xdr:row>26</xdr:row>
      <xdr:rowOff>139492</xdr:rowOff>
    </xdr:from>
    <xdr:to>
      <xdr:col>4</xdr:col>
      <xdr:colOff>541946</xdr:colOff>
      <xdr:row>26</xdr:row>
      <xdr:rowOff>139492</xdr:rowOff>
    </xdr:to>
    <xdr:cxnSp macro="">
      <xdr:nvCxnSpPr>
        <xdr:cNvPr id="426" name="Straight Connector 425">
          <a:extLst>
            <a:ext uri="{FF2B5EF4-FFF2-40B4-BE49-F238E27FC236}">
              <a16:creationId xmlns:a16="http://schemas.microsoft.com/office/drawing/2014/main" id="{9016EC76-143C-4DA0-AD64-3FBC86614728}"/>
            </a:ext>
          </a:extLst>
        </xdr:cNvPr>
        <xdr:cNvCxnSpPr/>
      </xdr:nvCxnSpPr>
      <xdr:spPr>
        <a:xfrm>
          <a:off x="2678393" y="4686092"/>
          <a:ext cx="486103"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55843</xdr:colOff>
      <xdr:row>32</xdr:row>
      <xdr:rowOff>169413</xdr:rowOff>
    </xdr:from>
    <xdr:to>
      <xdr:col>4</xdr:col>
      <xdr:colOff>541946</xdr:colOff>
      <xdr:row>32</xdr:row>
      <xdr:rowOff>169413</xdr:rowOff>
    </xdr:to>
    <xdr:cxnSp macro="">
      <xdr:nvCxnSpPr>
        <xdr:cNvPr id="427" name="Straight Connector 426">
          <a:extLst>
            <a:ext uri="{FF2B5EF4-FFF2-40B4-BE49-F238E27FC236}">
              <a16:creationId xmlns:a16="http://schemas.microsoft.com/office/drawing/2014/main" id="{5F7E2D1E-8C11-400F-9C15-603BA3C2D03A}"/>
            </a:ext>
          </a:extLst>
        </xdr:cNvPr>
        <xdr:cNvCxnSpPr/>
      </xdr:nvCxnSpPr>
      <xdr:spPr>
        <a:xfrm>
          <a:off x="2678393" y="5833613"/>
          <a:ext cx="486103"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55843</xdr:colOff>
      <xdr:row>33</xdr:row>
      <xdr:rowOff>167269</xdr:rowOff>
    </xdr:from>
    <xdr:to>
      <xdr:col>4</xdr:col>
      <xdr:colOff>541946</xdr:colOff>
      <xdr:row>33</xdr:row>
      <xdr:rowOff>167269</xdr:rowOff>
    </xdr:to>
    <xdr:cxnSp macro="">
      <xdr:nvCxnSpPr>
        <xdr:cNvPr id="428" name="Straight Connector 427">
          <a:extLst>
            <a:ext uri="{FF2B5EF4-FFF2-40B4-BE49-F238E27FC236}">
              <a16:creationId xmlns:a16="http://schemas.microsoft.com/office/drawing/2014/main" id="{CD7C2495-051D-40B9-B3D6-D8A51DFA7541}"/>
            </a:ext>
          </a:extLst>
        </xdr:cNvPr>
        <xdr:cNvCxnSpPr/>
      </xdr:nvCxnSpPr>
      <xdr:spPr>
        <a:xfrm>
          <a:off x="2678393" y="6015619"/>
          <a:ext cx="486103"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55843</xdr:colOff>
      <xdr:row>26</xdr:row>
      <xdr:rowOff>139492</xdr:rowOff>
    </xdr:from>
    <xdr:to>
      <xdr:col>4</xdr:col>
      <xdr:colOff>541946</xdr:colOff>
      <xdr:row>26</xdr:row>
      <xdr:rowOff>139492</xdr:rowOff>
    </xdr:to>
    <xdr:cxnSp macro="">
      <xdr:nvCxnSpPr>
        <xdr:cNvPr id="429" name="Straight Connector 428">
          <a:extLst>
            <a:ext uri="{FF2B5EF4-FFF2-40B4-BE49-F238E27FC236}">
              <a16:creationId xmlns:a16="http://schemas.microsoft.com/office/drawing/2014/main" id="{68B25F24-C137-4777-A5D2-A0259E97B583}"/>
            </a:ext>
          </a:extLst>
        </xdr:cNvPr>
        <xdr:cNvCxnSpPr/>
      </xdr:nvCxnSpPr>
      <xdr:spPr>
        <a:xfrm>
          <a:off x="2678393" y="4686092"/>
          <a:ext cx="486103"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55843</xdr:colOff>
      <xdr:row>32</xdr:row>
      <xdr:rowOff>169413</xdr:rowOff>
    </xdr:from>
    <xdr:to>
      <xdr:col>4</xdr:col>
      <xdr:colOff>541946</xdr:colOff>
      <xdr:row>32</xdr:row>
      <xdr:rowOff>169413</xdr:rowOff>
    </xdr:to>
    <xdr:cxnSp macro="">
      <xdr:nvCxnSpPr>
        <xdr:cNvPr id="430" name="Straight Connector 429">
          <a:extLst>
            <a:ext uri="{FF2B5EF4-FFF2-40B4-BE49-F238E27FC236}">
              <a16:creationId xmlns:a16="http://schemas.microsoft.com/office/drawing/2014/main" id="{8ADB393F-68FC-49F4-9B4F-4B19E635A400}"/>
            </a:ext>
          </a:extLst>
        </xdr:cNvPr>
        <xdr:cNvCxnSpPr/>
      </xdr:nvCxnSpPr>
      <xdr:spPr>
        <a:xfrm>
          <a:off x="2678393" y="5833613"/>
          <a:ext cx="486103"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55843</xdr:colOff>
      <xdr:row>33</xdr:row>
      <xdr:rowOff>167269</xdr:rowOff>
    </xdr:from>
    <xdr:to>
      <xdr:col>4</xdr:col>
      <xdr:colOff>541946</xdr:colOff>
      <xdr:row>33</xdr:row>
      <xdr:rowOff>167269</xdr:rowOff>
    </xdr:to>
    <xdr:cxnSp macro="">
      <xdr:nvCxnSpPr>
        <xdr:cNvPr id="431" name="Straight Connector 430">
          <a:extLst>
            <a:ext uri="{FF2B5EF4-FFF2-40B4-BE49-F238E27FC236}">
              <a16:creationId xmlns:a16="http://schemas.microsoft.com/office/drawing/2014/main" id="{8D9ECDE2-54A7-4333-BBC8-F5C724405776}"/>
            </a:ext>
          </a:extLst>
        </xdr:cNvPr>
        <xdr:cNvCxnSpPr/>
      </xdr:nvCxnSpPr>
      <xdr:spPr>
        <a:xfrm>
          <a:off x="2678393" y="6015619"/>
          <a:ext cx="486103"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55843</xdr:colOff>
      <xdr:row>26</xdr:row>
      <xdr:rowOff>139492</xdr:rowOff>
    </xdr:from>
    <xdr:to>
      <xdr:col>4</xdr:col>
      <xdr:colOff>541946</xdr:colOff>
      <xdr:row>26</xdr:row>
      <xdr:rowOff>139492</xdr:rowOff>
    </xdr:to>
    <xdr:cxnSp macro="">
      <xdr:nvCxnSpPr>
        <xdr:cNvPr id="432" name="Straight Connector 431">
          <a:extLst>
            <a:ext uri="{FF2B5EF4-FFF2-40B4-BE49-F238E27FC236}">
              <a16:creationId xmlns:a16="http://schemas.microsoft.com/office/drawing/2014/main" id="{7289DE59-D02D-4B0C-9710-DD305A80B7B4}"/>
            </a:ext>
          </a:extLst>
        </xdr:cNvPr>
        <xdr:cNvCxnSpPr/>
      </xdr:nvCxnSpPr>
      <xdr:spPr>
        <a:xfrm>
          <a:off x="2678393" y="4686092"/>
          <a:ext cx="486103"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55843</xdr:colOff>
      <xdr:row>32</xdr:row>
      <xdr:rowOff>169413</xdr:rowOff>
    </xdr:from>
    <xdr:to>
      <xdr:col>4</xdr:col>
      <xdr:colOff>541946</xdr:colOff>
      <xdr:row>32</xdr:row>
      <xdr:rowOff>169413</xdr:rowOff>
    </xdr:to>
    <xdr:cxnSp macro="">
      <xdr:nvCxnSpPr>
        <xdr:cNvPr id="433" name="Straight Connector 432">
          <a:extLst>
            <a:ext uri="{FF2B5EF4-FFF2-40B4-BE49-F238E27FC236}">
              <a16:creationId xmlns:a16="http://schemas.microsoft.com/office/drawing/2014/main" id="{2A4B02B4-0BB8-4357-A543-4D68F56645F5}"/>
            </a:ext>
          </a:extLst>
        </xdr:cNvPr>
        <xdr:cNvCxnSpPr/>
      </xdr:nvCxnSpPr>
      <xdr:spPr>
        <a:xfrm>
          <a:off x="2678393" y="5833613"/>
          <a:ext cx="486103"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55843</xdr:colOff>
      <xdr:row>33</xdr:row>
      <xdr:rowOff>167269</xdr:rowOff>
    </xdr:from>
    <xdr:to>
      <xdr:col>4</xdr:col>
      <xdr:colOff>541946</xdr:colOff>
      <xdr:row>33</xdr:row>
      <xdr:rowOff>167269</xdr:rowOff>
    </xdr:to>
    <xdr:cxnSp macro="">
      <xdr:nvCxnSpPr>
        <xdr:cNvPr id="434" name="Straight Connector 433">
          <a:extLst>
            <a:ext uri="{FF2B5EF4-FFF2-40B4-BE49-F238E27FC236}">
              <a16:creationId xmlns:a16="http://schemas.microsoft.com/office/drawing/2014/main" id="{A23B50B7-F4AF-494A-8EB8-67F91BDE1AC1}"/>
            </a:ext>
          </a:extLst>
        </xdr:cNvPr>
        <xdr:cNvCxnSpPr/>
      </xdr:nvCxnSpPr>
      <xdr:spPr>
        <a:xfrm>
          <a:off x="2678393" y="6015619"/>
          <a:ext cx="486103"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55843</xdr:colOff>
      <xdr:row>26</xdr:row>
      <xdr:rowOff>139492</xdr:rowOff>
    </xdr:from>
    <xdr:to>
      <xdr:col>4</xdr:col>
      <xdr:colOff>541946</xdr:colOff>
      <xdr:row>26</xdr:row>
      <xdr:rowOff>139492</xdr:rowOff>
    </xdr:to>
    <xdr:cxnSp macro="">
      <xdr:nvCxnSpPr>
        <xdr:cNvPr id="435" name="Straight Connector 434">
          <a:extLst>
            <a:ext uri="{FF2B5EF4-FFF2-40B4-BE49-F238E27FC236}">
              <a16:creationId xmlns:a16="http://schemas.microsoft.com/office/drawing/2014/main" id="{A1A5F6BE-984D-4349-A74C-42EECB5D751F}"/>
            </a:ext>
          </a:extLst>
        </xdr:cNvPr>
        <xdr:cNvCxnSpPr/>
      </xdr:nvCxnSpPr>
      <xdr:spPr>
        <a:xfrm>
          <a:off x="2678393" y="4686092"/>
          <a:ext cx="486103"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55843</xdr:colOff>
      <xdr:row>32</xdr:row>
      <xdr:rowOff>169413</xdr:rowOff>
    </xdr:from>
    <xdr:to>
      <xdr:col>4</xdr:col>
      <xdr:colOff>541946</xdr:colOff>
      <xdr:row>32</xdr:row>
      <xdr:rowOff>169413</xdr:rowOff>
    </xdr:to>
    <xdr:cxnSp macro="">
      <xdr:nvCxnSpPr>
        <xdr:cNvPr id="436" name="Straight Connector 435">
          <a:extLst>
            <a:ext uri="{FF2B5EF4-FFF2-40B4-BE49-F238E27FC236}">
              <a16:creationId xmlns:a16="http://schemas.microsoft.com/office/drawing/2014/main" id="{8B323DC3-62D9-4472-93AB-C27AC601261F}"/>
            </a:ext>
          </a:extLst>
        </xdr:cNvPr>
        <xdr:cNvCxnSpPr/>
      </xdr:nvCxnSpPr>
      <xdr:spPr>
        <a:xfrm>
          <a:off x="2678393" y="5833613"/>
          <a:ext cx="486103"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55843</xdr:colOff>
      <xdr:row>33</xdr:row>
      <xdr:rowOff>167269</xdr:rowOff>
    </xdr:from>
    <xdr:to>
      <xdr:col>4</xdr:col>
      <xdr:colOff>541946</xdr:colOff>
      <xdr:row>33</xdr:row>
      <xdr:rowOff>167269</xdr:rowOff>
    </xdr:to>
    <xdr:cxnSp macro="">
      <xdr:nvCxnSpPr>
        <xdr:cNvPr id="437" name="Straight Connector 436">
          <a:extLst>
            <a:ext uri="{FF2B5EF4-FFF2-40B4-BE49-F238E27FC236}">
              <a16:creationId xmlns:a16="http://schemas.microsoft.com/office/drawing/2014/main" id="{315C3E4B-FAC0-4B6D-84CE-1BA4D988525D}"/>
            </a:ext>
          </a:extLst>
        </xdr:cNvPr>
        <xdr:cNvCxnSpPr/>
      </xdr:nvCxnSpPr>
      <xdr:spPr>
        <a:xfrm>
          <a:off x="2678393" y="6015619"/>
          <a:ext cx="486103"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25099</xdr:colOff>
      <xdr:row>38</xdr:row>
      <xdr:rowOff>175830</xdr:rowOff>
    </xdr:from>
    <xdr:to>
      <xdr:col>2</xdr:col>
      <xdr:colOff>665179</xdr:colOff>
      <xdr:row>38</xdr:row>
      <xdr:rowOff>175830</xdr:rowOff>
    </xdr:to>
    <xdr:cxnSp macro="">
      <xdr:nvCxnSpPr>
        <xdr:cNvPr id="438" name="Straight Connector 437">
          <a:extLst>
            <a:ext uri="{FF2B5EF4-FFF2-40B4-BE49-F238E27FC236}">
              <a16:creationId xmlns:a16="http://schemas.microsoft.com/office/drawing/2014/main" id="{42A4A464-1A45-4B6A-8C18-E9F2F29F2EE2}"/>
            </a:ext>
          </a:extLst>
        </xdr:cNvPr>
        <xdr:cNvCxnSpPr/>
      </xdr:nvCxnSpPr>
      <xdr:spPr>
        <a:xfrm>
          <a:off x="1244299" y="6805230"/>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26112</xdr:colOff>
      <xdr:row>38</xdr:row>
      <xdr:rowOff>170983</xdr:rowOff>
    </xdr:from>
    <xdr:to>
      <xdr:col>3</xdr:col>
      <xdr:colOff>593040</xdr:colOff>
      <xdr:row>38</xdr:row>
      <xdr:rowOff>170983</xdr:rowOff>
    </xdr:to>
    <xdr:cxnSp macro="">
      <xdr:nvCxnSpPr>
        <xdr:cNvPr id="439" name="Straight Connector 438">
          <a:extLst>
            <a:ext uri="{FF2B5EF4-FFF2-40B4-BE49-F238E27FC236}">
              <a16:creationId xmlns:a16="http://schemas.microsoft.com/office/drawing/2014/main" id="{CF2FE416-101B-4E19-84FF-C1BFA48AFE55}"/>
            </a:ext>
          </a:extLst>
        </xdr:cNvPr>
        <xdr:cNvCxnSpPr/>
      </xdr:nvCxnSpPr>
      <xdr:spPr>
        <a:xfrm>
          <a:off x="1975562" y="6800383"/>
          <a:ext cx="566928"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22202</xdr:colOff>
      <xdr:row>38</xdr:row>
      <xdr:rowOff>170983</xdr:rowOff>
    </xdr:from>
    <xdr:to>
      <xdr:col>4</xdr:col>
      <xdr:colOff>589130</xdr:colOff>
      <xdr:row>38</xdr:row>
      <xdr:rowOff>170983</xdr:rowOff>
    </xdr:to>
    <xdr:cxnSp macro="">
      <xdr:nvCxnSpPr>
        <xdr:cNvPr id="440" name="Straight Connector 439">
          <a:extLst>
            <a:ext uri="{FF2B5EF4-FFF2-40B4-BE49-F238E27FC236}">
              <a16:creationId xmlns:a16="http://schemas.microsoft.com/office/drawing/2014/main" id="{94E79CF0-4617-44AA-9191-87A7011DDD5C}"/>
            </a:ext>
          </a:extLst>
        </xdr:cNvPr>
        <xdr:cNvCxnSpPr/>
      </xdr:nvCxnSpPr>
      <xdr:spPr>
        <a:xfrm>
          <a:off x="2644752" y="6800383"/>
          <a:ext cx="516128"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25099</xdr:colOff>
      <xdr:row>38</xdr:row>
      <xdr:rowOff>175830</xdr:rowOff>
    </xdr:from>
    <xdr:to>
      <xdr:col>2</xdr:col>
      <xdr:colOff>665179</xdr:colOff>
      <xdr:row>38</xdr:row>
      <xdr:rowOff>175830</xdr:rowOff>
    </xdr:to>
    <xdr:cxnSp macro="">
      <xdr:nvCxnSpPr>
        <xdr:cNvPr id="441" name="Straight Connector 440">
          <a:extLst>
            <a:ext uri="{FF2B5EF4-FFF2-40B4-BE49-F238E27FC236}">
              <a16:creationId xmlns:a16="http://schemas.microsoft.com/office/drawing/2014/main" id="{F9E1D8BE-3049-4992-A6FB-DE3D88DC690D}"/>
            </a:ext>
          </a:extLst>
        </xdr:cNvPr>
        <xdr:cNvCxnSpPr/>
      </xdr:nvCxnSpPr>
      <xdr:spPr>
        <a:xfrm>
          <a:off x="1244299" y="6805230"/>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26112</xdr:colOff>
      <xdr:row>38</xdr:row>
      <xdr:rowOff>170983</xdr:rowOff>
    </xdr:from>
    <xdr:to>
      <xdr:col>3</xdr:col>
      <xdr:colOff>593040</xdr:colOff>
      <xdr:row>38</xdr:row>
      <xdr:rowOff>170983</xdr:rowOff>
    </xdr:to>
    <xdr:cxnSp macro="">
      <xdr:nvCxnSpPr>
        <xdr:cNvPr id="442" name="Straight Connector 441">
          <a:extLst>
            <a:ext uri="{FF2B5EF4-FFF2-40B4-BE49-F238E27FC236}">
              <a16:creationId xmlns:a16="http://schemas.microsoft.com/office/drawing/2014/main" id="{BB6704C4-D667-40AB-A9E8-F5DD80BC2F6C}"/>
            </a:ext>
          </a:extLst>
        </xdr:cNvPr>
        <xdr:cNvCxnSpPr/>
      </xdr:nvCxnSpPr>
      <xdr:spPr>
        <a:xfrm>
          <a:off x="1975562" y="6800383"/>
          <a:ext cx="566928"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22202</xdr:colOff>
      <xdr:row>38</xdr:row>
      <xdr:rowOff>170983</xdr:rowOff>
    </xdr:from>
    <xdr:to>
      <xdr:col>4</xdr:col>
      <xdr:colOff>764659</xdr:colOff>
      <xdr:row>38</xdr:row>
      <xdr:rowOff>170983</xdr:rowOff>
    </xdr:to>
    <xdr:cxnSp macro="">
      <xdr:nvCxnSpPr>
        <xdr:cNvPr id="443" name="Straight Connector 442">
          <a:extLst>
            <a:ext uri="{FF2B5EF4-FFF2-40B4-BE49-F238E27FC236}">
              <a16:creationId xmlns:a16="http://schemas.microsoft.com/office/drawing/2014/main" id="{C2BFCDEF-FDD2-4023-BD35-EF13547DA249}"/>
            </a:ext>
          </a:extLst>
        </xdr:cNvPr>
        <xdr:cNvCxnSpPr/>
      </xdr:nvCxnSpPr>
      <xdr:spPr>
        <a:xfrm>
          <a:off x="2644752" y="6800383"/>
          <a:ext cx="520207"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25099</xdr:colOff>
      <xdr:row>38</xdr:row>
      <xdr:rowOff>175830</xdr:rowOff>
    </xdr:from>
    <xdr:to>
      <xdr:col>2</xdr:col>
      <xdr:colOff>665179</xdr:colOff>
      <xdr:row>38</xdr:row>
      <xdr:rowOff>175830</xdr:rowOff>
    </xdr:to>
    <xdr:cxnSp macro="">
      <xdr:nvCxnSpPr>
        <xdr:cNvPr id="444" name="Straight Connector 443">
          <a:extLst>
            <a:ext uri="{FF2B5EF4-FFF2-40B4-BE49-F238E27FC236}">
              <a16:creationId xmlns:a16="http://schemas.microsoft.com/office/drawing/2014/main" id="{5AF2F306-6686-4691-B4CA-611E5E68F220}"/>
            </a:ext>
          </a:extLst>
        </xdr:cNvPr>
        <xdr:cNvCxnSpPr/>
      </xdr:nvCxnSpPr>
      <xdr:spPr>
        <a:xfrm>
          <a:off x="1244299" y="6805230"/>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26112</xdr:colOff>
      <xdr:row>38</xdr:row>
      <xdr:rowOff>170983</xdr:rowOff>
    </xdr:from>
    <xdr:to>
      <xdr:col>3</xdr:col>
      <xdr:colOff>593040</xdr:colOff>
      <xdr:row>38</xdr:row>
      <xdr:rowOff>170983</xdr:rowOff>
    </xdr:to>
    <xdr:cxnSp macro="">
      <xdr:nvCxnSpPr>
        <xdr:cNvPr id="445" name="Straight Connector 444">
          <a:extLst>
            <a:ext uri="{FF2B5EF4-FFF2-40B4-BE49-F238E27FC236}">
              <a16:creationId xmlns:a16="http://schemas.microsoft.com/office/drawing/2014/main" id="{373142CC-A816-4D5A-97DD-3178BDF411D9}"/>
            </a:ext>
          </a:extLst>
        </xdr:cNvPr>
        <xdr:cNvCxnSpPr/>
      </xdr:nvCxnSpPr>
      <xdr:spPr>
        <a:xfrm>
          <a:off x="1975562" y="6800383"/>
          <a:ext cx="566928"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22202</xdr:colOff>
      <xdr:row>38</xdr:row>
      <xdr:rowOff>170983</xdr:rowOff>
    </xdr:from>
    <xdr:to>
      <xdr:col>4</xdr:col>
      <xdr:colOff>589130</xdr:colOff>
      <xdr:row>38</xdr:row>
      <xdr:rowOff>170983</xdr:rowOff>
    </xdr:to>
    <xdr:cxnSp macro="">
      <xdr:nvCxnSpPr>
        <xdr:cNvPr id="446" name="Straight Connector 445">
          <a:extLst>
            <a:ext uri="{FF2B5EF4-FFF2-40B4-BE49-F238E27FC236}">
              <a16:creationId xmlns:a16="http://schemas.microsoft.com/office/drawing/2014/main" id="{8DB8595E-A765-4110-B13C-F048C0FF8541}"/>
            </a:ext>
          </a:extLst>
        </xdr:cNvPr>
        <xdr:cNvCxnSpPr/>
      </xdr:nvCxnSpPr>
      <xdr:spPr>
        <a:xfrm>
          <a:off x="2644752" y="6800383"/>
          <a:ext cx="516128"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25099</xdr:colOff>
      <xdr:row>38</xdr:row>
      <xdr:rowOff>175830</xdr:rowOff>
    </xdr:from>
    <xdr:to>
      <xdr:col>2</xdr:col>
      <xdr:colOff>665179</xdr:colOff>
      <xdr:row>38</xdr:row>
      <xdr:rowOff>175830</xdr:rowOff>
    </xdr:to>
    <xdr:cxnSp macro="">
      <xdr:nvCxnSpPr>
        <xdr:cNvPr id="447" name="Straight Connector 446">
          <a:extLst>
            <a:ext uri="{FF2B5EF4-FFF2-40B4-BE49-F238E27FC236}">
              <a16:creationId xmlns:a16="http://schemas.microsoft.com/office/drawing/2014/main" id="{D2764A47-BA37-4300-BB8F-BF6CDBE3944F}"/>
            </a:ext>
          </a:extLst>
        </xdr:cNvPr>
        <xdr:cNvCxnSpPr/>
      </xdr:nvCxnSpPr>
      <xdr:spPr>
        <a:xfrm>
          <a:off x="1244299" y="6805230"/>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26112</xdr:colOff>
      <xdr:row>38</xdr:row>
      <xdr:rowOff>170983</xdr:rowOff>
    </xdr:from>
    <xdr:to>
      <xdr:col>3</xdr:col>
      <xdr:colOff>593040</xdr:colOff>
      <xdr:row>38</xdr:row>
      <xdr:rowOff>170983</xdr:rowOff>
    </xdr:to>
    <xdr:cxnSp macro="">
      <xdr:nvCxnSpPr>
        <xdr:cNvPr id="448" name="Straight Connector 447">
          <a:extLst>
            <a:ext uri="{FF2B5EF4-FFF2-40B4-BE49-F238E27FC236}">
              <a16:creationId xmlns:a16="http://schemas.microsoft.com/office/drawing/2014/main" id="{77847944-203A-4479-88CE-5A6A398C8629}"/>
            </a:ext>
          </a:extLst>
        </xdr:cNvPr>
        <xdr:cNvCxnSpPr/>
      </xdr:nvCxnSpPr>
      <xdr:spPr>
        <a:xfrm>
          <a:off x="1975562" y="6800383"/>
          <a:ext cx="566928"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22202</xdr:colOff>
      <xdr:row>38</xdr:row>
      <xdr:rowOff>170983</xdr:rowOff>
    </xdr:from>
    <xdr:to>
      <xdr:col>4</xdr:col>
      <xdr:colOff>589130</xdr:colOff>
      <xdr:row>38</xdr:row>
      <xdr:rowOff>170983</xdr:rowOff>
    </xdr:to>
    <xdr:cxnSp macro="">
      <xdr:nvCxnSpPr>
        <xdr:cNvPr id="449" name="Straight Connector 448">
          <a:extLst>
            <a:ext uri="{FF2B5EF4-FFF2-40B4-BE49-F238E27FC236}">
              <a16:creationId xmlns:a16="http://schemas.microsoft.com/office/drawing/2014/main" id="{10BB27B5-9B00-4D37-B2AA-31FB7096F7B5}"/>
            </a:ext>
          </a:extLst>
        </xdr:cNvPr>
        <xdr:cNvCxnSpPr/>
      </xdr:nvCxnSpPr>
      <xdr:spPr>
        <a:xfrm>
          <a:off x="2644752" y="6800383"/>
          <a:ext cx="516128"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25099</xdr:colOff>
      <xdr:row>38</xdr:row>
      <xdr:rowOff>175830</xdr:rowOff>
    </xdr:from>
    <xdr:to>
      <xdr:col>2</xdr:col>
      <xdr:colOff>665179</xdr:colOff>
      <xdr:row>38</xdr:row>
      <xdr:rowOff>175830</xdr:rowOff>
    </xdr:to>
    <xdr:cxnSp macro="">
      <xdr:nvCxnSpPr>
        <xdr:cNvPr id="450" name="Straight Connector 449">
          <a:extLst>
            <a:ext uri="{FF2B5EF4-FFF2-40B4-BE49-F238E27FC236}">
              <a16:creationId xmlns:a16="http://schemas.microsoft.com/office/drawing/2014/main" id="{9C420737-49C3-4EC9-9A89-60061DC7DEE6}"/>
            </a:ext>
          </a:extLst>
        </xdr:cNvPr>
        <xdr:cNvCxnSpPr/>
      </xdr:nvCxnSpPr>
      <xdr:spPr>
        <a:xfrm>
          <a:off x="1244299" y="6805230"/>
          <a:ext cx="6400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26112</xdr:colOff>
      <xdr:row>38</xdr:row>
      <xdr:rowOff>170983</xdr:rowOff>
    </xdr:from>
    <xdr:to>
      <xdr:col>3</xdr:col>
      <xdr:colOff>848540</xdr:colOff>
      <xdr:row>38</xdr:row>
      <xdr:rowOff>170983</xdr:rowOff>
    </xdr:to>
    <xdr:cxnSp macro="">
      <xdr:nvCxnSpPr>
        <xdr:cNvPr id="451" name="Straight Connector 450">
          <a:extLst>
            <a:ext uri="{FF2B5EF4-FFF2-40B4-BE49-F238E27FC236}">
              <a16:creationId xmlns:a16="http://schemas.microsoft.com/office/drawing/2014/main" id="{DFE494AB-71C8-407C-A406-CF0651F4A2F7}"/>
            </a:ext>
          </a:extLst>
        </xdr:cNvPr>
        <xdr:cNvCxnSpPr/>
      </xdr:nvCxnSpPr>
      <xdr:spPr>
        <a:xfrm>
          <a:off x="1975562" y="6800383"/>
          <a:ext cx="644628"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22202</xdr:colOff>
      <xdr:row>38</xdr:row>
      <xdr:rowOff>170983</xdr:rowOff>
    </xdr:from>
    <xdr:to>
      <xdr:col>4</xdr:col>
      <xdr:colOff>589130</xdr:colOff>
      <xdr:row>38</xdr:row>
      <xdr:rowOff>170983</xdr:rowOff>
    </xdr:to>
    <xdr:cxnSp macro="">
      <xdr:nvCxnSpPr>
        <xdr:cNvPr id="452" name="Straight Connector 451">
          <a:extLst>
            <a:ext uri="{FF2B5EF4-FFF2-40B4-BE49-F238E27FC236}">
              <a16:creationId xmlns:a16="http://schemas.microsoft.com/office/drawing/2014/main" id="{4DB44BD1-019F-4370-9401-AE3C3825FE36}"/>
            </a:ext>
          </a:extLst>
        </xdr:cNvPr>
        <xdr:cNvCxnSpPr/>
      </xdr:nvCxnSpPr>
      <xdr:spPr>
        <a:xfrm>
          <a:off x="2644752" y="6800383"/>
          <a:ext cx="516128"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wsDr>
</file>

<file path=xl/drawings/drawing11.xml><?xml version="1.0" encoding="utf-8"?>
<xdr:wsDr xmlns:xdr="http://schemas.openxmlformats.org/drawingml/2006/spreadsheetDrawing" xmlns:a="http://schemas.openxmlformats.org/drawingml/2006/main">
  <xdr:twoCellAnchor>
    <xdr:from>
      <xdr:col>2</xdr:col>
      <xdr:colOff>23759</xdr:colOff>
      <xdr:row>10</xdr:row>
      <xdr:rowOff>227513</xdr:rowOff>
    </xdr:from>
    <xdr:to>
      <xdr:col>5</xdr:col>
      <xdr:colOff>572745</xdr:colOff>
      <xdr:row>10</xdr:row>
      <xdr:rowOff>227513</xdr:rowOff>
    </xdr:to>
    <xdr:cxnSp macro="">
      <xdr:nvCxnSpPr>
        <xdr:cNvPr id="2" name="Straight Connector 1">
          <a:extLst>
            <a:ext uri="{FF2B5EF4-FFF2-40B4-BE49-F238E27FC236}">
              <a16:creationId xmlns:a16="http://schemas.microsoft.com/office/drawing/2014/main" id="{0294074C-3B96-4CA9-BFF4-04C8B1AE4532}"/>
            </a:ext>
          </a:extLst>
        </xdr:cNvPr>
        <xdr:cNvCxnSpPr/>
      </xdr:nvCxnSpPr>
      <xdr:spPr>
        <a:xfrm>
          <a:off x="512709" y="2246813"/>
          <a:ext cx="2377786"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31128</xdr:colOff>
      <xdr:row>10</xdr:row>
      <xdr:rowOff>227107</xdr:rowOff>
    </xdr:from>
    <xdr:to>
      <xdr:col>6</xdr:col>
      <xdr:colOff>597089</xdr:colOff>
      <xdr:row>10</xdr:row>
      <xdr:rowOff>227107</xdr:rowOff>
    </xdr:to>
    <xdr:cxnSp macro="">
      <xdr:nvCxnSpPr>
        <xdr:cNvPr id="3" name="Straight Connector 2">
          <a:extLst>
            <a:ext uri="{FF2B5EF4-FFF2-40B4-BE49-F238E27FC236}">
              <a16:creationId xmlns:a16="http://schemas.microsoft.com/office/drawing/2014/main" id="{F597BCA4-B465-4F89-80D6-0F9405E05A47}"/>
            </a:ext>
          </a:extLst>
        </xdr:cNvPr>
        <xdr:cNvCxnSpPr/>
      </xdr:nvCxnSpPr>
      <xdr:spPr>
        <a:xfrm>
          <a:off x="2958478" y="2246407"/>
          <a:ext cx="565961"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22114</xdr:colOff>
      <xdr:row>10</xdr:row>
      <xdr:rowOff>228322</xdr:rowOff>
    </xdr:from>
    <xdr:to>
      <xdr:col>10</xdr:col>
      <xdr:colOff>982453</xdr:colOff>
      <xdr:row>10</xdr:row>
      <xdr:rowOff>228322</xdr:rowOff>
    </xdr:to>
    <xdr:cxnSp macro="">
      <xdr:nvCxnSpPr>
        <xdr:cNvPr id="4" name="Straight Connector 3">
          <a:extLst>
            <a:ext uri="{FF2B5EF4-FFF2-40B4-BE49-F238E27FC236}">
              <a16:creationId xmlns:a16="http://schemas.microsoft.com/office/drawing/2014/main" id="{ACE2921C-EB44-4AD4-8450-B8899B065BF8}"/>
            </a:ext>
          </a:extLst>
        </xdr:cNvPr>
        <xdr:cNvCxnSpPr/>
      </xdr:nvCxnSpPr>
      <xdr:spPr>
        <a:xfrm>
          <a:off x="5114814" y="2247622"/>
          <a:ext cx="960339"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22114</xdr:colOff>
      <xdr:row>10</xdr:row>
      <xdr:rowOff>228322</xdr:rowOff>
    </xdr:from>
    <xdr:to>
      <xdr:col>12</xdr:col>
      <xdr:colOff>11981</xdr:colOff>
      <xdr:row>10</xdr:row>
      <xdr:rowOff>228322</xdr:rowOff>
    </xdr:to>
    <xdr:cxnSp macro="">
      <xdr:nvCxnSpPr>
        <xdr:cNvPr id="5" name="Straight Connector 4">
          <a:extLst>
            <a:ext uri="{FF2B5EF4-FFF2-40B4-BE49-F238E27FC236}">
              <a16:creationId xmlns:a16="http://schemas.microsoft.com/office/drawing/2014/main" id="{183D08C5-B053-496A-B641-83B5FA3B9610}"/>
            </a:ext>
          </a:extLst>
        </xdr:cNvPr>
        <xdr:cNvCxnSpPr/>
      </xdr:nvCxnSpPr>
      <xdr:spPr>
        <a:xfrm>
          <a:off x="6162564" y="2247622"/>
          <a:ext cx="1037617"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22114</xdr:colOff>
      <xdr:row>10</xdr:row>
      <xdr:rowOff>228322</xdr:rowOff>
    </xdr:from>
    <xdr:to>
      <xdr:col>13</xdr:col>
      <xdr:colOff>966304</xdr:colOff>
      <xdr:row>10</xdr:row>
      <xdr:rowOff>228322</xdr:rowOff>
    </xdr:to>
    <xdr:cxnSp macro="">
      <xdr:nvCxnSpPr>
        <xdr:cNvPr id="6" name="Straight Connector 5">
          <a:extLst>
            <a:ext uri="{FF2B5EF4-FFF2-40B4-BE49-F238E27FC236}">
              <a16:creationId xmlns:a16="http://schemas.microsoft.com/office/drawing/2014/main" id="{1A2447A7-E19A-4D6C-B867-BAA9042C7338}"/>
            </a:ext>
          </a:extLst>
        </xdr:cNvPr>
        <xdr:cNvCxnSpPr/>
      </xdr:nvCxnSpPr>
      <xdr:spPr>
        <a:xfrm>
          <a:off x="7261114" y="2247622"/>
          <a:ext cx="94419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22114</xdr:colOff>
      <xdr:row>10</xdr:row>
      <xdr:rowOff>228322</xdr:rowOff>
    </xdr:from>
    <xdr:to>
      <xdr:col>14</xdr:col>
      <xdr:colOff>952500</xdr:colOff>
      <xdr:row>10</xdr:row>
      <xdr:rowOff>228322</xdr:rowOff>
    </xdr:to>
    <xdr:cxnSp macro="">
      <xdr:nvCxnSpPr>
        <xdr:cNvPr id="7" name="Straight Connector 6">
          <a:extLst>
            <a:ext uri="{FF2B5EF4-FFF2-40B4-BE49-F238E27FC236}">
              <a16:creationId xmlns:a16="http://schemas.microsoft.com/office/drawing/2014/main" id="{0B4E13F7-0787-45AA-8FE1-D18444F71DFC}"/>
            </a:ext>
          </a:extLst>
        </xdr:cNvPr>
        <xdr:cNvCxnSpPr/>
      </xdr:nvCxnSpPr>
      <xdr:spPr>
        <a:xfrm>
          <a:off x="8308864" y="2247622"/>
          <a:ext cx="930386"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22114</xdr:colOff>
      <xdr:row>10</xdr:row>
      <xdr:rowOff>228322</xdr:rowOff>
    </xdr:from>
    <xdr:to>
      <xdr:col>15</xdr:col>
      <xdr:colOff>874623</xdr:colOff>
      <xdr:row>10</xdr:row>
      <xdr:rowOff>228322</xdr:rowOff>
    </xdr:to>
    <xdr:cxnSp macro="">
      <xdr:nvCxnSpPr>
        <xdr:cNvPr id="8" name="Straight Connector 7">
          <a:extLst>
            <a:ext uri="{FF2B5EF4-FFF2-40B4-BE49-F238E27FC236}">
              <a16:creationId xmlns:a16="http://schemas.microsoft.com/office/drawing/2014/main" id="{C9BC7CC0-B037-4390-963D-31A4B41631A8}"/>
            </a:ext>
          </a:extLst>
        </xdr:cNvPr>
        <xdr:cNvCxnSpPr/>
      </xdr:nvCxnSpPr>
      <xdr:spPr>
        <a:xfrm>
          <a:off x="9356614" y="2247622"/>
          <a:ext cx="852509"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22114</xdr:colOff>
      <xdr:row>10</xdr:row>
      <xdr:rowOff>228322</xdr:rowOff>
    </xdr:from>
    <xdr:to>
      <xdr:col>18</xdr:col>
      <xdr:colOff>4379</xdr:colOff>
      <xdr:row>10</xdr:row>
      <xdr:rowOff>228322</xdr:rowOff>
    </xdr:to>
    <xdr:cxnSp macro="">
      <xdr:nvCxnSpPr>
        <xdr:cNvPr id="9" name="Straight Connector 8">
          <a:extLst>
            <a:ext uri="{FF2B5EF4-FFF2-40B4-BE49-F238E27FC236}">
              <a16:creationId xmlns:a16="http://schemas.microsoft.com/office/drawing/2014/main" id="{5795223D-11FE-4D1E-BE21-062623E30F19}"/>
            </a:ext>
          </a:extLst>
        </xdr:cNvPr>
        <xdr:cNvCxnSpPr/>
      </xdr:nvCxnSpPr>
      <xdr:spPr>
        <a:xfrm>
          <a:off x="10455164" y="2247622"/>
          <a:ext cx="820465"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22114</xdr:colOff>
      <xdr:row>10</xdr:row>
      <xdr:rowOff>228322</xdr:rowOff>
    </xdr:from>
    <xdr:to>
      <xdr:col>19</xdr:col>
      <xdr:colOff>4379</xdr:colOff>
      <xdr:row>10</xdr:row>
      <xdr:rowOff>228322</xdr:rowOff>
    </xdr:to>
    <xdr:cxnSp macro="">
      <xdr:nvCxnSpPr>
        <xdr:cNvPr id="10" name="Straight Connector 9">
          <a:extLst>
            <a:ext uri="{FF2B5EF4-FFF2-40B4-BE49-F238E27FC236}">
              <a16:creationId xmlns:a16="http://schemas.microsoft.com/office/drawing/2014/main" id="{DCA61723-801D-4EC3-9505-BCDFA45F0A12}"/>
            </a:ext>
          </a:extLst>
        </xdr:cNvPr>
        <xdr:cNvCxnSpPr/>
      </xdr:nvCxnSpPr>
      <xdr:spPr>
        <a:xfrm>
          <a:off x="11293364" y="2247622"/>
          <a:ext cx="820465"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22114</xdr:colOff>
      <xdr:row>10</xdr:row>
      <xdr:rowOff>228322</xdr:rowOff>
    </xdr:from>
    <xdr:to>
      <xdr:col>20</xdr:col>
      <xdr:colOff>35944</xdr:colOff>
      <xdr:row>10</xdr:row>
      <xdr:rowOff>228322</xdr:rowOff>
    </xdr:to>
    <xdr:cxnSp macro="">
      <xdr:nvCxnSpPr>
        <xdr:cNvPr id="11" name="Straight Connector 10">
          <a:extLst>
            <a:ext uri="{FF2B5EF4-FFF2-40B4-BE49-F238E27FC236}">
              <a16:creationId xmlns:a16="http://schemas.microsoft.com/office/drawing/2014/main" id="{EABDEAC7-AEF4-422A-960C-9237AFECC240}"/>
            </a:ext>
          </a:extLst>
        </xdr:cNvPr>
        <xdr:cNvCxnSpPr/>
      </xdr:nvCxnSpPr>
      <xdr:spPr>
        <a:xfrm>
          <a:off x="12131564" y="2247622"/>
          <a:ext cx="75678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43961</xdr:colOff>
      <xdr:row>8</xdr:row>
      <xdr:rowOff>228687</xdr:rowOff>
    </xdr:from>
    <xdr:to>
      <xdr:col>22</xdr:col>
      <xdr:colOff>713557</xdr:colOff>
      <xdr:row>8</xdr:row>
      <xdr:rowOff>228687</xdr:rowOff>
    </xdr:to>
    <xdr:cxnSp macro="">
      <xdr:nvCxnSpPr>
        <xdr:cNvPr id="12" name="Straight Connector 11">
          <a:extLst>
            <a:ext uri="{FF2B5EF4-FFF2-40B4-BE49-F238E27FC236}">
              <a16:creationId xmlns:a16="http://schemas.microsoft.com/office/drawing/2014/main" id="{4DE8ECDB-AEF6-4AA9-BE7B-C39D77DA0BF9}"/>
            </a:ext>
          </a:extLst>
        </xdr:cNvPr>
        <xdr:cNvCxnSpPr/>
      </xdr:nvCxnSpPr>
      <xdr:spPr>
        <a:xfrm>
          <a:off x="13086861" y="1714587"/>
          <a:ext cx="1507796"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43961</xdr:colOff>
      <xdr:row>8</xdr:row>
      <xdr:rowOff>228687</xdr:rowOff>
    </xdr:from>
    <xdr:to>
      <xdr:col>25</xdr:col>
      <xdr:colOff>27609</xdr:colOff>
      <xdr:row>8</xdr:row>
      <xdr:rowOff>228687</xdr:rowOff>
    </xdr:to>
    <xdr:cxnSp macro="">
      <xdr:nvCxnSpPr>
        <xdr:cNvPr id="13" name="Straight Connector 12">
          <a:extLst>
            <a:ext uri="{FF2B5EF4-FFF2-40B4-BE49-F238E27FC236}">
              <a16:creationId xmlns:a16="http://schemas.microsoft.com/office/drawing/2014/main" id="{48D1C670-E11C-4B08-AAC5-ED827B3BD8C0}"/>
            </a:ext>
          </a:extLst>
        </xdr:cNvPr>
        <xdr:cNvCxnSpPr/>
      </xdr:nvCxnSpPr>
      <xdr:spPr>
        <a:xfrm>
          <a:off x="14864861" y="1714587"/>
          <a:ext cx="1717198"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22114</xdr:colOff>
      <xdr:row>10</xdr:row>
      <xdr:rowOff>228322</xdr:rowOff>
    </xdr:from>
    <xdr:to>
      <xdr:col>22</xdr:col>
      <xdr:colOff>4379</xdr:colOff>
      <xdr:row>10</xdr:row>
      <xdr:rowOff>228322</xdr:rowOff>
    </xdr:to>
    <xdr:cxnSp macro="">
      <xdr:nvCxnSpPr>
        <xdr:cNvPr id="14" name="Straight Connector 13">
          <a:extLst>
            <a:ext uri="{FF2B5EF4-FFF2-40B4-BE49-F238E27FC236}">
              <a16:creationId xmlns:a16="http://schemas.microsoft.com/office/drawing/2014/main" id="{518F943A-70A5-40D2-BBA1-4339CB825287}"/>
            </a:ext>
          </a:extLst>
        </xdr:cNvPr>
        <xdr:cNvCxnSpPr/>
      </xdr:nvCxnSpPr>
      <xdr:spPr>
        <a:xfrm>
          <a:off x="13065014" y="2247622"/>
          <a:ext cx="820465"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22114</xdr:colOff>
      <xdr:row>10</xdr:row>
      <xdr:rowOff>228322</xdr:rowOff>
    </xdr:from>
    <xdr:to>
      <xdr:col>23</xdr:col>
      <xdr:colOff>4379</xdr:colOff>
      <xdr:row>10</xdr:row>
      <xdr:rowOff>228322</xdr:rowOff>
    </xdr:to>
    <xdr:cxnSp macro="">
      <xdr:nvCxnSpPr>
        <xdr:cNvPr id="15" name="Straight Connector 14">
          <a:extLst>
            <a:ext uri="{FF2B5EF4-FFF2-40B4-BE49-F238E27FC236}">
              <a16:creationId xmlns:a16="http://schemas.microsoft.com/office/drawing/2014/main" id="{A44AA808-1519-4A3D-BB71-BB46412AF521}"/>
            </a:ext>
          </a:extLst>
        </xdr:cNvPr>
        <xdr:cNvCxnSpPr/>
      </xdr:nvCxnSpPr>
      <xdr:spPr>
        <a:xfrm>
          <a:off x="13903214" y="2247622"/>
          <a:ext cx="922065"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22114</xdr:colOff>
      <xdr:row>10</xdr:row>
      <xdr:rowOff>228322</xdr:rowOff>
    </xdr:from>
    <xdr:to>
      <xdr:col>24</xdr:col>
      <xdr:colOff>4379</xdr:colOff>
      <xdr:row>10</xdr:row>
      <xdr:rowOff>228322</xdr:rowOff>
    </xdr:to>
    <xdr:cxnSp macro="">
      <xdr:nvCxnSpPr>
        <xdr:cNvPr id="16" name="Straight Connector 15">
          <a:extLst>
            <a:ext uri="{FF2B5EF4-FFF2-40B4-BE49-F238E27FC236}">
              <a16:creationId xmlns:a16="http://schemas.microsoft.com/office/drawing/2014/main" id="{632970A8-EF62-4F33-9031-23D1D384C755}"/>
            </a:ext>
          </a:extLst>
        </xdr:cNvPr>
        <xdr:cNvCxnSpPr/>
      </xdr:nvCxnSpPr>
      <xdr:spPr>
        <a:xfrm>
          <a:off x="14843014" y="2247622"/>
          <a:ext cx="877615"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24</xdr:col>
      <xdr:colOff>28745</xdr:colOff>
      <xdr:row>10</xdr:row>
      <xdr:rowOff>230705</xdr:rowOff>
    </xdr:from>
    <xdr:to>
      <xdr:col>25</xdr:col>
      <xdr:colOff>13804</xdr:colOff>
      <xdr:row>10</xdr:row>
      <xdr:rowOff>230705</xdr:rowOff>
    </xdr:to>
    <xdr:cxnSp macro="">
      <xdr:nvCxnSpPr>
        <xdr:cNvPr id="17" name="Straight Connector 16">
          <a:extLst>
            <a:ext uri="{FF2B5EF4-FFF2-40B4-BE49-F238E27FC236}">
              <a16:creationId xmlns:a16="http://schemas.microsoft.com/office/drawing/2014/main" id="{D3880B98-A323-4695-A97C-3505C4714A47}"/>
            </a:ext>
          </a:extLst>
        </xdr:cNvPr>
        <xdr:cNvCxnSpPr/>
      </xdr:nvCxnSpPr>
      <xdr:spPr>
        <a:xfrm>
          <a:off x="15744995" y="2250005"/>
          <a:ext cx="823259"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22114</xdr:colOff>
      <xdr:row>10</xdr:row>
      <xdr:rowOff>228322</xdr:rowOff>
    </xdr:from>
    <xdr:to>
      <xdr:col>27</xdr:col>
      <xdr:colOff>4379</xdr:colOff>
      <xdr:row>10</xdr:row>
      <xdr:rowOff>228322</xdr:rowOff>
    </xdr:to>
    <xdr:cxnSp macro="">
      <xdr:nvCxnSpPr>
        <xdr:cNvPr id="18" name="Straight Connector 17">
          <a:extLst>
            <a:ext uri="{FF2B5EF4-FFF2-40B4-BE49-F238E27FC236}">
              <a16:creationId xmlns:a16="http://schemas.microsoft.com/office/drawing/2014/main" id="{C77673C3-A68F-4B79-A3C0-2505A9AA2196}"/>
            </a:ext>
          </a:extLst>
        </xdr:cNvPr>
        <xdr:cNvCxnSpPr/>
      </xdr:nvCxnSpPr>
      <xdr:spPr>
        <a:xfrm>
          <a:off x="16767064" y="2247622"/>
          <a:ext cx="820465"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27</xdr:col>
      <xdr:colOff>22114</xdr:colOff>
      <xdr:row>10</xdr:row>
      <xdr:rowOff>228322</xdr:rowOff>
    </xdr:from>
    <xdr:to>
      <xdr:col>28</xdr:col>
      <xdr:colOff>0</xdr:colOff>
      <xdr:row>10</xdr:row>
      <xdr:rowOff>228322</xdr:rowOff>
    </xdr:to>
    <xdr:cxnSp macro="">
      <xdr:nvCxnSpPr>
        <xdr:cNvPr id="19" name="Straight Connector 18">
          <a:extLst>
            <a:ext uri="{FF2B5EF4-FFF2-40B4-BE49-F238E27FC236}">
              <a16:creationId xmlns:a16="http://schemas.microsoft.com/office/drawing/2014/main" id="{5863ECCF-D8A9-42F4-B548-A9B3B9871980}"/>
            </a:ext>
          </a:extLst>
        </xdr:cNvPr>
        <xdr:cNvCxnSpPr/>
      </xdr:nvCxnSpPr>
      <xdr:spPr>
        <a:xfrm>
          <a:off x="17605264" y="2247622"/>
          <a:ext cx="816086"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29</xdr:col>
      <xdr:colOff>68036</xdr:colOff>
      <xdr:row>10</xdr:row>
      <xdr:rowOff>228956</xdr:rowOff>
    </xdr:from>
    <xdr:to>
      <xdr:col>29</xdr:col>
      <xdr:colOff>911087</xdr:colOff>
      <xdr:row>10</xdr:row>
      <xdr:rowOff>228956</xdr:rowOff>
    </xdr:to>
    <xdr:cxnSp macro="">
      <xdr:nvCxnSpPr>
        <xdr:cNvPr id="20" name="Straight Connector 19">
          <a:extLst>
            <a:ext uri="{FF2B5EF4-FFF2-40B4-BE49-F238E27FC236}">
              <a16:creationId xmlns:a16="http://schemas.microsoft.com/office/drawing/2014/main" id="{605D9D81-E353-452E-B93B-F8821DB938CD}"/>
            </a:ext>
          </a:extLst>
        </xdr:cNvPr>
        <xdr:cNvCxnSpPr/>
      </xdr:nvCxnSpPr>
      <xdr:spPr>
        <a:xfrm>
          <a:off x="18533836" y="2248256"/>
          <a:ext cx="843051"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32</xdr:col>
      <xdr:colOff>36851</xdr:colOff>
      <xdr:row>10</xdr:row>
      <xdr:rowOff>228322</xdr:rowOff>
    </xdr:from>
    <xdr:to>
      <xdr:col>32</xdr:col>
      <xdr:colOff>745435</xdr:colOff>
      <xdr:row>10</xdr:row>
      <xdr:rowOff>228322</xdr:rowOff>
    </xdr:to>
    <xdr:cxnSp macro="">
      <xdr:nvCxnSpPr>
        <xdr:cNvPr id="21" name="Straight Connector 20">
          <a:extLst>
            <a:ext uri="{FF2B5EF4-FFF2-40B4-BE49-F238E27FC236}">
              <a16:creationId xmlns:a16="http://schemas.microsoft.com/office/drawing/2014/main" id="{3E79F859-219D-46C5-9474-A0F74D267B95}"/>
            </a:ext>
          </a:extLst>
        </xdr:cNvPr>
        <xdr:cNvCxnSpPr/>
      </xdr:nvCxnSpPr>
      <xdr:spPr>
        <a:xfrm>
          <a:off x="20356851" y="2247622"/>
          <a:ext cx="708584"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31128</xdr:colOff>
      <xdr:row>10</xdr:row>
      <xdr:rowOff>227107</xdr:rowOff>
    </xdr:from>
    <xdr:to>
      <xdr:col>7</xdr:col>
      <xdr:colOff>664953</xdr:colOff>
      <xdr:row>10</xdr:row>
      <xdr:rowOff>227107</xdr:rowOff>
    </xdr:to>
    <xdr:cxnSp macro="">
      <xdr:nvCxnSpPr>
        <xdr:cNvPr id="22" name="Straight Connector 21">
          <a:extLst>
            <a:ext uri="{FF2B5EF4-FFF2-40B4-BE49-F238E27FC236}">
              <a16:creationId xmlns:a16="http://schemas.microsoft.com/office/drawing/2014/main" id="{B58E00D5-8D50-4CB0-85B8-8B5980E072FA}"/>
            </a:ext>
          </a:extLst>
        </xdr:cNvPr>
        <xdr:cNvCxnSpPr/>
      </xdr:nvCxnSpPr>
      <xdr:spPr>
        <a:xfrm>
          <a:off x="3568078" y="2246407"/>
          <a:ext cx="633825"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31128</xdr:colOff>
      <xdr:row>10</xdr:row>
      <xdr:rowOff>227107</xdr:rowOff>
    </xdr:from>
    <xdr:to>
      <xdr:col>8</xdr:col>
      <xdr:colOff>760802</xdr:colOff>
      <xdr:row>10</xdr:row>
      <xdr:rowOff>227107</xdr:rowOff>
    </xdr:to>
    <xdr:cxnSp macro="">
      <xdr:nvCxnSpPr>
        <xdr:cNvPr id="23" name="Straight Connector 22">
          <a:extLst>
            <a:ext uri="{FF2B5EF4-FFF2-40B4-BE49-F238E27FC236}">
              <a16:creationId xmlns:a16="http://schemas.microsoft.com/office/drawing/2014/main" id="{831CB47D-A98D-464E-B7D6-CAC3BA33474C}"/>
            </a:ext>
          </a:extLst>
        </xdr:cNvPr>
        <xdr:cNvCxnSpPr/>
      </xdr:nvCxnSpPr>
      <xdr:spPr>
        <a:xfrm>
          <a:off x="4247528" y="2246407"/>
          <a:ext cx="729674"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5337</xdr:colOff>
      <xdr:row>7</xdr:row>
      <xdr:rowOff>154748</xdr:rowOff>
    </xdr:from>
    <xdr:to>
      <xdr:col>8</xdr:col>
      <xdr:colOff>606778</xdr:colOff>
      <xdr:row>7</xdr:row>
      <xdr:rowOff>158750</xdr:rowOff>
    </xdr:to>
    <xdr:cxnSp macro="">
      <xdr:nvCxnSpPr>
        <xdr:cNvPr id="24" name="Straight Connector 23">
          <a:extLst>
            <a:ext uri="{FF2B5EF4-FFF2-40B4-BE49-F238E27FC236}">
              <a16:creationId xmlns:a16="http://schemas.microsoft.com/office/drawing/2014/main" id="{8CA625E5-DDD2-4867-B04A-6A438D608A72}"/>
            </a:ext>
          </a:extLst>
        </xdr:cNvPr>
        <xdr:cNvCxnSpPr/>
      </xdr:nvCxnSpPr>
      <xdr:spPr>
        <a:xfrm flipH="1" flipV="1">
          <a:off x="494287" y="1456498"/>
          <a:ext cx="4328891" cy="4002"/>
        </a:xfrm>
        <a:prstGeom prst="line">
          <a:avLst/>
        </a:prstGeom>
        <a:ln w="12700">
          <a:solidFill>
            <a:schemeClr val="bg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5337</xdr:colOff>
      <xdr:row>7</xdr:row>
      <xdr:rowOff>154748</xdr:rowOff>
    </xdr:from>
    <xdr:to>
      <xdr:col>12</xdr:col>
      <xdr:colOff>11869</xdr:colOff>
      <xdr:row>7</xdr:row>
      <xdr:rowOff>154748</xdr:rowOff>
    </xdr:to>
    <xdr:cxnSp macro="">
      <xdr:nvCxnSpPr>
        <xdr:cNvPr id="25" name="Straight Connector 24">
          <a:extLst>
            <a:ext uri="{FF2B5EF4-FFF2-40B4-BE49-F238E27FC236}">
              <a16:creationId xmlns:a16="http://schemas.microsoft.com/office/drawing/2014/main" id="{B4AEBAA0-AC16-428E-981B-99B4E473A8A5}"/>
            </a:ext>
          </a:extLst>
        </xdr:cNvPr>
        <xdr:cNvCxnSpPr/>
      </xdr:nvCxnSpPr>
      <xdr:spPr>
        <a:xfrm flipH="1">
          <a:off x="5098037" y="1456498"/>
          <a:ext cx="2102032" cy="0"/>
        </a:xfrm>
        <a:prstGeom prst="line">
          <a:avLst/>
        </a:prstGeom>
        <a:ln w="12700">
          <a:solidFill>
            <a:schemeClr val="bg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5337</xdr:colOff>
      <xdr:row>7</xdr:row>
      <xdr:rowOff>154748</xdr:rowOff>
    </xdr:from>
    <xdr:to>
      <xdr:col>15</xdr:col>
      <xdr:colOff>11869</xdr:colOff>
      <xdr:row>7</xdr:row>
      <xdr:rowOff>154748</xdr:rowOff>
    </xdr:to>
    <xdr:cxnSp macro="">
      <xdr:nvCxnSpPr>
        <xdr:cNvPr id="26" name="Straight Connector 25">
          <a:extLst>
            <a:ext uri="{FF2B5EF4-FFF2-40B4-BE49-F238E27FC236}">
              <a16:creationId xmlns:a16="http://schemas.microsoft.com/office/drawing/2014/main" id="{6027E3CA-45B8-4D26-BB39-BE49DD86DECF}"/>
            </a:ext>
          </a:extLst>
        </xdr:cNvPr>
        <xdr:cNvCxnSpPr/>
      </xdr:nvCxnSpPr>
      <xdr:spPr>
        <a:xfrm flipH="1">
          <a:off x="7244337" y="1456498"/>
          <a:ext cx="2102032" cy="0"/>
        </a:xfrm>
        <a:prstGeom prst="line">
          <a:avLst/>
        </a:prstGeom>
        <a:ln w="12700">
          <a:solidFill>
            <a:schemeClr val="bg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5337</xdr:colOff>
      <xdr:row>7</xdr:row>
      <xdr:rowOff>154748</xdr:rowOff>
    </xdr:from>
    <xdr:to>
      <xdr:col>16</xdr:col>
      <xdr:colOff>0</xdr:colOff>
      <xdr:row>7</xdr:row>
      <xdr:rowOff>154748</xdr:rowOff>
    </xdr:to>
    <xdr:cxnSp macro="">
      <xdr:nvCxnSpPr>
        <xdr:cNvPr id="27" name="Straight Connector 26">
          <a:extLst>
            <a:ext uri="{FF2B5EF4-FFF2-40B4-BE49-F238E27FC236}">
              <a16:creationId xmlns:a16="http://schemas.microsoft.com/office/drawing/2014/main" id="{2EDD0CD8-CB91-4528-BA2F-956CFA7197AC}"/>
            </a:ext>
          </a:extLst>
        </xdr:cNvPr>
        <xdr:cNvCxnSpPr/>
      </xdr:nvCxnSpPr>
      <xdr:spPr>
        <a:xfrm flipH="1">
          <a:off x="9339837" y="1456498"/>
          <a:ext cx="902713" cy="0"/>
        </a:xfrm>
        <a:prstGeom prst="line">
          <a:avLst/>
        </a:prstGeom>
        <a:ln w="12700">
          <a:solidFill>
            <a:schemeClr val="bg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5337</xdr:colOff>
      <xdr:row>7</xdr:row>
      <xdr:rowOff>154748</xdr:rowOff>
    </xdr:from>
    <xdr:to>
      <xdr:col>19</xdr:col>
      <xdr:colOff>11869</xdr:colOff>
      <xdr:row>7</xdr:row>
      <xdr:rowOff>154748</xdr:rowOff>
    </xdr:to>
    <xdr:cxnSp macro="">
      <xdr:nvCxnSpPr>
        <xdr:cNvPr id="28" name="Straight Connector 27">
          <a:extLst>
            <a:ext uri="{FF2B5EF4-FFF2-40B4-BE49-F238E27FC236}">
              <a16:creationId xmlns:a16="http://schemas.microsoft.com/office/drawing/2014/main" id="{F8F47C2F-B59E-4070-A958-76A61035E55A}"/>
            </a:ext>
          </a:extLst>
        </xdr:cNvPr>
        <xdr:cNvCxnSpPr/>
      </xdr:nvCxnSpPr>
      <xdr:spPr>
        <a:xfrm flipH="1">
          <a:off x="10438387" y="1456498"/>
          <a:ext cx="1682932" cy="0"/>
        </a:xfrm>
        <a:prstGeom prst="line">
          <a:avLst/>
        </a:prstGeom>
        <a:ln w="12700">
          <a:solidFill>
            <a:schemeClr val="bg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5337</xdr:colOff>
      <xdr:row>7</xdr:row>
      <xdr:rowOff>154748</xdr:rowOff>
    </xdr:from>
    <xdr:to>
      <xdr:col>20</xdr:col>
      <xdr:colOff>0</xdr:colOff>
      <xdr:row>7</xdr:row>
      <xdr:rowOff>154748</xdr:rowOff>
    </xdr:to>
    <xdr:cxnSp macro="">
      <xdr:nvCxnSpPr>
        <xdr:cNvPr id="29" name="Straight Connector 28">
          <a:extLst>
            <a:ext uri="{FF2B5EF4-FFF2-40B4-BE49-F238E27FC236}">
              <a16:creationId xmlns:a16="http://schemas.microsoft.com/office/drawing/2014/main" id="{2133F1B1-B2C5-4C6B-A205-ED39C32A7111}"/>
            </a:ext>
          </a:extLst>
        </xdr:cNvPr>
        <xdr:cNvCxnSpPr/>
      </xdr:nvCxnSpPr>
      <xdr:spPr>
        <a:xfrm flipH="1">
          <a:off x="12114787" y="1456498"/>
          <a:ext cx="737613" cy="0"/>
        </a:xfrm>
        <a:prstGeom prst="line">
          <a:avLst/>
        </a:prstGeom>
        <a:ln w="12700">
          <a:solidFill>
            <a:schemeClr val="bg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5337</xdr:colOff>
      <xdr:row>7</xdr:row>
      <xdr:rowOff>154748</xdr:rowOff>
    </xdr:from>
    <xdr:to>
      <xdr:col>23</xdr:col>
      <xdr:colOff>11869</xdr:colOff>
      <xdr:row>7</xdr:row>
      <xdr:rowOff>154748</xdr:rowOff>
    </xdr:to>
    <xdr:cxnSp macro="">
      <xdr:nvCxnSpPr>
        <xdr:cNvPr id="30" name="Straight Connector 29">
          <a:extLst>
            <a:ext uri="{FF2B5EF4-FFF2-40B4-BE49-F238E27FC236}">
              <a16:creationId xmlns:a16="http://schemas.microsoft.com/office/drawing/2014/main" id="{4AF997FD-5438-492A-84CD-0FC27F76FE51}"/>
            </a:ext>
          </a:extLst>
        </xdr:cNvPr>
        <xdr:cNvCxnSpPr/>
      </xdr:nvCxnSpPr>
      <xdr:spPr>
        <a:xfrm flipH="1">
          <a:off x="13048237" y="1456498"/>
          <a:ext cx="1784532" cy="0"/>
        </a:xfrm>
        <a:prstGeom prst="line">
          <a:avLst/>
        </a:prstGeom>
        <a:ln w="12700">
          <a:solidFill>
            <a:schemeClr val="bg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5337</xdr:colOff>
      <xdr:row>7</xdr:row>
      <xdr:rowOff>154748</xdr:rowOff>
    </xdr:from>
    <xdr:to>
      <xdr:col>25</xdr:col>
      <xdr:colOff>5336</xdr:colOff>
      <xdr:row>7</xdr:row>
      <xdr:rowOff>154748</xdr:rowOff>
    </xdr:to>
    <xdr:cxnSp macro="">
      <xdr:nvCxnSpPr>
        <xdr:cNvPr id="31" name="Straight Connector 30">
          <a:extLst>
            <a:ext uri="{FF2B5EF4-FFF2-40B4-BE49-F238E27FC236}">
              <a16:creationId xmlns:a16="http://schemas.microsoft.com/office/drawing/2014/main" id="{5184C1C6-C19C-4BE9-9B85-7FED106985C2}"/>
            </a:ext>
          </a:extLst>
        </xdr:cNvPr>
        <xdr:cNvCxnSpPr/>
      </xdr:nvCxnSpPr>
      <xdr:spPr>
        <a:xfrm flipH="1">
          <a:off x="14826237" y="1456498"/>
          <a:ext cx="1733549" cy="0"/>
        </a:xfrm>
        <a:prstGeom prst="line">
          <a:avLst/>
        </a:prstGeom>
        <a:ln w="12700">
          <a:solidFill>
            <a:schemeClr val="bg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5337</xdr:colOff>
      <xdr:row>7</xdr:row>
      <xdr:rowOff>154748</xdr:rowOff>
    </xdr:from>
    <xdr:to>
      <xdr:col>28</xdr:col>
      <xdr:colOff>8505</xdr:colOff>
      <xdr:row>7</xdr:row>
      <xdr:rowOff>154748</xdr:rowOff>
    </xdr:to>
    <xdr:cxnSp macro="">
      <xdr:nvCxnSpPr>
        <xdr:cNvPr id="32" name="Straight Connector 31">
          <a:extLst>
            <a:ext uri="{FF2B5EF4-FFF2-40B4-BE49-F238E27FC236}">
              <a16:creationId xmlns:a16="http://schemas.microsoft.com/office/drawing/2014/main" id="{38C3D4A5-B6FE-402B-99D2-DAAD30F1C774}"/>
            </a:ext>
          </a:extLst>
        </xdr:cNvPr>
        <xdr:cNvCxnSpPr/>
      </xdr:nvCxnSpPr>
      <xdr:spPr>
        <a:xfrm flipH="1">
          <a:off x="16750287" y="1456498"/>
          <a:ext cx="1679568" cy="0"/>
        </a:xfrm>
        <a:prstGeom prst="line">
          <a:avLst/>
        </a:prstGeom>
        <a:ln w="12700">
          <a:solidFill>
            <a:schemeClr val="bg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30</xdr:col>
      <xdr:colOff>68036</xdr:colOff>
      <xdr:row>10</xdr:row>
      <xdr:rowOff>228956</xdr:rowOff>
    </xdr:from>
    <xdr:to>
      <xdr:col>30</xdr:col>
      <xdr:colOff>1197658</xdr:colOff>
      <xdr:row>10</xdr:row>
      <xdr:rowOff>228956</xdr:rowOff>
    </xdr:to>
    <xdr:cxnSp macro="">
      <xdr:nvCxnSpPr>
        <xdr:cNvPr id="33" name="Straight Connector 32">
          <a:extLst>
            <a:ext uri="{FF2B5EF4-FFF2-40B4-BE49-F238E27FC236}">
              <a16:creationId xmlns:a16="http://schemas.microsoft.com/office/drawing/2014/main" id="{55D43193-A93A-4C44-94F8-301B50FCAA34}"/>
            </a:ext>
          </a:extLst>
        </xdr:cNvPr>
        <xdr:cNvCxnSpPr/>
      </xdr:nvCxnSpPr>
      <xdr:spPr>
        <a:xfrm>
          <a:off x="19511736" y="2248256"/>
          <a:ext cx="754972"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33</xdr:col>
      <xdr:colOff>36851</xdr:colOff>
      <xdr:row>10</xdr:row>
      <xdr:rowOff>228322</xdr:rowOff>
    </xdr:from>
    <xdr:to>
      <xdr:col>33</xdr:col>
      <xdr:colOff>928077</xdr:colOff>
      <xdr:row>10</xdr:row>
      <xdr:rowOff>228322</xdr:rowOff>
    </xdr:to>
    <xdr:cxnSp macro="">
      <xdr:nvCxnSpPr>
        <xdr:cNvPr id="34" name="Straight Connector 33">
          <a:extLst>
            <a:ext uri="{FF2B5EF4-FFF2-40B4-BE49-F238E27FC236}">
              <a16:creationId xmlns:a16="http://schemas.microsoft.com/office/drawing/2014/main" id="{4A5A43F9-4854-4E35-B099-C006503C2969}"/>
            </a:ext>
          </a:extLst>
        </xdr:cNvPr>
        <xdr:cNvCxnSpPr/>
      </xdr:nvCxnSpPr>
      <xdr:spPr>
        <a:xfrm>
          <a:off x="21188701" y="2247622"/>
          <a:ext cx="891226"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29</xdr:col>
      <xdr:colOff>5337</xdr:colOff>
      <xdr:row>7</xdr:row>
      <xdr:rowOff>154748</xdr:rowOff>
    </xdr:from>
    <xdr:to>
      <xdr:col>31</xdr:col>
      <xdr:colOff>8505</xdr:colOff>
      <xdr:row>7</xdr:row>
      <xdr:rowOff>154748</xdr:rowOff>
    </xdr:to>
    <xdr:cxnSp macro="">
      <xdr:nvCxnSpPr>
        <xdr:cNvPr id="35" name="Straight Connector 34">
          <a:extLst>
            <a:ext uri="{FF2B5EF4-FFF2-40B4-BE49-F238E27FC236}">
              <a16:creationId xmlns:a16="http://schemas.microsoft.com/office/drawing/2014/main" id="{3999DCF6-8A2F-4B32-9CAB-B2D2AAC2DCDE}"/>
            </a:ext>
          </a:extLst>
        </xdr:cNvPr>
        <xdr:cNvCxnSpPr/>
      </xdr:nvCxnSpPr>
      <xdr:spPr>
        <a:xfrm flipH="1">
          <a:off x="18471137" y="1456498"/>
          <a:ext cx="1806568" cy="0"/>
        </a:xfrm>
        <a:prstGeom prst="line">
          <a:avLst/>
        </a:prstGeom>
        <a:ln w="12700">
          <a:solidFill>
            <a:schemeClr val="bg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32</xdr:col>
      <xdr:colOff>5337</xdr:colOff>
      <xdr:row>7</xdr:row>
      <xdr:rowOff>154748</xdr:rowOff>
    </xdr:from>
    <xdr:to>
      <xdr:col>34</xdr:col>
      <xdr:colOff>8505</xdr:colOff>
      <xdr:row>7</xdr:row>
      <xdr:rowOff>154748</xdr:rowOff>
    </xdr:to>
    <xdr:cxnSp macro="">
      <xdr:nvCxnSpPr>
        <xdr:cNvPr id="36" name="Straight Connector 35">
          <a:extLst>
            <a:ext uri="{FF2B5EF4-FFF2-40B4-BE49-F238E27FC236}">
              <a16:creationId xmlns:a16="http://schemas.microsoft.com/office/drawing/2014/main" id="{C967E5ED-5F0C-46B5-805B-7426E143A106}"/>
            </a:ext>
          </a:extLst>
        </xdr:cNvPr>
        <xdr:cNvCxnSpPr/>
      </xdr:nvCxnSpPr>
      <xdr:spPr>
        <a:xfrm flipH="1">
          <a:off x="20325337" y="1456498"/>
          <a:ext cx="1825618" cy="0"/>
        </a:xfrm>
        <a:prstGeom prst="line">
          <a:avLst/>
        </a:prstGeom>
        <a:ln w="12700">
          <a:solidFill>
            <a:schemeClr val="bg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0</xdr:col>
      <xdr:colOff>609744</xdr:colOff>
      <xdr:row>37</xdr:row>
      <xdr:rowOff>205735</xdr:rowOff>
    </xdr:from>
    <xdr:to>
      <xdr:col>33</xdr:col>
      <xdr:colOff>599723</xdr:colOff>
      <xdr:row>37</xdr:row>
      <xdr:rowOff>205735</xdr:rowOff>
    </xdr:to>
    <xdr:cxnSp macro="">
      <xdr:nvCxnSpPr>
        <xdr:cNvPr id="37" name="Straight Connector 36">
          <a:extLst>
            <a:ext uri="{FF2B5EF4-FFF2-40B4-BE49-F238E27FC236}">
              <a16:creationId xmlns:a16="http://schemas.microsoft.com/office/drawing/2014/main" id="{8F4A19A1-BB3C-42C1-B502-7362BB48393A}"/>
            </a:ext>
          </a:extLst>
        </xdr:cNvPr>
        <xdr:cNvCxnSpPr/>
      </xdr:nvCxnSpPr>
      <xdr:spPr>
        <a:xfrm flipH="1">
          <a:off x="489094" y="8422635"/>
          <a:ext cx="21262479" cy="0"/>
        </a:xfrm>
        <a:prstGeom prst="line">
          <a:avLst/>
        </a:prstGeom>
        <a:ln w="12700">
          <a:solidFill>
            <a:schemeClr val="bg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0</xdr:col>
      <xdr:colOff>489094</xdr:colOff>
      <xdr:row>24</xdr:row>
      <xdr:rowOff>205735</xdr:rowOff>
    </xdr:from>
    <xdr:to>
      <xdr:col>33</xdr:col>
      <xdr:colOff>599723</xdr:colOff>
      <xdr:row>24</xdr:row>
      <xdr:rowOff>205735</xdr:rowOff>
    </xdr:to>
    <xdr:cxnSp macro="">
      <xdr:nvCxnSpPr>
        <xdr:cNvPr id="38" name="Straight Connector 37">
          <a:extLst>
            <a:ext uri="{FF2B5EF4-FFF2-40B4-BE49-F238E27FC236}">
              <a16:creationId xmlns:a16="http://schemas.microsoft.com/office/drawing/2014/main" id="{73707DA7-3937-4BB9-8A59-A9A2D7FE3499}"/>
            </a:ext>
          </a:extLst>
        </xdr:cNvPr>
        <xdr:cNvCxnSpPr/>
      </xdr:nvCxnSpPr>
      <xdr:spPr>
        <a:xfrm flipH="1">
          <a:off x="489094" y="5342885"/>
          <a:ext cx="21262479" cy="0"/>
        </a:xfrm>
        <a:prstGeom prst="line">
          <a:avLst/>
        </a:prstGeom>
        <a:ln w="12700">
          <a:solidFill>
            <a:schemeClr val="bg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0</xdr:colOff>
      <xdr:row>14</xdr:row>
      <xdr:rowOff>205735</xdr:rowOff>
    </xdr:from>
    <xdr:to>
      <xdr:col>33</xdr:col>
      <xdr:colOff>599723</xdr:colOff>
      <xdr:row>14</xdr:row>
      <xdr:rowOff>205735</xdr:rowOff>
    </xdr:to>
    <xdr:cxnSp macro="">
      <xdr:nvCxnSpPr>
        <xdr:cNvPr id="39" name="Straight Connector 38">
          <a:extLst>
            <a:ext uri="{FF2B5EF4-FFF2-40B4-BE49-F238E27FC236}">
              <a16:creationId xmlns:a16="http://schemas.microsoft.com/office/drawing/2014/main" id="{5EED33AF-922D-4814-8D8D-1DDE059E7E08}"/>
            </a:ext>
          </a:extLst>
        </xdr:cNvPr>
        <xdr:cNvCxnSpPr/>
      </xdr:nvCxnSpPr>
      <xdr:spPr>
        <a:xfrm flipH="1">
          <a:off x="492672" y="2975649"/>
          <a:ext cx="21806534" cy="0"/>
        </a:xfrm>
        <a:prstGeom prst="line">
          <a:avLst/>
        </a:prstGeom>
        <a:ln w="12700">
          <a:solidFill>
            <a:schemeClr val="bg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47585</xdr:colOff>
      <xdr:row>35</xdr:row>
      <xdr:rowOff>17087</xdr:rowOff>
    </xdr:from>
    <xdr:to>
      <xdr:col>2</xdr:col>
      <xdr:colOff>231516</xdr:colOff>
      <xdr:row>36</xdr:row>
      <xdr:rowOff>3308</xdr:rowOff>
    </xdr:to>
    <xdr:sp macro="" textlink="">
      <xdr:nvSpPr>
        <xdr:cNvPr id="40" name="Oval 39">
          <a:extLst>
            <a:ext uri="{FF2B5EF4-FFF2-40B4-BE49-F238E27FC236}">
              <a16:creationId xmlns:a16="http://schemas.microsoft.com/office/drawing/2014/main" id="{959DB0E5-3F74-4789-8348-7F2C46664A82}"/>
            </a:ext>
          </a:extLst>
        </xdr:cNvPr>
        <xdr:cNvSpPr/>
      </xdr:nvSpPr>
      <xdr:spPr>
        <a:xfrm>
          <a:off x="536535" y="7764087"/>
          <a:ext cx="183931" cy="221171"/>
        </a:xfrm>
        <a:prstGeom prst="ellipse">
          <a:avLst/>
        </a:prstGeom>
        <a:solidFill>
          <a:srgbClr val="6EA09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395099</xdr:colOff>
      <xdr:row>34</xdr:row>
      <xdr:rowOff>2935</xdr:rowOff>
    </xdr:from>
    <xdr:to>
      <xdr:col>3</xdr:col>
      <xdr:colOff>581970</xdr:colOff>
      <xdr:row>35</xdr:row>
      <xdr:rowOff>9615</xdr:rowOff>
    </xdr:to>
    <xdr:sp macro="" textlink="">
      <xdr:nvSpPr>
        <xdr:cNvPr id="41" name="Oval 40">
          <a:extLst>
            <a:ext uri="{FF2B5EF4-FFF2-40B4-BE49-F238E27FC236}">
              <a16:creationId xmlns:a16="http://schemas.microsoft.com/office/drawing/2014/main" id="{D767D853-7E47-4D10-A984-C8133BCE6CCE}"/>
            </a:ext>
          </a:extLst>
        </xdr:cNvPr>
        <xdr:cNvSpPr/>
      </xdr:nvSpPr>
      <xdr:spPr>
        <a:xfrm>
          <a:off x="1493649" y="7514985"/>
          <a:ext cx="186871" cy="241630"/>
        </a:xfrm>
        <a:prstGeom prst="ellipse">
          <a:avLst/>
        </a:prstGeom>
        <a:solidFill>
          <a:srgbClr val="EDC877"/>
        </a:solidFill>
        <a:ln>
          <a:solidFill>
            <a:srgbClr val="EDC877"/>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422837</xdr:colOff>
      <xdr:row>35</xdr:row>
      <xdr:rowOff>10380</xdr:rowOff>
    </xdr:from>
    <xdr:to>
      <xdr:col>5</xdr:col>
      <xdr:colOff>601974</xdr:colOff>
      <xdr:row>36</xdr:row>
      <xdr:rowOff>3069</xdr:rowOff>
    </xdr:to>
    <xdr:sp macro="" textlink="">
      <xdr:nvSpPr>
        <xdr:cNvPr id="42" name="Oval 41">
          <a:extLst>
            <a:ext uri="{FF2B5EF4-FFF2-40B4-BE49-F238E27FC236}">
              <a16:creationId xmlns:a16="http://schemas.microsoft.com/office/drawing/2014/main" id="{7C35DD09-931F-46F7-A850-821885ABE98A}"/>
            </a:ext>
          </a:extLst>
        </xdr:cNvPr>
        <xdr:cNvSpPr/>
      </xdr:nvSpPr>
      <xdr:spPr>
        <a:xfrm>
          <a:off x="2744945" y="7817145"/>
          <a:ext cx="179137" cy="229257"/>
        </a:xfrm>
        <a:prstGeom prst="ellipse">
          <a:avLst/>
        </a:prstGeom>
        <a:solidFill>
          <a:srgbClr val="D75B46"/>
        </a:solidFill>
        <a:ln>
          <a:solidFill>
            <a:srgbClr val="D75B46"/>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2</xdr:col>
      <xdr:colOff>23759</xdr:colOff>
      <xdr:row>10</xdr:row>
      <xdr:rowOff>169788</xdr:rowOff>
    </xdr:from>
    <xdr:to>
      <xdr:col>5</xdr:col>
      <xdr:colOff>572745</xdr:colOff>
      <xdr:row>10</xdr:row>
      <xdr:rowOff>169788</xdr:rowOff>
    </xdr:to>
    <xdr:cxnSp macro="">
      <xdr:nvCxnSpPr>
        <xdr:cNvPr id="2" name="Straight Connector 1">
          <a:extLst>
            <a:ext uri="{FF2B5EF4-FFF2-40B4-BE49-F238E27FC236}">
              <a16:creationId xmlns:a16="http://schemas.microsoft.com/office/drawing/2014/main" id="{9CBF38A0-6780-4C58-BC05-BB26416AC46A}"/>
            </a:ext>
          </a:extLst>
        </xdr:cNvPr>
        <xdr:cNvCxnSpPr/>
      </xdr:nvCxnSpPr>
      <xdr:spPr>
        <a:xfrm>
          <a:off x="633359" y="2023988"/>
          <a:ext cx="2377786"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31128</xdr:colOff>
      <xdr:row>10</xdr:row>
      <xdr:rowOff>169382</xdr:rowOff>
    </xdr:from>
    <xdr:to>
      <xdr:col>6</xdr:col>
      <xdr:colOff>597089</xdr:colOff>
      <xdr:row>10</xdr:row>
      <xdr:rowOff>169382</xdr:rowOff>
    </xdr:to>
    <xdr:cxnSp macro="">
      <xdr:nvCxnSpPr>
        <xdr:cNvPr id="3" name="Straight Connector 2">
          <a:extLst>
            <a:ext uri="{FF2B5EF4-FFF2-40B4-BE49-F238E27FC236}">
              <a16:creationId xmlns:a16="http://schemas.microsoft.com/office/drawing/2014/main" id="{DF9C8F04-587D-4ED5-973C-EC60D8F86C5E}"/>
            </a:ext>
          </a:extLst>
        </xdr:cNvPr>
        <xdr:cNvCxnSpPr/>
      </xdr:nvCxnSpPr>
      <xdr:spPr>
        <a:xfrm>
          <a:off x="3079128" y="2023582"/>
          <a:ext cx="565961"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22114</xdr:colOff>
      <xdr:row>10</xdr:row>
      <xdr:rowOff>170597</xdr:rowOff>
    </xdr:from>
    <xdr:to>
      <xdr:col>10</xdr:col>
      <xdr:colOff>588075</xdr:colOff>
      <xdr:row>10</xdr:row>
      <xdr:rowOff>170597</xdr:rowOff>
    </xdr:to>
    <xdr:cxnSp macro="">
      <xdr:nvCxnSpPr>
        <xdr:cNvPr id="4" name="Straight Connector 3">
          <a:extLst>
            <a:ext uri="{FF2B5EF4-FFF2-40B4-BE49-F238E27FC236}">
              <a16:creationId xmlns:a16="http://schemas.microsoft.com/office/drawing/2014/main" id="{0FC87A66-156F-4BEE-9EEC-C69811B4CF54}"/>
            </a:ext>
          </a:extLst>
        </xdr:cNvPr>
        <xdr:cNvCxnSpPr/>
      </xdr:nvCxnSpPr>
      <xdr:spPr>
        <a:xfrm>
          <a:off x="5235464" y="2024797"/>
          <a:ext cx="565961"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22114</xdr:colOff>
      <xdr:row>10</xdr:row>
      <xdr:rowOff>170597</xdr:rowOff>
    </xdr:from>
    <xdr:to>
      <xdr:col>11</xdr:col>
      <xdr:colOff>588075</xdr:colOff>
      <xdr:row>10</xdr:row>
      <xdr:rowOff>170597</xdr:rowOff>
    </xdr:to>
    <xdr:cxnSp macro="">
      <xdr:nvCxnSpPr>
        <xdr:cNvPr id="5" name="Straight Connector 4">
          <a:extLst>
            <a:ext uri="{FF2B5EF4-FFF2-40B4-BE49-F238E27FC236}">
              <a16:creationId xmlns:a16="http://schemas.microsoft.com/office/drawing/2014/main" id="{40370090-EF24-4234-A784-427BC26EB357}"/>
            </a:ext>
          </a:extLst>
        </xdr:cNvPr>
        <xdr:cNvCxnSpPr/>
      </xdr:nvCxnSpPr>
      <xdr:spPr>
        <a:xfrm>
          <a:off x="6048264" y="2024797"/>
          <a:ext cx="565961"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22114</xdr:colOff>
      <xdr:row>10</xdr:row>
      <xdr:rowOff>170597</xdr:rowOff>
    </xdr:from>
    <xdr:to>
      <xdr:col>13</xdr:col>
      <xdr:colOff>588075</xdr:colOff>
      <xdr:row>10</xdr:row>
      <xdr:rowOff>170597</xdr:rowOff>
    </xdr:to>
    <xdr:cxnSp macro="">
      <xdr:nvCxnSpPr>
        <xdr:cNvPr id="6" name="Straight Connector 5">
          <a:extLst>
            <a:ext uri="{FF2B5EF4-FFF2-40B4-BE49-F238E27FC236}">
              <a16:creationId xmlns:a16="http://schemas.microsoft.com/office/drawing/2014/main" id="{8ED29A17-26BD-4022-9808-838E9C48F6AC}"/>
            </a:ext>
          </a:extLst>
        </xdr:cNvPr>
        <xdr:cNvCxnSpPr/>
      </xdr:nvCxnSpPr>
      <xdr:spPr>
        <a:xfrm>
          <a:off x="6899164" y="2024797"/>
          <a:ext cx="565961"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22114</xdr:colOff>
      <xdr:row>10</xdr:row>
      <xdr:rowOff>170597</xdr:rowOff>
    </xdr:from>
    <xdr:to>
      <xdr:col>14</xdr:col>
      <xdr:colOff>588075</xdr:colOff>
      <xdr:row>10</xdr:row>
      <xdr:rowOff>170597</xdr:rowOff>
    </xdr:to>
    <xdr:cxnSp macro="">
      <xdr:nvCxnSpPr>
        <xdr:cNvPr id="7" name="Straight Connector 6">
          <a:extLst>
            <a:ext uri="{FF2B5EF4-FFF2-40B4-BE49-F238E27FC236}">
              <a16:creationId xmlns:a16="http://schemas.microsoft.com/office/drawing/2014/main" id="{F09C80D0-0DB2-49F8-9E10-0A46A07A6513}"/>
            </a:ext>
          </a:extLst>
        </xdr:cNvPr>
        <xdr:cNvCxnSpPr/>
      </xdr:nvCxnSpPr>
      <xdr:spPr>
        <a:xfrm>
          <a:off x="7623064" y="2024797"/>
          <a:ext cx="565961"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22114</xdr:colOff>
      <xdr:row>10</xdr:row>
      <xdr:rowOff>170597</xdr:rowOff>
    </xdr:from>
    <xdr:to>
      <xdr:col>15</xdr:col>
      <xdr:colOff>730250</xdr:colOff>
      <xdr:row>10</xdr:row>
      <xdr:rowOff>170597</xdr:rowOff>
    </xdr:to>
    <xdr:cxnSp macro="">
      <xdr:nvCxnSpPr>
        <xdr:cNvPr id="8" name="Straight Connector 7">
          <a:extLst>
            <a:ext uri="{FF2B5EF4-FFF2-40B4-BE49-F238E27FC236}">
              <a16:creationId xmlns:a16="http://schemas.microsoft.com/office/drawing/2014/main" id="{FD7C6E4A-45EA-4681-94E4-325FB64C2900}"/>
            </a:ext>
          </a:extLst>
        </xdr:cNvPr>
        <xdr:cNvCxnSpPr/>
      </xdr:nvCxnSpPr>
      <xdr:spPr>
        <a:xfrm>
          <a:off x="8232664" y="2024797"/>
          <a:ext cx="708136"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49519</xdr:colOff>
      <xdr:row>10</xdr:row>
      <xdr:rowOff>171231</xdr:rowOff>
    </xdr:from>
    <xdr:to>
      <xdr:col>17</xdr:col>
      <xdr:colOff>573831</xdr:colOff>
      <xdr:row>10</xdr:row>
      <xdr:rowOff>171231</xdr:rowOff>
    </xdr:to>
    <xdr:cxnSp macro="">
      <xdr:nvCxnSpPr>
        <xdr:cNvPr id="9" name="Straight Connector 8">
          <a:extLst>
            <a:ext uri="{FF2B5EF4-FFF2-40B4-BE49-F238E27FC236}">
              <a16:creationId xmlns:a16="http://schemas.microsoft.com/office/drawing/2014/main" id="{34CF15C1-20D5-4B1A-9749-FD1573821338}"/>
            </a:ext>
          </a:extLst>
        </xdr:cNvPr>
        <xdr:cNvCxnSpPr/>
      </xdr:nvCxnSpPr>
      <xdr:spPr>
        <a:xfrm>
          <a:off x="9047469" y="2025431"/>
          <a:ext cx="524312"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22114</xdr:colOff>
      <xdr:row>10</xdr:row>
      <xdr:rowOff>170597</xdr:rowOff>
    </xdr:from>
    <xdr:to>
      <xdr:col>18</xdr:col>
      <xdr:colOff>4379</xdr:colOff>
      <xdr:row>10</xdr:row>
      <xdr:rowOff>170597</xdr:rowOff>
    </xdr:to>
    <xdr:cxnSp macro="">
      <xdr:nvCxnSpPr>
        <xdr:cNvPr id="10" name="Straight Connector 9">
          <a:extLst>
            <a:ext uri="{FF2B5EF4-FFF2-40B4-BE49-F238E27FC236}">
              <a16:creationId xmlns:a16="http://schemas.microsoft.com/office/drawing/2014/main" id="{6817A2BA-E5F5-4292-B97B-CF723536E525}"/>
            </a:ext>
          </a:extLst>
        </xdr:cNvPr>
        <xdr:cNvCxnSpPr/>
      </xdr:nvCxnSpPr>
      <xdr:spPr>
        <a:xfrm>
          <a:off x="9020064" y="2024797"/>
          <a:ext cx="706165"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49519</xdr:colOff>
      <xdr:row>10</xdr:row>
      <xdr:rowOff>171231</xdr:rowOff>
    </xdr:from>
    <xdr:to>
      <xdr:col>18</xdr:col>
      <xdr:colOff>573831</xdr:colOff>
      <xdr:row>10</xdr:row>
      <xdr:rowOff>171231</xdr:rowOff>
    </xdr:to>
    <xdr:cxnSp macro="">
      <xdr:nvCxnSpPr>
        <xdr:cNvPr id="11" name="Straight Connector 10">
          <a:extLst>
            <a:ext uri="{FF2B5EF4-FFF2-40B4-BE49-F238E27FC236}">
              <a16:creationId xmlns:a16="http://schemas.microsoft.com/office/drawing/2014/main" id="{B96831C2-8E3A-4CCF-948E-3E4896A32D88}"/>
            </a:ext>
          </a:extLst>
        </xdr:cNvPr>
        <xdr:cNvCxnSpPr/>
      </xdr:nvCxnSpPr>
      <xdr:spPr>
        <a:xfrm>
          <a:off x="9771369" y="2025431"/>
          <a:ext cx="524312"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22114</xdr:colOff>
      <xdr:row>10</xdr:row>
      <xdr:rowOff>170597</xdr:rowOff>
    </xdr:from>
    <xdr:to>
      <xdr:col>19</xdr:col>
      <xdr:colOff>4379</xdr:colOff>
      <xdr:row>10</xdr:row>
      <xdr:rowOff>170597</xdr:rowOff>
    </xdr:to>
    <xdr:cxnSp macro="">
      <xdr:nvCxnSpPr>
        <xdr:cNvPr id="12" name="Straight Connector 11">
          <a:extLst>
            <a:ext uri="{FF2B5EF4-FFF2-40B4-BE49-F238E27FC236}">
              <a16:creationId xmlns:a16="http://schemas.microsoft.com/office/drawing/2014/main" id="{CF699462-9A36-4DB7-8BD0-C2B88A0C7BA5}"/>
            </a:ext>
          </a:extLst>
        </xdr:cNvPr>
        <xdr:cNvCxnSpPr/>
      </xdr:nvCxnSpPr>
      <xdr:spPr>
        <a:xfrm>
          <a:off x="9743964" y="2024797"/>
          <a:ext cx="591865"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49519</xdr:colOff>
      <xdr:row>10</xdr:row>
      <xdr:rowOff>171231</xdr:rowOff>
    </xdr:from>
    <xdr:to>
      <xdr:col>19</xdr:col>
      <xdr:colOff>573831</xdr:colOff>
      <xdr:row>10</xdr:row>
      <xdr:rowOff>171231</xdr:rowOff>
    </xdr:to>
    <xdr:cxnSp macro="">
      <xdr:nvCxnSpPr>
        <xdr:cNvPr id="13" name="Straight Connector 12">
          <a:extLst>
            <a:ext uri="{FF2B5EF4-FFF2-40B4-BE49-F238E27FC236}">
              <a16:creationId xmlns:a16="http://schemas.microsoft.com/office/drawing/2014/main" id="{1CB962A8-4B22-47A8-8A1E-DC720678BCF8}"/>
            </a:ext>
          </a:extLst>
        </xdr:cNvPr>
        <xdr:cNvCxnSpPr/>
      </xdr:nvCxnSpPr>
      <xdr:spPr>
        <a:xfrm>
          <a:off x="10380969" y="2025431"/>
          <a:ext cx="524312"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22114</xdr:colOff>
      <xdr:row>10</xdr:row>
      <xdr:rowOff>170597</xdr:rowOff>
    </xdr:from>
    <xdr:to>
      <xdr:col>19</xdr:col>
      <xdr:colOff>591207</xdr:colOff>
      <xdr:row>10</xdr:row>
      <xdr:rowOff>170597</xdr:rowOff>
    </xdr:to>
    <xdr:cxnSp macro="">
      <xdr:nvCxnSpPr>
        <xdr:cNvPr id="14" name="Straight Connector 13">
          <a:extLst>
            <a:ext uri="{FF2B5EF4-FFF2-40B4-BE49-F238E27FC236}">
              <a16:creationId xmlns:a16="http://schemas.microsoft.com/office/drawing/2014/main" id="{D248D67B-D13C-4C3D-B749-31AD1996E7BA}"/>
            </a:ext>
          </a:extLst>
        </xdr:cNvPr>
        <xdr:cNvCxnSpPr/>
      </xdr:nvCxnSpPr>
      <xdr:spPr>
        <a:xfrm>
          <a:off x="10353564" y="2024797"/>
          <a:ext cx="569093"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28745</xdr:colOff>
      <xdr:row>10</xdr:row>
      <xdr:rowOff>172980</xdr:rowOff>
    </xdr:from>
    <xdr:to>
      <xdr:col>21</xdr:col>
      <xdr:colOff>577191</xdr:colOff>
      <xdr:row>10</xdr:row>
      <xdr:rowOff>172980</xdr:rowOff>
    </xdr:to>
    <xdr:cxnSp macro="">
      <xdr:nvCxnSpPr>
        <xdr:cNvPr id="15" name="Straight Connector 14">
          <a:extLst>
            <a:ext uri="{FF2B5EF4-FFF2-40B4-BE49-F238E27FC236}">
              <a16:creationId xmlns:a16="http://schemas.microsoft.com/office/drawing/2014/main" id="{BA225727-636E-4909-82EB-A7DB80A11550}"/>
            </a:ext>
          </a:extLst>
        </xdr:cNvPr>
        <xdr:cNvCxnSpPr/>
      </xdr:nvCxnSpPr>
      <xdr:spPr>
        <a:xfrm>
          <a:off x="11026945" y="2027180"/>
          <a:ext cx="548446"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22114</xdr:colOff>
      <xdr:row>10</xdr:row>
      <xdr:rowOff>170597</xdr:rowOff>
    </xdr:from>
    <xdr:to>
      <xdr:col>22</xdr:col>
      <xdr:colOff>4379</xdr:colOff>
      <xdr:row>10</xdr:row>
      <xdr:rowOff>170597</xdr:rowOff>
    </xdr:to>
    <xdr:cxnSp macro="">
      <xdr:nvCxnSpPr>
        <xdr:cNvPr id="16" name="Straight Connector 15">
          <a:extLst>
            <a:ext uri="{FF2B5EF4-FFF2-40B4-BE49-F238E27FC236}">
              <a16:creationId xmlns:a16="http://schemas.microsoft.com/office/drawing/2014/main" id="{8D5C2024-FAD3-44BB-AC08-6F092BC54FFB}"/>
            </a:ext>
          </a:extLst>
        </xdr:cNvPr>
        <xdr:cNvCxnSpPr/>
      </xdr:nvCxnSpPr>
      <xdr:spPr>
        <a:xfrm>
          <a:off x="11020314" y="2024797"/>
          <a:ext cx="591865"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28745</xdr:colOff>
      <xdr:row>10</xdr:row>
      <xdr:rowOff>172980</xdr:rowOff>
    </xdr:from>
    <xdr:to>
      <xdr:col>22</xdr:col>
      <xdr:colOff>577191</xdr:colOff>
      <xdr:row>10</xdr:row>
      <xdr:rowOff>172980</xdr:rowOff>
    </xdr:to>
    <xdr:cxnSp macro="">
      <xdr:nvCxnSpPr>
        <xdr:cNvPr id="17" name="Straight Connector 16">
          <a:extLst>
            <a:ext uri="{FF2B5EF4-FFF2-40B4-BE49-F238E27FC236}">
              <a16:creationId xmlns:a16="http://schemas.microsoft.com/office/drawing/2014/main" id="{642B3EBF-378C-438F-B11B-768259ECB12E}"/>
            </a:ext>
          </a:extLst>
        </xdr:cNvPr>
        <xdr:cNvCxnSpPr/>
      </xdr:nvCxnSpPr>
      <xdr:spPr>
        <a:xfrm>
          <a:off x="11636545" y="2027180"/>
          <a:ext cx="548446"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22114</xdr:colOff>
      <xdr:row>10</xdr:row>
      <xdr:rowOff>170597</xdr:rowOff>
    </xdr:from>
    <xdr:to>
      <xdr:col>23</xdr:col>
      <xdr:colOff>4379</xdr:colOff>
      <xdr:row>10</xdr:row>
      <xdr:rowOff>170597</xdr:rowOff>
    </xdr:to>
    <xdr:cxnSp macro="">
      <xdr:nvCxnSpPr>
        <xdr:cNvPr id="18" name="Straight Connector 17">
          <a:extLst>
            <a:ext uri="{FF2B5EF4-FFF2-40B4-BE49-F238E27FC236}">
              <a16:creationId xmlns:a16="http://schemas.microsoft.com/office/drawing/2014/main" id="{2646D8FE-2B9D-43A7-BE07-F1A0FF702B42}"/>
            </a:ext>
          </a:extLst>
        </xdr:cNvPr>
        <xdr:cNvCxnSpPr/>
      </xdr:nvCxnSpPr>
      <xdr:spPr>
        <a:xfrm>
          <a:off x="11629914" y="2024797"/>
          <a:ext cx="591865"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28745</xdr:colOff>
      <xdr:row>10</xdr:row>
      <xdr:rowOff>172980</xdr:rowOff>
    </xdr:from>
    <xdr:to>
      <xdr:col>23</xdr:col>
      <xdr:colOff>577191</xdr:colOff>
      <xdr:row>10</xdr:row>
      <xdr:rowOff>172980</xdr:rowOff>
    </xdr:to>
    <xdr:cxnSp macro="">
      <xdr:nvCxnSpPr>
        <xdr:cNvPr id="19" name="Straight Connector 18">
          <a:extLst>
            <a:ext uri="{FF2B5EF4-FFF2-40B4-BE49-F238E27FC236}">
              <a16:creationId xmlns:a16="http://schemas.microsoft.com/office/drawing/2014/main" id="{4A324803-F07B-40B7-A197-67D999F16E11}"/>
            </a:ext>
          </a:extLst>
        </xdr:cNvPr>
        <xdr:cNvCxnSpPr/>
      </xdr:nvCxnSpPr>
      <xdr:spPr>
        <a:xfrm>
          <a:off x="12246145" y="2027180"/>
          <a:ext cx="548446"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22114</xdr:colOff>
      <xdr:row>10</xdr:row>
      <xdr:rowOff>170597</xdr:rowOff>
    </xdr:from>
    <xdr:to>
      <xdr:col>24</xdr:col>
      <xdr:colOff>4379</xdr:colOff>
      <xdr:row>10</xdr:row>
      <xdr:rowOff>170597</xdr:rowOff>
    </xdr:to>
    <xdr:cxnSp macro="">
      <xdr:nvCxnSpPr>
        <xdr:cNvPr id="20" name="Straight Connector 19">
          <a:extLst>
            <a:ext uri="{FF2B5EF4-FFF2-40B4-BE49-F238E27FC236}">
              <a16:creationId xmlns:a16="http://schemas.microsoft.com/office/drawing/2014/main" id="{4A4AD705-1001-46AF-83FF-EEDC12725132}"/>
            </a:ext>
          </a:extLst>
        </xdr:cNvPr>
        <xdr:cNvCxnSpPr/>
      </xdr:nvCxnSpPr>
      <xdr:spPr>
        <a:xfrm>
          <a:off x="12239514" y="2024797"/>
          <a:ext cx="737915"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22114</xdr:colOff>
      <xdr:row>10</xdr:row>
      <xdr:rowOff>170597</xdr:rowOff>
    </xdr:from>
    <xdr:to>
      <xdr:col>24</xdr:col>
      <xdr:colOff>4379</xdr:colOff>
      <xdr:row>10</xdr:row>
      <xdr:rowOff>170597</xdr:rowOff>
    </xdr:to>
    <xdr:cxnSp macro="">
      <xdr:nvCxnSpPr>
        <xdr:cNvPr id="21" name="Straight Connector 20">
          <a:extLst>
            <a:ext uri="{FF2B5EF4-FFF2-40B4-BE49-F238E27FC236}">
              <a16:creationId xmlns:a16="http://schemas.microsoft.com/office/drawing/2014/main" id="{78326D92-7949-4D67-BDF2-5C1091C666F4}"/>
            </a:ext>
          </a:extLst>
        </xdr:cNvPr>
        <xdr:cNvCxnSpPr/>
      </xdr:nvCxnSpPr>
      <xdr:spPr>
        <a:xfrm>
          <a:off x="12239514" y="2024797"/>
          <a:ext cx="737915"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24</xdr:col>
      <xdr:colOff>28745</xdr:colOff>
      <xdr:row>10</xdr:row>
      <xdr:rowOff>172980</xdr:rowOff>
    </xdr:from>
    <xdr:to>
      <xdr:col>24</xdr:col>
      <xdr:colOff>571735</xdr:colOff>
      <xdr:row>10</xdr:row>
      <xdr:rowOff>172980</xdr:rowOff>
    </xdr:to>
    <xdr:cxnSp macro="">
      <xdr:nvCxnSpPr>
        <xdr:cNvPr id="22" name="Straight Connector 21">
          <a:extLst>
            <a:ext uri="{FF2B5EF4-FFF2-40B4-BE49-F238E27FC236}">
              <a16:creationId xmlns:a16="http://schemas.microsoft.com/office/drawing/2014/main" id="{8DC5F09C-C040-4C2F-86B1-CE6BC0A8A384}"/>
            </a:ext>
          </a:extLst>
        </xdr:cNvPr>
        <xdr:cNvCxnSpPr/>
      </xdr:nvCxnSpPr>
      <xdr:spPr>
        <a:xfrm>
          <a:off x="13001795" y="2027180"/>
          <a:ext cx="54299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49519</xdr:colOff>
      <xdr:row>10</xdr:row>
      <xdr:rowOff>171231</xdr:rowOff>
    </xdr:from>
    <xdr:to>
      <xdr:col>26</xdr:col>
      <xdr:colOff>573831</xdr:colOff>
      <xdr:row>10</xdr:row>
      <xdr:rowOff>171231</xdr:rowOff>
    </xdr:to>
    <xdr:cxnSp macro="">
      <xdr:nvCxnSpPr>
        <xdr:cNvPr id="23" name="Straight Connector 22">
          <a:extLst>
            <a:ext uri="{FF2B5EF4-FFF2-40B4-BE49-F238E27FC236}">
              <a16:creationId xmlns:a16="http://schemas.microsoft.com/office/drawing/2014/main" id="{2707DC4A-7B3C-4C2E-838B-B80E754BCDE9}"/>
            </a:ext>
          </a:extLst>
        </xdr:cNvPr>
        <xdr:cNvCxnSpPr/>
      </xdr:nvCxnSpPr>
      <xdr:spPr>
        <a:xfrm>
          <a:off x="13727419" y="2025431"/>
          <a:ext cx="524312"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22114</xdr:colOff>
      <xdr:row>10</xdr:row>
      <xdr:rowOff>170597</xdr:rowOff>
    </xdr:from>
    <xdr:to>
      <xdr:col>27</xdr:col>
      <xdr:colOff>4379</xdr:colOff>
      <xdr:row>10</xdr:row>
      <xdr:rowOff>170597</xdr:rowOff>
    </xdr:to>
    <xdr:cxnSp macro="">
      <xdr:nvCxnSpPr>
        <xdr:cNvPr id="24" name="Straight Connector 23">
          <a:extLst>
            <a:ext uri="{FF2B5EF4-FFF2-40B4-BE49-F238E27FC236}">
              <a16:creationId xmlns:a16="http://schemas.microsoft.com/office/drawing/2014/main" id="{291226BC-A8D1-4434-84D0-4BD95DFA6E09}"/>
            </a:ext>
          </a:extLst>
        </xdr:cNvPr>
        <xdr:cNvCxnSpPr/>
      </xdr:nvCxnSpPr>
      <xdr:spPr>
        <a:xfrm>
          <a:off x="13700014" y="2024797"/>
          <a:ext cx="591865"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22114</xdr:colOff>
      <xdr:row>10</xdr:row>
      <xdr:rowOff>170597</xdr:rowOff>
    </xdr:from>
    <xdr:to>
      <xdr:col>27</xdr:col>
      <xdr:colOff>4379</xdr:colOff>
      <xdr:row>10</xdr:row>
      <xdr:rowOff>170597</xdr:rowOff>
    </xdr:to>
    <xdr:cxnSp macro="">
      <xdr:nvCxnSpPr>
        <xdr:cNvPr id="25" name="Straight Connector 24">
          <a:extLst>
            <a:ext uri="{FF2B5EF4-FFF2-40B4-BE49-F238E27FC236}">
              <a16:creationId xmlns:a16="http://schemas.microsoft.com/office/drawing/2014/main" id="{B2EB9B2A-E0B2-4DD0-9A36-34142B5EBFB1}"/>
            </a:ext>
          </a:extLst>
        </xdr:cNvPr>
        <xdr:cNvCxnSpPr/>
      </xdr:nvCxnSpPr>
      <xdr:spPr>
        <a:xfrm>
          <a:off x="13700014" y="2024797"/>
          <a:ext cx="591865"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27</xdr:col>
      <xdr:colOff>49519</xdr:colOff>
      <xdr:row>10</xdr:row>
      <xdr:rowOff>171231</xdr:rowOff>
    </xdr:from>
    <xdr:to>
      <xdr:col>27</xdr:col>
      <xdr:colOff>573831</xdr:colOff>
      <xdr:row>10</xdr:row>
      <xdr:rowOff>171231</xdr:rowOff>
    </xdr:to>
    <xdr:cxnSp macro="">
      <xdr:nvCxnSpPr>
        <xdr:cNvPr id="26" name="Straight Connector 25">
          <a:extLst>
            <a:ext uri="{FF2B5EF4-FFF2-40B4-BE49-F238E27FC236}">
              <a16:creationId xmlns:a16="http://schemas.microsoft.com/office/drawing/2014/main" id="{BDE55777-E90E-4EE7-BBDB-D24CD61EC518}"/>
            </a:ext>
          </a:extLst>
        </xdr:cNvPr>
        <xdr:cNvCxnSpPr/>
      </xdr:nvCxnSpPr>
      <xdr:spPr>
        <a:xfrm>
          <a:off x="14337019" y="2025431"/>
          <a:ext cx="524312"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27</xdr:col>
      <xdr:colOff>22114</xdr:colOff>
      <xdr:row>10</xdr:row>
      <xdr:rowOff>170597</xdr:rowOff>
    </xdr:from>
    <xdr:to>
      <xdr:col>27</xdr:col>
      <xdr:colOff>583973</xdr:colOff>
      <xdr:row>10</xdr:row>
      <xdr:rowOff>170597</xdr:rowOff>
    </xdr:to>
    <xdr:cxnSp macro="">
      <xdr:nvCxnSpPr>
        <xdr:cNvPr id="27" name="Straight Connector 26">
          <a:extLst>
            <a:ext uri="{FF2B5EF4-FFF2-40B4-BE49-F238E27FC236}">
              <a16:creationId xmlns:a16="http://schemas.microsoft.com/office/drawing/2014/main" id="{4EB5BE2B-5330-4470-B0AC-20895745B0DF}"/>
            </a:ext>
          </a:extLst>
        </xdr:cNvPr>
        <xdr:cNvCxnSpPr/>
      </xdr:nvCxnSpPr>
      <xdr:spPr>
        <a:xfrm>
          <a:off x="14309614" y="2024797"/>
          <a:ext cx="561859"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29</xdr:col>
      <xdr:colOff>68036</xdr:colOff>
      <xdr:row>10</xdr:row>
      <xdr:rowOff>171231</xdr:rowOff>
    </xdr:from>
    <xdr:to>
      <xdr:col>29</xdr:col>
      <xdr:colOff>666183</xdr:colOff>
      <xdr:row>10</xdr:row>
      <xdr:rowOff>171231</xdr:rowOff>
    </xdr:to>
    <xdr:cxnSp macro="">
      <xdr:nvCxnSpPr>
        <xdr:cNvPr id="28" name="Straight Connector 27">
          <a:extLst>
            <a:ext uri="{FF2B5EF4-FFF2-40B4-BE49-F238E27FC236}">
              <a16:creationId xmlns:a16="http://schemas.microsoft.com/office/drawing/2014/main" id="{F4423E7D-80C0-4F53-B72E-86AF244C41B0}"/>
            </a:ext>
          </a:extLst>
        </xdr:cNvPr>
        <xdr:cNvCxnSpPr/>
      </xdr:nvCxnSpPr>
      <xdr:spPr>
        <a:xfrm>
          <a:off x="15562036" y="2025431"/>
          <a:ext cx="534647"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31128</xdr:colOff>
      <xdr:row>10</xdr:row>
      <xdr:rowOff>169382</xdr:rowOff>
    </xdr:from>
    <xdr:to>
      <xdr:col>7</xdr:col>
      <xdr:colOff>597089</xdr:colOff>
      <xdr:row>10</xdr:row>
      <xdr:rowOff>169382</xdr:rowOff>
    </xdr:to>
    <xdr:cxnSp macro="">
      <xdr:nvCxnSpPr>
        <xdr:cNvPr id="29" name="Straight Connector 28">
          <a:extLst>
            <a:ext uri="{FF2B5EF4-FFF2-40B4-BE49-F238E27FC236}">
              <a16:creationId xmlns:a16="http://schemas.microsoft.com/office/drawing/2014/main" id="{E9941DB5-43A2-4918-94BE-7BA4476490AC}"/>
            </a:ext>
          </a:extLst>
        </xdr:cNvPr>
        <xdr:cNvCxnSpPr/>
      </xdr:nvCxnSpPr>
      <xdr:spPr>
        <a:xfrm>
          <a:off x="3688728" y="2023582"/>
          <a:ext cx="565961"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31128</xdr:colOff>
      <xdr:row>10</xdr:row>
      <xdr:rowOff>169382</xdr:rowOff>
    </xdr:from>
    <xdr:to>
      <xdr:col>8</xdr:col>
      <xdr:colOff>597089</xdr:colOff>
      <xdr:row>10</xdr:row>
      <xdr:rowOff>169382</xdr:rowOff>
    </xdr:to>
    <xdr:cxnSp macro="">
      <xdr:nvCxnSpPr>
        <xdr:cNvPr id="30" name="Straight Connector 29">
          <a:extLst>
            <a:ext uri="{FF2B5EF4-FFF2-40B4-BE49-F238E27FC236}">
              <a16:creationId xmlns:a16="http://schemas.microsoft.com/office/drawing/2014/main" id="{D6BC0E30-D6E5-4686-82A1-741F3684125B}"/>
            </a:ext>
          </a:extLst>
        </xdr:cNvPr>
        <xdr:cNvCxnSpPr/>
      </xdr:nvCxnSpPr>
      <xdr:spPr>
        <a:xfrm>
          <a:off x="4406278" y="2023582"/>
          <a:ext cx="565961"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30</xdr:col>
      <xdr:colOff>68036</xdr:colOff>
      <xdr:row>10</xdr:row>
      <xdr:rowOff>171231</xdr:rowOff>
    </xdr:from>
    <xdr:to>
      <xdr:col>30</xdr:col>
      <xdr:colOff>666183</xdr:colOff>
      <xdr:row>10</xdr:row>
      <xdr:rowOff>171231</xdr:rowOff>
    </xdr:to>
    <xdr:cxnSp macro="">
      <xdr:nvCxnSpPr>
        <xdr:cNvPr id="31" name="Straight Connector 30">
          <a:extLst>
            <a:ext uri="{FF2B5EF4-FFF2-40B4-BE49-F238E27FC236}">
              <a16:creationId xmlns:a16="http://schemas.microsoft.com/office/drawing/2014/main" id="{8BEF3B48-C91B-4A26-8350-FAA46112F47B}"/>
            </a:ext>
          </a:extLst>
        </xdr:cNvPr>
        <xdr:cNvCxnSpPr/>
      </xdr:nvCxnSpPr>
      <xdr:spPr>
        <a:xfrm>
          <a:off x="16165286" y="2025431"/>
          <a:ext cx="598147"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33</xdr:col>
      <xdr:colOff>49519</xdr:colOff>
      <xdr:row>10</xdr:row>
      <xdr:rowOff>171231</xdr:rowOff>
    </xdr:from>
    <xdr:to>
      <xdr:col>33</xdr:col>
      <xdr:colOff>573831</xdr:colOff>
      <xdr:row>10</xdr:row>
      <xdr:rowOff>171231</xdr:rowOff>
    </xdr:to>
    <xdr:cxnSp macro="">
      <xdr:nvCxnSpPr>
        <xdr:cNvPr id="32" name="Straight Connector 31">
          <a:extLst>
            <a:ext uri="{FF2B5EF4-FFF2-40B4-BE49-F238E27FC236}">
              <a16:creationId xmlns:a16="http://schemas.microsoft.com/office/drawing/2014/main" id="{B999BDB8-5ADF-4133-A31C-8BABF1FC7E62}"/>
            </a:ext>
          </a:extLst>
        </xdr:cNvPr>
        <xdr:cNvCxnSpPr/>
      </xdr:nvCxnSpPr>
      <xdr:spPr>
        <a:xfrm>
          <a:off x="18516600" y="2025431"/>
          <a:ext cx="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33</xdr:col>
      <xdr:colOff>36851</xdr:colOff>
      <xdr:row>10</xdr:row>
      <xdr:rowOff>170597</xdr:rowOff>
    </xdr:from>
    <xdr:to>
      <xdr:col>33</xdr:col>
      <xdr:colOff>578302</xdr:colOff>
      <xdr:row>10</xdr:row>
      <xdr:rowOff>170597</xdr:rowOff>
    </xdr:to>
    <xdr:cxnSp macro="">
      <xdr:nvCxnSpPr>
        <xdr:cNvPr id="33" name="Straight Connector 32">
          <a:extLst>
            <a:ext uri="{FF2B5EF4-FFF2-40B4-BE49-F238E27FC236}">
              <a16:creationId xmlns:a16="http://schemas.microsoft.com/office/drawing/2014/main" id="{53533019-188E-47CF-A841-B4A19A9FD5CB}"/>
            </a:ext>
          </a:extLst>
        </xdr:cNvPr>
        <xdr:cNvCxnSpPr/>
      </xdr:nvCxnSpPr>
      <xdr:spPr>
        <a:xfrm>
          <a:off x="18516600" y="2024797"/>
          <a:ext cx="0"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49519</xdr:colOff>
      <xdr:row>10</xdr:row>
      <xdr:rowOff>171231</xdr:rowOff>
    </xdr:from>
    <xdr:to>
      <xdr:col>18</xdr:col>
      <xdr:colOff>573831</xdr:colOff>
      <xdr:row>10</xdr:row>
      <xdr:rowOff>171231</xdr:rowOff>
    </xdr:to>
    <xdr:cxnSp macro="">
      <xdr:nvCxnSpPr>
        <xdr:cNvPr id="34" name="Straight Connector 33">
          <a:extLst>
            <a:ext uri="{FF2B5EF4-FFF2-40B4-BE49-F238E27FC236}">
              <a16:creationId xmlns:a16="http://schemas.microsoft.com/office/drawing/2014/main" id="{98619A7E-33AA-4E03-95D9-C5E77AB1EE43}"/>
            </a:ext>
          </a:extLst>
        </xdr:cNvPr>
        <xdr:cNvCxnSpPr/>
      </xdr:nvCxnSpPr>
      <xdr:spPr>
        <a:xfrm>
          <a:off x="9771369" y="2025431"/>
          <a:ext cx="524312"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22114</xdr:colOff>
      <xdr:row>10</xdr:row>
      <xdr:rowOff>170597</xdr:rowOff>
    </xdr:from>
    <xdr:to>
      <xdr:col>19</xdr:col>
      <xdr:colOff>4379</xdr:colOff>
      <xdr:row>10</xdr:row>
      <xdr:rowOff>170597</xdr:rowOff>
    </xdr:to>
    <xdr:cxnSp macro="">
      <xdr:nvCxnSpPr>
        <xdr:cNvPr id="35" name="Straight Connector 34">
          <a:extLst>
            <a:ext uri="{FF2B5EF4-FFF2-40B4-BE49-F238E27FC236}">
              <a16:creationId xmlns:a16="http://schemas.microsoft.com/office/drawing/2014/main" id="{04390938-5E46-4D42-85D1-73D2ABB7514A}"/>
            </a:ext>
          </a:extLst>
        </xdr:cNvPr>
        <xdr:cNvCxnSpPr/>
      </xdr:nvCxnSpPr>
      <xdr:spPr>
        <a:xfrm>
          <a:off x="9743964" y="2024797"/>
          <a:ext cx="591865"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49519</xdr:colOff>
      <xdr:row>10</xdr:row>
      <xdr:rowOff>171231</xdr:rowOff>
    </xdr:from>
    <xdr:to>
      <xdr:col>19</xdr:col>
      <xdr:colOff>573831</xdr:colOff>
      <xdr:row>10</xdr:row>
      <xdr:rowOff>171231</xdr:rowOff>
    </xdr:to>
    <xdr:cxnSp macro="">
      <xdr:nvCxnSpPr>
        <xdr:cNvPr id="36" name="Straight Connector 35">
          <a:extLst>
            <a:ext uri="{FF2B5EF4-FFF2-40B4-BE49-F238E27FC236}">
              <a16:creationId xmlns:a16="http://schemas.microsoft.com/office/drawing/2014/main" id="{16E3AEC3-C377-43DF-BEBA-F250FECDF62B}"/>
            </a:ext>
          </a:extLst>
        </xdr:cNvPr>
        <xdr:cNvCxnSpPr/>
      </xdr:nvCxnSpPr>
      <xdr:spPr>
        <a:xfrm>
          <a:off x="10380969" y="2025431"/>
          <a:ext cx="524312"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22114</xdr:colOff>
      <xdr:row>10</xdr:row>
      <xdr:rowOff>170597</xdr:rowOff>
    </xdr:from>
    <xdr:to>
      <xdr:col>20</xdr:col>
      <xdr:colOff>4379</xdr:colOff>
      <xdr:row>10</xdr:row>
      <xdr:rowOff>170597</xdr:rowOff>
    </xdr:to>
    <xdr:cxnSp macro="">
      <xdr:nvCxnSpPr>
        <xdr:cNvPr id="37" name="Straight Connector 36">
          <a:extLst>
            <a:ext uri="{FF2B5EF4-FFF2-40B4-BE49-F238E27FC236}">
              <a16:creationId xmlns:a16="http://schemas.microsoft.com/office/drawing/2014/main" id="{DDB31E52-2A8B-4AA4-91AF-1C2BD98B0331}"/>
            </a:ext>
          </a:extLst>
        </xdr:cNvPr>
        <xdr:cNvCxnSpPr/>
      </xdr:nvCxnSpPr>
      <xdr:spPr>
        <a:xfrm>
          <a:off x="10353564" y="2024797"/>
          <a:ext cx="591865"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49519</xdr:colOff>
      <xdr:row>10</xdr:row>
      <xdr:rowOff>171231</xdr:rowOff>
    </xdr:from>
    <xdr:to>
      <xdr:col>20</xdr:col>
      <xdr:colOff>573831</xdr:colOff>
      <xdr:row>10</xdr:row>
      <xdr:rowOff>171231</xdr:rowOff>
    </xdr:to>
    <xdr:cxnSp macro="">
      <xdr:nvCxnSpPr>
        <xdr:cNvPr id="38" name="Straight Connector 37">
          <a:extLst>
            <a:ext uri="{FF2B5EF4-FFF2-40B4-BE49-F238E27FC236}">
              <a16:creationId xmlns:a16="http://schemas.microsoft.com/office/drawing/2014/main" id="{F96A529B-47E7-41FE-A4EA-9EB87100307D}"/>
            </a:ext>
          </a:extLst>
        </xdr:cNvPr>
        <xdr:cNvCxnSpPr/>
      </xdr:nvCxnSpPr>
      <xdr:spPr>
        <a:xfrm>
          <a:off x="10990569" y="2025431"/>
          <a:ext cx="9962"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22114</xdr:colOff>
      <xdr:row>10</xdr:row>
      <xdr:rowOff>170597</xdr:rowOff>
    </xdr:from>
    <xdr:to>
      <xdr:col>21</xdr:col>
      <xdr:colOff>4379</xdr:colOff>
      <xdr:row>10</xdr:row>
      <xdr:rowOff>170597</xdr:rowOff>
    </xdr:to>
    <xdr:cxnSp macro="">
      <xdr:nvCxnSpPr>
        <xdr:cNvPr id="39" name="Straight Connector 38">
          <a:extLst>
            <a:ext uri="{FF2B5EF4-FFF2-40B4-BE49-F238E27FC236}">
              <a16:creationId xmlns:a16="http://schemas.microsoft.com/office/drawing/2014/main" id="{1BC7029F-CB0F-4378-80C9-974491EF46B2}"/>
            </a:ext>
          </a:extLst>
        </xdr:cNvPr>
        <xdr:cNvCxnSpPr/>
      </xdr:nvCxnSpPr>
      <xdr:spPr>
        <a:xfrm>
          <a:off x="10963164" y="2024797"/>
          <a:ext cx="39415"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28745</xdr:colOff>
      <xdr:row>10</xdr:row>
      <xdr:rowOff>172980</xdr:rowOff>
    </xdr:from>
    <xdr:to>
      <xdr:col>22</xdr:col>
      <xdr:colOff>577191</xdr:colOff>
      <xdr:row>10</xdr:row>
      <xdr:rowOff>172980</xdr:rowOff>
    </xdr:to>
    <xdr:cxnSp macro="">
      <xdr:nvCxnSpPr>
        <xdr:cNvPr id="40" name="Straight Connector 39">
          <a:extLst>
            <a:ext uri="{FF2B5EF4-FFF2-40B4-BE49-F238E27FC236}">
              <a16:creationId xmlns:a16="http://schemas.microsoft.com/office/drawing/2014/main" id="{9A860D6F-2609-4D5B-BA4A-69C4CC17F9F7}"/>
            </a:ext>
          </a:extLst>
        </xdr:cNvPr>
        <xdr:cNvCxnSpPr/>
      </xdr:nvCxnSpPr>
      <xdr:spPr>
        <a:xfrm>
          <a:off x="11636545" y="2027180"/>
          <a:ext cx="548446"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22114</xdr:colOff>
      <xdr:row>10</xdr:row>
      <xdr:rowOff>170597</xdr:rowOff>
    </xdr:from>
    <xdr:to>
      <xdr:col>23</xdr:col>
      <xdr:colOff>4379</xdr:colOff>
      <xdr:row>10</xdr:row>
      <xdr:rowOff>170597</xdr:rowOff>
    </xdr:to>
    <xdr:cxnSp macro="">
      <xdr:nvCxnSpPr>
        <xdr:cNvPr id="41" name="Straight Connector 40">
          <a:extLst>
            <a:ext uri="{FF2B5EF4-FFF2-40B4-BE49-F238E27FC236}">
              <a16:creationId xmlns:a16="http://schemas.microsoft.com/office/drawing/2014/main" id="{7299FE2F-205E-45F8-891D-2422A179075D}"/>
            </a:ext>
          </a:extLst>
        </xdr:cNvPr>
        <xdr:cNvCxnSpPr/>
      </xdr:nvCxnSpPr>
      <xdr:spPr>
        <a:xfrm>
          <a:off x="11629914" y="2024797"/>
          <a:ext cx="591865"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49519</xdr:colOff>
      <xdr:row>10</xdr:row>
      <xdr:rowOff>171231</xdr:rowOff>
    </xdr:from>
    <xdr:to>
      <xdr:col>21</xdr:col>
      <xdr:colOff>573831</xdr:colOff>
      <xdr:row>10</xdr:row>
      <xdr:rowOff>171231</xdr:rowOff>
    </xdr:to>
    <xdr:cxnSp macro="">
      <xdr:nvCxnSpPr>
        <xdr:cNvPr id="42" name="Straight Connector 41">
          <a:extLst>
            <a:ext uri="{FF2B5EF4-FFF2-40B4-BE49-F238E27FC236}">
              <a16:creationId xmlns:a16="http://schemas.microsoft.com/office/drawing/2014/main" id="{E559E265-EDCC-4202-AF12-1CDD0D63BA34}"/>
            </a:ext>
          </a:extLst>
        </xdr:cNvPr>
        <xdr:cNvCxnSpPr/>
      </xdr:nvCxnSpPr>
      <xdr:spPr>
        <a:xfrm>
          <a:off x="11047719" y="2025431"/>
          <a:ext cx="524312"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22114</xdr:colOff>
      <xdr:row>10</xdr:row>
      <xdr:rowOff>170597</xdr:rowOff>
    </xdr:from>
    <xdr:to>
      <xdr:col>22</xdr:col>
      <xdr:colOff>4379</xdr:colOff>
      <xdr:row>10</xdr:row>
      <xdr:rowOff>170597</xdr:rowOff>
    </xdr:to>
    <xdr:cxnSp macro="">
      <xdr:nvCxnSpPr>
        <xdr:cNvPr id="43" name="Straight Connector 42">
          <a:extLst>
            <a:ext uri="{FF2B5EF4-FFF2-40B4-BE49-F238E27FC236}">
              <a16:creationId xmlns:a16="http://schemas.microsoft.com/office/drawing/2014/main" id="{355DD8AB-D09A-45E6-B123-21770838BED4}"/>
            </a:ext>
          </a:extLst>
        </xdr:cNvPr>
        <xdr:cNvCxnSpPr/>
      </xdr:nvCxnSpPr>
      <xdr:spPr>
        <a:xfrm>
          <a:off x="11020314" y="2024797"/>
          <a:ext cx="591865"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28745</xdr:colOff>
      <xdr:row>10</xdr:row>
      <xdr:rowOff>172980</xdr:rowOff>
    </xdr:from>
    <xdr:to>
      <xdr:col>23</xdr:col>
      <xdr:colOff>577191</xdr:colOff>
      <xdr:row>10</xdr:row>
      <xdr:rowOff>172980</xdr:rowOff>
    </xdr:to>
    <xdr:cxnSp macro="">
      <xdr:nvCxnSpPr>
        <xdr:cNvPr id="44" name="Straight Connector 43">
          <a:extLst>
            <a:ext uri="{FF2B5EF4-FFF2-40B4-BE49-F238E27FC236}">
              <a16:creationId xmlns:a16="http://schemas.microsoft.com/office/drawing/2014/main" id="{B371A1F9-1EDB-4A7D-BA3C-D83E5000D4CA}"/>
            </a:ext>
          </a:extLst>
        </xdr:cNvPr>
        <xdr:cNvCxnSpPr/>
      </xdr:nvCxnSpPr>
      <xdr:spPr>
        <a:xfrm>
          <a:off x="12246145" y="2027180"/>
          <a:ext cx="548446"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22114</xdr:colOff>
      <xdr:row>10</xdr:row>
      <xdr:rowOff>170597</xdr:rowOff>
    </xdr:from>
    <xdr:to>
      <xdr:col>24</xdr:col>
      <xdr:colOff>4379</xdr:colOff>
      <xdr:row>10</xdr:row>
      <xdr:rowOff>170597</xdr:rowOff>
    </xdr:to>
    <xdr:cxnSp macro="">
      <xdr:nvCxnSpPr>
        <xdr:cNvPr id="45" name="Straight Connector 44">
          <a:extLst>
            <a:ext uri="{FF2B5EF4-FFF2-40B4-BE49-F238E27FC236}">
              <a16:creationId xmlns:a16="http://schemas.microsoft.com/office/drawing/2014/main" id="{F2FB4E63-3915-453B-BC58-DD1A3888D60C}"/>
            </a:ext>
          </a:extLst>
        </xdr:cNvPr>
        <xdr:cNvCxnSpPr/>
      </xdr:nvCxnSpPr>
      <xdr:spPr>
        <a:xfrm>
          <a:off x="12239514" y="2024797"/>
          <a:ext cx="737915"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49519</xdr:colOff>
      <xdr:row>10</xdr:row>
      <xdr:rowOff>171231</xdr:rowOff>
    </xdr:from>
    <xdr:to>
      <xdr:col>22</xdr:col>
      <xdr:colOff>573831</xdr:colOff>
      <xdr:row>10</xdr:row>
      <xdr:rowOff>171231</xdr:rowOff>
    </xdr:to>
    <xdr:cxnSp macro="">
      <xdr:nvCxnSpPr>
        <xdr:cNvPr id="46" name="Straight Connector 45">
          <a:extLst>
            <a:ext uri="{FF2B5EF4-FFF2-40B4-BE49-F238E27FC236}">
              <a16:creationId xmlns:a16="http://schemas.microsoft.com/office/drawing/2014/main" id="{83956915-0BE9-44AA-B567-1ACD8B6F616A}"/>
            </a:ext>
          </a:extLst>
        </xdr:cNvPr>
        <xdr:cNvCxnSpPr/>
      </xdr:nvCxnSpPr>
      <xdr:spPr>
        <a:xfrm>
          <a:off x="11657319" y="2025431"/>
          <a:ext cx="524312"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22114</xdr:colOff>
      <xdr:row>10</xdr:row>
      <xdr:rowOff>170597</xdr:rowOff>
    </xdr:from>
    <xdr:to>
      <xdr:col>23</xdr:col>
      <xdr:colOff>4379</xdr:colOff>
      <xdr:row>10</xdr:row>
      <xdr:rowOff>170597</xdr:rowOff>
    </xdr:to>
    <xdr:cxnSp macro="">
      <xdr:nvCxnSpPr>
        <xdr:cNvPr id="47" name="Straight Connector 46">
          <a:extLst>
            <a:ext uri="{FF2B5EF4-FFF2-40B4-BE49-F238E27FC236}">
              <a16:creationId xmlns:a16="http://schemas.microsoft.com/office/drawing/2014/main" id="{624CAE99-F234-496E-AFB4-EB3497E3971F}"/>
            </a:ext>
          </a:extLst>
        </xdr:cNvPr>
        <xdr:cNvCxnSpPr/>
      </xdr:nvCxnSpPr>
      <xdr:spPr>
        <a:xfrm>
          <a:off x="11629914" y="2024797"/>
          <a:ext cx="591865"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49519</xdr:colOff>
      <xdr:row>10</xdr:row>
      <xdr:rowOff>171231</xdr:rowOff>
    </xdr:from>
    <xdr:to>
      <xdr:col>23</xdr:col>
      <xdr:colOff>573831</xdr:colOff>
      <xdr:row>10</xdr:row>
      <xdr:rowOff>171231</xdr:rowOff>
    </xdr:to>
    <xdr:cxnSp macro="">
      <xdr:nvCxnSpPr>
        <xdr:cNvPr id="48" name="Straight Connector 47">
          <a:extLst>
            <a:ext uri="{FF2B5EF4-FFF2-40B4-BE49-F238E27FC236}">
              <a16:creationId xmlns:a16="http://schemas.microsoft.com/office/drawing/2014/main" id="{E23D863D-78BF-4D67-BAD0-87A22C8AD79C}"/>
            </a:ext>
          </a:extLst>
        </xdr:cNvPr>
        <xdr:cNvCxnSpPr/>
      </xdr:nvCxnSpPr>
      <xdr:spPr>
        <a:xfrm>
          <a:off x="12266919" y="2025431"/>
          <a:ext cx="524312"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22114</xdr:colOff>
      <xdr:row>10</xdr:row>
      <xdr:rowOff>170597</xdr:rowOff>
    </xdr:from>
    <xdr:to>
      <xdr:col>24</xdr:col>
      <xdr:colOff>4379</xdr:colOff>
      <xdr:row>10</xdr:row>
      <xdr:rowOff>170597</xdr:rowOff>
    </xdr:to>
    <xdr:cxnSp macro="">
      <xdr:nvCxnSpPr>
        <xdr:cNvPr id="49" name="Straight Connector 48">
          <a:extLst>
            <a:ext uri="{FF2B5EF4-FFF2-40B4-BE49-F238E27FC236}">
              <a16:creationId xmlns:a16="http://schemas.microsoft.com/office/drawing/2014/main" id="{AC7BFD0B-2245-40C3-842E-D4867D33E5D3}"/>
            </a:ext>
          </a:extLst>
        </xdr:cNvPr>
        <xdr:cNvCxnSpPr/>
      </xdr:nvCxnSpPr>
      <xdr:spPr>
        <a:xfrm>
          <a:off x="12239514" y="2024797"/>
          <a:ext cx="737915"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27</xdr:col>
      <xdr:colOff>22114</xdr:colOff>
      <xdr:row>10</xdr:row>
      <xdr:rowOff>170597</xdr:rowOff>
    </xdr:from>
    <xdr:to>
      <xdr:col>28</xdr:col>
      <xdr:colOff>4379</xdr:colOff>
      <xdr:row>10</xdr:row>
      <xdr:rowOff>170597</xdr:rowOff>
    </xdr:to>
    <xdr:cxnSp macro="">
      <xdr:nvCxnSpPr>
        <xdr:cNvPr id="50" name="Straight Connector 49">
          <a:extLst>
            <a:ext uri="{FF2B5EF4-FFF2-40B4-BE49-F238E27FC236}">
              <a16:creationId xmlns:a16="http://schemas.microsoft.com/office/drawing/2014/main" id="{EEAE8091-8744-4649-B9C6-02DA98A7AE64}"/>
            </a:ext>
          </a:extLst>
        </xdr:cNvPr>
        <xdr:cNvCxnSpPr/>
      </xdr:nvCxnSpPr>
      <xdr:spPr>
        <a:xfrm>
          <a:off x="14309614" y="2024797"/>
          <a:ext cx="585515"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27</xdr:col>
      <xdr:colOff>22114</xdr:colOff>
      <xdr:row>10</xdr:row>
      <xdr:rowOff>170597</xdr:rowOff>
    </xdr:from>
    <xdr:to>
      <xdr:col>28</xdr:col>
      <xdr:colOff>4379</xdr:colOff>
      <xdr:row>10</xdr:row>
      <xdr:rowOff>170597</xdr:rowOff>
    </xdr:to>
    <xdr:cxnSp macro="">
      <xdr:nvCxnSpPr>
        <xdr:cNvPr id="51" name="Straight Connector 50">
          <a:extLst>
            <a:ext uri="{FF2B5EF4-FFF2-40B4-BE49-F238E27FC236}">
              <a16:creationId xmlns:a16="http://schemas.microsoft.com/office/drawing/2014/main" id="{966B1B75-BCE8-4B91-B2F9-85ED2B459958}"/>
            </a:ext>
          </a:extLst>
        </xdr:cNvPr>
        <xdr:cNvCxnSpPr/>
      </xdr:nvCxnSpPr>
      <xdr:spPr>
        <a:xfrm>
          <a:off x="14309614" y="2024797"/>
          <a:ext cx="585515"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28</xdr:col>
      <xdr:colOff>49519</xdr:colOff>
      <xdr:row>10</xdr:row>
      <xdr:rowOff>171231</xdr:rowOff>
    </xdr:from>
    <xdr:to>
      <xdr:col>28</xdr:col>
      <xdr:colOff>573831</xdr:colOff>
      <xdr:row>10</xdr:row>
      <xdr:rowOff>171231</xdr:rowOff>
    </xdr:to>
    <xdr:cxnSp macro="">
      <xdr:nvCxnSpPr>
        <xdr:cNvPr id="52" name="Straight Connector 51">
          <a:extLst>
            <a:ext uri="{FF2B5EF4-FFF2-40B4-BE49-F238E27FC236}">
              <a16:creationId xmlns:a16="http://schemas.microsoft.com/office/drawing/2014/main" id="{09E6F552-3656-4801-9FD2-D16BE88ADC1A}"/>
            </a:ext>
          </a:extLst>
        </xdr:cNvPr>
        <xdr:cNvCxnSpPr/>
      </xdr:nvCxnSpPr>
      <xdr:spPr>
        <a:xfrm>
          <a:off x="14940269" y="2025431"/>
          <a:ext cx="524312"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28</xdr:col>
      <xdr:colOff>22114</xdr:colOff>
      <xdr:row>10</xdr:row>
      <xdr:rowOff>170597</xdr:rowOff>
    </xdr:from>
    <xdr:to>
      <xdr:col>28</xdr:col>
      <xdr:colOff>583973</xdr:colOff>
      <xdr:row>10</xdr:row>
      <xdr:rowOff>170597</xdr:rowOff>
    </xdr:to>
    <xdr:cxnSp macro="">
      <xdr:nvCxnSpPr>
        <xdr:cNvPr id="53" name="Straight Connector 52">
          <a:extLst>
            <a:ext uri="{FF2B5EF4-FFF2-40B4-BE49-F238E27FC236}">
              <a16:creationId xmlns:a16="http://schemas.microsoft.com/office/drawing/2014/main" id="{BA5B53AA-9277-49A6-A6BC-C51C7D4A851C}"/>
            </a:ext>
          </a:extLst>
        </xdr:cNvPr>
        <xdr:cNvCxnSpPr/>
      </xdr:nvCxnSpPr>
      <xdr:spPr>
        <a:xfrm>
          <a:off x="14912864" y="2024797"/>
          <a:ext cx="561859"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28</xdr:col>
      <xdr:colOff>22114</xdr:colOff>
      <xdr:row>10</xdr:row>
      <xdr:rowOff>170597</xdr:rowOff>
    </xdr:from>
    <xdr:to>
      <xdr:col>29</xdr:col>
      <xdr:colOff>4379</xdr:colOff>
      <xdr:row>10</xdr:row>
      <xdr:rowOff>170597</xdr:rowOff>
    </xdr:to>
    <xdr:cxnSp macro="">
      <xdr:nvCxnSpPr>
        <xdr:cNvPr id="54" name="Straight Connector 53">
          <a:extLst>
            <a:ext uri="{FF2B5EF4-FFF2-40B4-BE49-F238E27FC236}">
              <a16:creationId xmlns:a16="http://schemas.microsoft.com/office/drawing/2014/main" id="{383C7759-8C28-4A49-8DF6-A3893B448CD6}"/>
            </a:ext>
          </a:extLst>
        </xdr:cNvPr>
        <xdr:cNvCxnSpPr/>
      </xdr:nvCxnSpPr>
      <xdr:spPr>
        <a:xfrm>
          <a:off x="14912864" y="2024797"/>
          <a:ext cx="585515"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28</xdr:col>
      <xdr:colOff>22114</xdr:colOff>
      <xdr:row>10</xdr:row>
      <xdr:rowOff>170597</xdr:rowOff>
    </xdr:from>
    <xdr:to>
      <xdr:col>29</xdr:col>
      <xdr:colOff>4379</xdr:colOff>
      <xdr:row>10</xdr:row>
      <xdr:rowOff>170597</xdr:rowOff>
    </xdr:to>
    <xdr:cxnSp macro="">
      <xdr:nvCxnSpPr>
        <xdr:cNvPr id="55" name="Straight Connector 54">
          <a:extLst>
            <a:ext uri="{FF2B5EF4-FFF2-40B4-BE49-F238E27FC236}">
              <a16:creationId xmlns:a16="http://schemas.microsoft.com/office/drawing/2014/main" id="{0AC653EE-C532-4558-8057-6432B95F19A6}"/>
            </a:ext>
          </a:extLst>
        </xdr:cNvPr>
        <xdr:cNvCxnSpPr/>
      </xdr:nvCxnSpPr>
      <xdr:spPr>
        <a:xfrm>
          <a:off x="14912864" y="2024797"/>
          <a:ext cx="585515"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29</xdr:col>
      <xdr:colOff>49519</xdr:colOff>
      <xdr:row>10</xdr:row>
      <xdr:rowOff>171231</xdr:rowOff>
    </xdr:from>
    <xdr:to>
      <xdr:col>29</xdr:col>
      <xdr:colOff>573831</xdr:colOff>
      <xdr:row>10</xdr:row>
      <xdr:rowOff>171231</xdr:rowOff>
    </xdr:to>
    <xdr:cxnSp macro="">
      <xdr:nvCxnSpPr>
        <xdr:cNvPr id="56" name="Straight Connector 55">
          <a:extLst>
            <a:ext uri="{FF2B5EF4-FFF2-40B4-BE49-F238E27FC236}">
              <a16:creationId xmlns:a16="http://schemas.microsoft.com/office/drawing/2014/main" id="{0E245146-715B-4978-9CC2-BEC2CB19FAFE}"/>
            </a:ext>
          </a:extLst>
        </xdr:cNvPr>
        <xdr:cNvCxnSpPr/>
      </xdr:nvCxnSpPr>
      <xdr:spPr>
        <a:xfrm>
          <a:off x="15543519" y="2025431"/>
          <a:ext cx="524312"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29</xdr:col>
      <xdr:colOff>22114</xdr:colOff>
      <xdr:row>10</xdr:row>
      <xdr:rowOff>170597</xdr:rowOff>
    </xdr:from>
    <xdr:to>
      <xdr:col>29</xdr:col>
      <xdr:colOff>583973</xdr:colOff>
      <xdr:row>10</xdr:row>
      <xdr:rowOff>170597</xdr:rowOff>
    </xdr:to>
    <xdr:cxnSp macro="">
      <xdr:nvCxnSpPr>
        <xdr:cNvPr id="57" name="Straight Connector 56">
          <a:extLst>
            <a:ext uri="{FF2B5EF4-FFF2-40B4-BE49-F238E27FC236}">
              <a16:creationId xmlns:a16="http://schemas.microsoft.com/office/drawing/2014/main" id="{CEC1F4CE-9C14-4D1F-999D-EAC1A2CC9F96}"/>
            </a:ext>
          </a:extLst>
        </xdr:cNvPr>
        <xdr:cNvCxnSpPr/>
      </xdr:nvCxnSpPr>
      <xdr:spPr>
        <a:xfrm>
          <a:off x="15516114" y="2024797"/>
          <a:ext cx="561859"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29</xdr:col>
      <xdr:colOff>22114</xdr:colOff>
      <xdr:row>10</xdr:row>
      <xdr:rowOff>170597</xdr:rowOff>
    </xdr:from>
    <xdr:to>
      <xdr:col>30</xdr:col>
      <xdr:colOff>4379</xdr:colOff>
      <xdr:row>10</xdr:row>
      <xdr:rowOff>170597</xdr:rowOff>
    </xdr:to>
    <xdr:cxnSp macro="">
      <xdr:nvCxnSpPr>
        <xdr:cNvPr id="58" name="Straight Connector 57">
          <a:extLst>
            <a:ext uri="{FF2B5EF4-FFF2-40B4-BE49-F238E27FC236}">
              <a16:creationId xmlns:a16="http://schemas.microsoft.com/office/drawing/2014/main" id="{C726DF54-E5CA-4DA3-8FF6-BD6BE89AA0BF}"/>
            </a:ext>
          </a:extLst>
        </xdr:cNvPr>
        <xdr:cNvCxnSpPr/>
      </xdr:nvCxnSpPr>
      <xdr:spPr>
        <a:xfrm>
          <a:off x="15516114" y="2024797"/>
          <a:ext cx="585515"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29</xdr:col>
      <xdr:colOff>22114</xdr:colOff>
      <xdr:row>10</xdr:row>
      <xdr:rowOff>170597</xdr:rowOff>
    </xdr:from>
    <xdr:to>
      <xdr:col>30</xdr:col>
      <xdr:colOff>4379</xdr:colOff>
      <xdr:row>10</xdr:row>
      <xdr:rowOff>170597</xdr:rowOff>
    </xdr:to>
    <xdr:cxnSp macro="">
      <xdr:nvCxnSpPr>
        <xdr:cNvPr id="59" name="Straight Connector 58">
          <a:extLst>
            <a:ext uri="{FF2B5EF4-FFF2-40B4-BE49-F238E27FC236}">
              <a16:creationId xmlns:a16="http://schemas.microsoft.com/office/drawing/2014/main" id="{7067EFD0-3D3F-49A9-87BD-C35F0BDB2381}"/>
            </a:ext>
          </a:extLst>
        </xdr:cNvPr>
        <xdr:cNvCxnSpPr/>
      </xdr:nvCxnSpPr>
      <xdr:spPr>
        <a:xfrm>
          <a:off x="15516114" y="2024797"/>
          <a:ext cx="585515" cy="0"/>
        </a:xfrm>
        <a:prstGeom prst="line">
          <a:avLst/>
        </a:prstGeom>
        <a:ln w="9525"/>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5337</xdr:colOff>
      <xdr:row>8</xdr:row>
      <xdr:rowOff>157350</xdr:rowOff>
    </xdr:from>
    <xdr:to>
      <xdr:col>15</xdr:col>
      <xdr:colOff>11869</xdr:colOff>
      <xdr:row>8</xdr:row>
      <xdr:rowOff>157350</xdr:rowOff>
    </xdr:to>
    <xdr:cxnSp macro="">
      <xdr:nvCxnSpPr>
        <xdr:cNvPr id="60" name="Straight Connector 59">
          <a:extLst>
            <a:ext uri="{FF2B5EF4-FFF2-40B4-BE49-F238E27FC236}">
              <a16:creationId xmlns:a16="http://schemas.microsoft.com/office/drawing/2014/main" id="{7A9B539B-4F1A-41A8-BE7E-42349B897632}"/>
            </a:ext>
          </a:extLst>
        </xdr:cNvPr>
        <xdr:cNvCxnSpPr/>
      </xdr:nvCxnSpPr>
      <xdr:spPr>
        <a:xfrm flipH="1">
          <a:off x="6882387" y="1643250"/>
          <a:ext cx="1340032" cy="0"/>
        </a:xfrm>
        <a:prstGeom prst="line">
          <a:avLst/>
        </a:prstGeom>
        <a:ln w="12700">
          <a:solidFill>
            <a:schemeClr val="bg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5337</xdr:colOff>
      <xdr:row>8</xdr:row>
      <xdr:rowOff>157350</xdr:rowOff>
    </xdr:from>
    <xdr:to>
      <xdr:col>17</xdr:col>
      <xdr:colOff>5336</xdr:colOff>
      <xdr:row>8</xdr:row>
      <xdr:rowOff>157350</xdr:rowOff>
    </xdr:to>
    <xdr:cxnSp macro="">
      <xdr:nvCxnSpPr>
        <xdr:cNvPr id="61" name="Straight Connector 60">
          <a:extLst>
            <a:ext uri="{FF2B5EF4-FFF2-40B4-BE49-F238E27FC236}">
              <a16:creationId xmlns:a16="http://schemas.microsoft.com/office/drawing/2014/main" id="{0E3F397C-7E36-442D-9142-A945411C2E26}"/>
            </a:ext>
          </a:extLst>
        </xdr:cNvPr>
        <xdr:cNvCxnSpPr/>
      </xdr:nvCxnSpPr>
      <xdr:spPr>
        <a:xfrm flipH="1">
          <a:off x="8215887" y="1643250"/>
          <a:ext cx="787399" cy="0"/>
        </a:xfrm>
        <a:prstGeom prst="line">
          <a:avLst/>
        </a:prstGeom>
        <a:ln w="12700">
          <a:solidFill>
            <a:schemeClr val="bg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5337</xdr:colOff>
      <xdr:row>8</xdr:row>
      <xdr:rowOff>157350</xdr:rowOff>
    </xdr:from>
    <xdr:to>
      <xdr:col>19</xdr:col>
      <xdr:colOff>11869</xdr:colOff>
      <xdr:row>8</xdr:row>
      <xdr:rowOff>157350</xdr:rowOff>
    </xdr:to>
    <xdr:cxnSp macro="">
      <xdr:nvCxnSpPr>
        <xdr:cNvPr id="62" name="Straight Connector 61">
          <a:extLst>
            <a:ext uri="{FF2B5EF4-FFF2-40B4-BE49-F238E27FC236}">
              <a16:creationId xmlns:a16="http://schemas.microsoft.com/office/drawing/2014/main" id="{E0CDD0B3-BE9B-4E2C-B64A-00D95B5C9900}"/>
            </a:ext>
          </a:extLst>
        </xdr:cNvPr>
        <xdr:cNvCxnSpPr/>
      </xdr:nvCxnSpPr>
      <xdr:spPr>
        <a:xfrm flipH="1">
          <a:off x="9003287" y="1643250"/>
          <a:ext cx="1340032" cy="0"/>
        </a:xfrm>
        <a:prstGeom prst="line">
          <a:avLst/>
        </a:prstGeom>
        <a:ln w="12700">
          <a:solidFill>
            <a:schemeClr val="bg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5337</xdr:colOff>
      <xdr:row>8</xdr:row>
      <xdr:rowOff>157350</xdr:rowOff>
    </xdr:from>
    <xdr:to>
      <xdr:col>24</xdr:col>
      <xdr:colOff>7807</xdr:colOff>
      <xdr:row>8</xdr:row>
      <xdr:rowOff>157350</xdr:rowOff>
    </xdr:to>
    <xdr:cxnSp macro="">
      <xdr:nvCxnSpPr>
        <xdr:cNvPr id="63" name="Straight Connector 62">
          <a:extLst>
            <a:ext uri="{FF2B5EF4-FFF2-40B4-BE49-F238E27FC236}">
              <a16:creationId xmlns:a16="http://schemas.microsoft.com/office/drawing/2014/main" id="{453B8FE2-AF78-41F7-9B95-28E73470EFFF}"/>
            </a:ext>
          </a:extLst>
        </xdr:cNvPr>
        <xdr:cNvCxnSpPr/>
      </xdr:nvCxnSpPr>
      <xdr:spPr>
        <a:xfrm flipH="1">
          <a:off x="10336787" y="1643250"/>
          <a:ext cx="2644070" cy="0"/>
        </a:xfrm>
        <a:prstGeom prst="line">
          <a:avLst/>
        </a:prstGeom>
        <a:ln w="12700">
          <a:solidFill>
            <a:schemeClr val="bg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27</xdr:col>
      <xdr:colOff>5337</xdr:colOff>
      <xdr:row>8</xdr:row>
      <xdr:rowOff>154748</xdr:rowOff>
    </xdr:from>
    <xdr:to>
      <xdr:col>29</xdr:col>
      <xdr:colOff>11869</xdr:colOff>
      <xdr:row>8</xdr:row>
      <xdr:rowOff>154748</xdr:rowOff>
    </xdr:to>
    <xdr:cxnSp macro="">
      <xdr:nvCxnSpPr>
        <xdr:cNvPr id="64" name="Straight Connector 63">
          <a:extLst>
            <a:ext uri="{FF2B5EF4-FFF2-40B4-BE49-F238E27FC236}">
              <a16:creationId xmlns:a16="http://schemas.microsoft.com/office/drawing/2014/main" id="{60D49E0E-9A6A-4188-99BF-7512C866FFF4}"/>
            </a:ext>
          </a:extLst>
        </xdr:cNvPr>
        <xdr:cNvCxnSpPr/>
      </xdr:nvCxnSpPr>
      <xdr:spPr>
        <a:xfrm flipH="1">
          <a:off x="14292837" y="1640648"/>
          <a:ext cx="1213032" cy="0"/>
        </a:xfrm>
        <a:prstGeom prst="line">
          <a:avLst/>
        </a:prstGeom>
        <a:ln w="12700">
          <a:solidFill>
            <a:schemeClr val="bg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29</xdr:col>
      <xdr:colOff>5337</xdr:colOff>
      <xdr:row>8</xdr:row>
      <xdr:rowOff>154748</xdr:rowOff>
    </xdr:from>
    <xdr:to>
      <xdr:col>30</xdr:col>
      <xdr:colOff>0</xdr:colOff>
      <xdr:row>8</xdr:row>
      <xdr:rowOff>154748</xdr:rowOff>
    </xdr:to>
    <xdr:cxnSp macro="">
      <xdr:nvCxnSpPr>
        <xdr:cNvPr id="65" name="Straight Connector 64">
          <a:extLst>
            <a:ext uri="{FF2B5EF4-FFF2-40B4-BE49-F238E27FC236}">
              <a16:creationId xmlns:a16="http://schemas.microsoft.com/office/drawing/2014/main" id="{2B982F82-BCF9-40D7-BAA6-E835A10116F9}"/>
            </a:ext>
          </a:extLst>
        </xdr:cNvPr>
        <xdr:cNvCxnSpPr/>
      </xdr:nvCxnSpPr>
      <xdr:spPr>
        <a:xfrm flipH="1">
          <a:off x="15499337" y="1640648"/>
          <a:ext cx="597913" cy="0"/>
        </a:xfrm>
        <a:prstGeom prst="line">
          <a:avLst/>
        </a:prstGeom>
        <a:ln w="12700">
          <a:solidFill>
            <a:schemeClr val="bg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1481</xdr:colOff>
      <xdr:row>34</xdr:row>
      <xdr:rowOff>205735</xdr:rowOff>
    </xdr:from>
    <xdr:to>
      <xdr:col>31</xdr:col>
      <xdr:colOff>25009</xdr:colOff>
      <xdr:row>34</xdr:row>
      <xdr:rowOff>205735</xdr:rowOff>
    </xdr:to>
    <xdr:cxnSp macro="">
      <xdr:nvCxnSpPr>
        <xdr:cNvPr id="66" name="Straight Connector 65">
          <a:extLst>
            <a:ext uri="{FF2B5EF4-FFF2-40B4-BE49-F238E27FC236}">
              <a16:creationId xmlns:a16="http://schemas.microsoft.com/office/drawing/2014/main" id="{7A9EFC18-7225-413D-AB4A-EAE7834C2E6C}"/>
            </a:ext>
          </a:extLst>
        </xdr:cNvPr>
        <xdr:cNvCxnSpPr/>
      </xdr:nvCxnSpPr>
      <xdr:spPr>
        <a:xfrm flipH="1">
          <a:off x="611081" y="6689085"/>
          <a:ext cx="16323978" cy="0"/>
        </a:xfrm>
        <a:prstGeom prst="line">
          <a:avLst/>
        </a:prstGeom>
        <a:ln w="12700">
          <a:solidFill>
            <a:schemeClr val="bg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1481</xdr:colOff>
      <xdr:row>22</xdr:row>
      <xdr:rowOff>205735</xdr:rowOff>
    </xdr:from>
    <xdr:to>
      <xdr:col>31</xdr:col>
      <xdr:colOff>25009</xdr:colOff>
      <xdr:row>22</xdr:row>
      <xdr:rowOff>205735</xdr:rowOff>
    </xdr:to>
    <xdr:cxnSp macro="">
      <xdr:nvCxnSpPr>
        <xdr:cNvPr id="67" name="Straight Connector 66">
          <a:extLst>
            <a:ext uri="{FF2B5EF4-FFF2-40B4-BE49-F238E27FC236}">
              <a16:creationId xmlns:a16="http://schemas.microsoft.com/office/drawing/2014/main" id="{163EC9C3-F4B5-4378-AB9B-C390A7A76E2A}"/>
            </a:ext>
          </a:extLst>
        </xdr:cNvPr>
        <xdr:cNvCxnSpPr/>
      </xdr:nvCxnSpPr>
      <xdr:spPr>
        <a:xfrm flipH="1">
          <a:off x="611081" y="4364985"/>
          <a:ext cx="16323978" cy="0"/>
        </a:xfrm>
        <a:prstGeom prst="line">
          <a:avLst/>
        </a:prstGeom>
        <a:ln w="12700">
          <a:solidFill>
            <a:schemeClr val="bg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0</xdr:col>
      <xdr:colOff>589175</xdr:colOff>
      <xdr:row>12</xdr:row>
      <xdr:rowOff>212280</xdr:rowOff>
    </xdr:from>
    <xdr:to>
      <xdr:col>31</xdr:col>
      <xdr:colOff>5370</xdr:colOff>
      <xdr:row>12</xdr:row>
      <xdr:rowOff>212280</xdr:rowOff>
    </xdr:to>
    <xdr:cxnSp macro="">
      <xdr:nvCxnSpPr>
        <xdr:cNvPr id="68" name="Straight Connector 67">
          <a:extLst>
            <a:ext uri="{FF2B5EF4-FFF2-40B4-BE49-F238E27FC236}">
              <a16:creationId xmlns:a16="http://schemas.microsoft.com/office/drawing/2014/main" id="{DC819D83-9396-498B-8FD6-90000852AAC1}"/>
            </a:ext>
          </a:extLst>
        </xdr:cNvPr>
        <xdr:cNvCxnSpPr/>
      </xdr:nvCxnSpPr>
      <xdr:spPr>
        <a:xfrm flipH="1">
          <a:off x="589175" y="2434780"/>
          <a:ext cx="16326245" cy="0"/>
        </a:xfrm>
        <a:prstGeom prst="line">
          <a:avLst/>
        </a:prstGeom>
        <a:ln w="12700">
          <a:solidFill>
            <a:schemeClr val="bg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335886</xdr:colOff>
      <xdr:row>32</xdr:row>
      <xdr:rowOff>25249</xdr:rowOff>
    </xdr:from>
    <xdr:to>
      <xdr:col>2</xdr:col>
      <xdr:colOff>519817</xdr:colOff>
      <xdr:row>33</xdr:row>
      <xdr:rowOff>12121</xdr:rowOff>
    </xdr:to>
    <xdr:sp macro="" textlink="">
      <xdr:nvSpPr>
        <xdr:cNvPr id="69" name="Oval 68">
          <a:extLst>
            <a:ext uri="{FF2B5EF4-FFF2-40B4-BE49-F238E27FC236}">
              <a16:creationId xmlns:a16="http://schemas.microsoft.com/office/drawing/2014/main" id="{666FBA2A-8305-4E7B-A36B-273230C53B12}"/>
            </a:ext>
          </a:extLst>
        </xdr:cNvPr>
        <xdr:cNvSpPr/>
      </xdr:nvSpPr>
      <xdr:spPr>
        <a:xfrm>
          <a:off x="945486" y="6127599"/>
          <a:ext cx="183931" cy="177372"/>
        </a:xfrm>
        <a:prstGeom prst="ellipse">
          <a:avLst/>
        </a:prstGeom>
        <a:solidFill>
          <a:srgbClr val="6EA09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17774</xdr:colOff>
      <xdr:row>32</xdr:row>
      <xdr:rowOff>23064</xdr:rowOff>
    </xdr:from>
    <xdr:to>
      <xdr:col>6</xdr:col>
      <xdr:colOff>201705</xdr:colOff>
      <xdr:row>33</xdr:row>
      <xdr:rowOff>14305</xdr:rowOff>
    </xdr:to>
    <xdr:sp macro="" textlink="">
      <xdr:nvSpPr>
        <xdr:cNvPr id="70" name="Oval 69">
          <a:extLst>
            <a:ext uri="{FF2B5EF4-FFF2-40B4-BE49-F238E27FC236}">
              <a16:creationId xmlns:a16="http://schemas.microsoft.com/office/drawing/2014/main" id="{CBDFD810-051E-40BD-BD17-59ACE5F4B2CF}"/>
            </a:ext>
          </a:extLst>
        </xdr:cNvPr>
        <xdr:cNvSpPr/>
      </xdr:nvSpPr>
      <xdr:spPr>
        <a:xfrm>
          <a:off x="3065774" y="6125414"/>
          <a:ext cx="183931" cy="181741"/>
        </a:xfrm>
        <a:prstGeom prst="ellipse">
          <a:avLst/>
        </a:prstGeom>
        <a:solidFill>
          <a:srgbClr val="EDC877"/>
        </a:solidFill>
        <a:ln>
          <a:solidFill>
            <a:srgbClr val="EDC877"/>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259245</xdr:colOff>
      <xdr:row>32</xdr:row>
      <xdr:rowOff>34689</xdr:rowOff>
    </xdr:from>
    <xdr:to>
      <xdr:col>10</xdr:col>
      <xdr:colOff>443176</xdr:colOff>
      <xdr:row>33</xdr:row>
      <xdr:rowOff>25359</xdr:rowOff>
    </xdr:to>
    <xdr:sp macro="" textlink="">
      <xdr:nvSpPr>
        <xdr:cNvPr id="71" name="Oval 70">
          <a:extLst>
            <a:ext uri="{FF2B5EF4-FFF2-40B4-BE49-F238E27FC236}">
              <a16:creationId xmlns:a16="http://schemas.microsoft.com/office/drawing/2014/main" id="{74BE1326-623D-49B7-B6A1-F9749A19E693}"/>
            </a:ext>
          </a:extLst>
        </xdr:cNvPr>
        <xdr:cNvSpPr/>
      </xdr:nvSpPr>
      <xdr:spPr>
        <a:xfrm>
          <a:off x="5472595" y="6137039"/>
          <a:ext cx="183931" cy="181170"/>
        </a:xfrm>
        <a:prstGeom prst="ellipse">
          <a:avLst/>
        </a:prstGeom>
        <a:solidFill>
          <a:srgbClr val="D75B46"/>
        </a:solidFill>
        <a:ln>
          <a:solidFill>
            <a:srgbClr val="D75B46"/>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1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13</xdr:col>
          <xdr:colOff>608370</xdr:colOff>
          <xdr:row>13</xdr:row>
          <xdr:rowOff>10217</xdr:rowOff>
        </xdr:from>
        <xdr:to>
          <xdr:col>16</xdr:col>
          <xdr:colOff>14598</xdr:colOff>
          <xdr:row>14</xdr:row>
          <xdr:rowOff>44338</xdr:rowOff>
        </xdr:to>
        <xdr:sp macro="" textlink="">
          <xdr:nvSpPr>
            <xdr:cNvPr id="13314" name="Drop Down 2" hidden="1">
              <a:extLst>
                <a:ext uri="{63B3BB69-23CF-44E3-9099-C40C66FF867C}">
                  <a14:compatExt spid="_x0000_s13314"/>
                </a:ext>
                <a:ext uri="{FF2B5EF4-FFF2-40B4-BE49-F238E27FC236}">
                  <a16:creationId xmlns:a16="http://schemas.microsoft.com/office/drawing/2014/main" id="{00000000-0008-0000-0C00-0000023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xdr:from>
      <xdr:col>1</xdr:col>
      <xdr:colOff>453772</xdr:colOff>
      <xdr:row>8</xdr:row>
      <xdr:rowOff>50094</xdr:rowOff>
    </xdr:from>
    <xdr:to>
      <xdr:col>7</xdr:col>
      <xdr:colOff>559001</xdr:colOff>
      <xdr:row>35</xdr:row>
      <xdr:rowOff>108151</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85424B50-7687-38A7-D874-18DD52F2625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061558" y="1519665"/>
              <a:ext cx="6400800" cy="5029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823686</xdr:colOff>
      <xdr:row>8</xdr:row>
      <xdr:rowOff>50094</xdr:rowOff>
    </xdr:from>
    <xdr:to>
      <xdr:col>13</xdr:col>
      <xdr:colOff>121557</xdr:colOff>
      <xdr:row>35</xdr:row>
      <xdr:rowOff>108151</xdr:rowOff>
    </xdr:to>
    <xdr:graphicFrame macro="">
      <xdr:nvGraphicFramePr>
        <xdr:cNvPr id="3" name="Chart 2">
          <a:extLst>
            <a:ext uri="{FF2B5EF4-FFF2-40B4-BE49-F238E27FC236}">
              <a16:creationId xmlns:a16="http://schemas.microsoft.com/office/drawing/2014/main" id="{7799EE20-ABBD-D12F-843C-30DA222004E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ersons/person.xml><?xml version="1.0" encoding="utf-8"?>
<personList xmlns="http://schemas.microsoft.com/office/spreadsheetml/2018/threadedcomments" xmlns:x="http://schemas.openxmlformats.org/spreadsheetml/2006/main">
  <person displayName="Thai Nguyen" id="{FF59C0EC-E05B-49A0-96CA-32208E67B02E}" userId="S::tngu0430@student.monash.edu::16c68a34-eae7-4724-9921-252ca2f76419" providerId="AD"/>
</personList>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linkedentity">
      <keyFlags>
        <key name="%cvi">
          <flag name="ShowInCardView" value="0"/>
          <flag name="ShowInDotNotation" value="0"/>
          <flag name="ShowInAutoComplete" value="0"/>
          <flag name="ExcludeFromCalcComparison" value="1"/>
        </key>
      </keyFlags>
    </type>
    <type name="_linkedentitycore">
      <keyFlags>
        <key name="%EntityServiceId">
          <flag name="ShowInCardView" value="0"/>
          <flag name="ShowInDotNotation" value="0"/>
          <flag name="ShowInAutoComplete" value="0"/>
        </key>
        <key name="%EntitySubDomain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s>
</rvTypesInfo>
</file>

<file path=xl/richData/rdrichvalue.xml><?xml version="1.0" encoding="utf-8"?>
<rvData xmlns="http://schemas.microsoft.com/office/spreadsheetml/2017/richdata" count="29">
  <rv s="0">
    <v>https://www.bing.com/financeapi/forcetrigger?t=aa9opr&amp;q=XASX%3aSVW&amp;form=skydnc</v>
    <v>Learn more on Bing</v>
  </rv>
  <rv s="1">
    <v>en-US</v>
    <v>aa9opr</v>
    <v>268435456</v>
    <v>1</v>
    <v>Powered by Refinitiv</v>
    <v>0</v>
    <v>SGH LIMITED (XASX:SGH)</v>
    <v>2</v>
    <v>3</v>
    <v>Finance</v>
    <v>4</v>
    <v>55.12</v>
    <v>34.950000000000003</v>
    <v>1.0755999999999999</v>
    <v>-0.35</v>
    <v>-7.2309999999999996E-3</v>
    <v>AUD</v>
    <v>SGH Ltd, formerly Seven Group Holdings Limited, is an Australia-based diversified operating company, with businesses across industrial services, energy and media. In industrial services, the Company owns WesTrac, Boral and Coates. WesTrac is the sole authorized Caterpillar dealer in Western Australia (WA) and New South Wales (NSW)/Australian Capital Territory (ACT), providing heavy equipment sales and support to customers. Boral is an integrated construction materials business, producing and selling a broad range of materials, including quarry materials, cement, concrete, asphalt and recycled materials. Boral has operations in all the Australian States and Territories. Coates is an equipment hire business, which provides a range of general and specialist equipment to a wide variety of markets. In Energy, it has a 30% shareholding in Beach Energy, and wholly owns SGH Energy. In Media, it has a 40% shareholding in Seven West Media. Its other investments include Allight.</v>
    <v>11000</v>
    <v>Australian Securities Exchange</v>
    <v>XASX</v>
    <v>XASX</v>
    <v>Level 30, 175 Liverpool Street, SYDNEY, NEW SOUTH WALES, 2000 AU</v>
    <v>48.52</v>
    <v>Machinery, Equipment &amp; Components</v>
    <v>Stock</v>
    <v>45763.187682233591</v>
    <v>0</v>
    <v>47.63</v>
    <v>19617310000</v>
    <v>SGH LIMITED</v>
    <v>SGH LIMITED</v>
    <v>48.22</v>
    <v>23.87</v>
    <v>48.4</v>
    <v>48.05</v>
    <v>406998200</v>
    <v>SGH</v>
    <v>SGH LIMITED (XASX:SGH)</v>
    <v>172950</v>
    <v>622570</v>
    <v>2010</v>
  </rv>
  <rv s="2">
    <v>1</v>
  </rv>
  <rv s="0">
    <v>https://www.bing.com/financeapi/forcetrigger?t=bwzskr&amp;q=XASX%3aMGH&amp;form=skydnc</v>
    <v>Learn more on Bing</v>
  </rv>
  <rv s="1">
    <v>en-US</v>
    <v>bwzskr</v>
    <v>268435456</v>
    <v>1</v>
    <v>Powered by Refinitiv</v>
    <v>0</v>
    <v>MAAS Group Holdings Ltd (XASX:MGH)</v>
    <v>2</v>
    <v>3</v>
    <v>Finance</v>
    <v>4</v>
    <v>5.05</v>
    <v>3.3</v>
    <v>0.98529999999999995</v>
    <v>-3.5000000000000003E-2</v>
    <v>-9.2110000000000004E-3</v>
    <v>AUD</v>
    <v>Maas Group Holdings Limited is a construction material, equipment, and service provider with diversified exposures across the civil, infrastructure, mining, and real estate end market. The Company’s Residential Real Estate segment develops, invests, builds, and sells residential land and housing. Its Commercial Real Estate segment includes commercial construction that builds and constructs commercial developments; commercial development and investment that delivers commercial property and industrial developments, and investing in commercial real estate. Its Civil, Construction and Hire segment includes civil construction, electrical services, plant hire and sales, and underground equipment hire and repair. The Manufacturing segment is engaged in the manufacturing, sales and distribution of underground construction and mining equipment and parts. The Construction Materials segment consists of quarries that supply quarry materials for construction projects; and crushing and screening.</v>
    <v>1800</v>
    <v>Australian Securities Exchange</v>
    <v>XASX</v>
    <v>XASX</v>
    <v>20l Sheraton Road, Dubbo, NEW SOUTH WALES, 2830 AU</v>
    <v>3.8050000000000002</v>
    <v>Construction &amp; Engineering</v>
    <v>Stock</v>
    <v>45763.187582430466</v>
    <v>3</v>
    <v>3.75</v>
    <v>1371275000</v>
    <v>MAAS Group Holdings Ltd</v>
    <v>MAAS Group Holdings Ltd</v>
    <v>3.8</v>
    <v>17.84</v>
    <v>3.8</v>
    <v>3.7650000000000001</v>
    <v>362771100</v>
    <v>MGH</v>
    <v>MAAS Group Holdings Ltd (XASX:MGH)</v>
    <v>154740</v>
    <v>516130</v>
    <v>2019</v>
  </rv>
  <rv s="2">
    <v>4</v>
  </rv>
  <rv s="0">
    <v>https://www.bing.com/financeapi/forcetrigger?t=aa68tc&amp;q=XASX%3aFBU&amp;form=skydnc</v>
    <v>Learn more on Bing</v>
  </rv>
  <rv s="3">
    <v>en-US</v>
    <v>aa68tc</v>
    <v>268435456</v>
    <v>1</v>
    <v>Powered by Refinitiv</v>
    <v>5</v>
    <v>FLETCHER BUILDING LIMITED (XASX:FBU)</v>
    <v>2</v>
    <v>6</v>
    <v>Finance</v>
    <v>4</v>
    <v>3.5710000000000002</v>
    <v>2.42</v>
    <v>1.3483000000000001</v>
    <v>1.4999999999999999E-2</v>
    <v>5.0339999999999994E-3</v>
    <v>AUD</v>
    <v>Fletcher Building Limited is a manufacturer, retailer, home builder and partner in major construction and infrastructure projects. Its Building Products segment is a manufacturer, distributor, and marketer of building products used in the residential, industrial and commercial markets in New Zealand. Its Distribution segment consists of building and plumbing product distribution businesses in New Zealand. Its Concrete segment includes its interests in the concrete value chain, including extraction of aggregates, and the production of cement, concrete and concrete products. Its Australia segment manufactures and sells building materials for a range of industries across Australia. Its Residential and Development segment involves building and sale of residential homes and apartments, development and sale of commercial and residential land, and management of retirement village assets. Its Construction segment is a supplier of building and maintenance services for infrastructure projects.</v>
    <v>5231</v>
    <v>Australian Securities Exchange</v>
    <v>XASX</v>
    <v>XASX</v>
    <v>810 Great South Road, Penrose, AUCKLAND, 1061 NZ</v>
    <v>2.9950000000000001</v>
    <v>Homebuilding &amp; Construction Supplies</v>
    <v>Stock</v>
    <v>45763.187627314815</v>
    <v>6</v>
    <v>2.95</v>
    <v>3407425000</v>
    <v>FLETCHER BUILDING LIMITED</v>
    <v>FLETCHER BUILDING LIMITED</v>
    <v>2.96</v>
    <v>2.98</v>
    <v>2.9950000000000001</v>
    <v>1074897000</v>
    <v>FBU</v>
    <v>FLETCHER BUILDING LIMITED (XASX:FBU)</v>
    <v>256700</v>
    <v>719430</v>
    <v>2000</v>
  </rv>
  <rv s="2">
    <v>7</v>
  </rv>
  <rv s="4">
    <v>en-US</v>
    <v>avmfz2</v>
    <v>268435456</v>
    <v>1</v>
    <v>Powered by Refinitiv</v>
    <v>7</v>
    <v>NZD/AUD</v>
    <v>8</v>
    <v>9</v>
    <v>Finance</v>
    <v>10</v>
    <v>0.93500000000000005</v>
    <v>0.8921</v>
    <v>2.2000000000000001E-3</v>
    <v>2.3669999999999997E-3</v>
    <v>AUD</v>
    <v>NZD</v>
    <v>0.93210000000000004</v>
    <v>Currency Pair</v>
    <v>45763.201585648145</v>
    <v>0.92900000000000005</v>
    <v>New Zealand Dollar/Australian Dollar FX Cross Rate</v>
    <v>0.92910000000000004</v>
    <v>0.92930000000000001</v>
    <v>0.93149999999999999</v>
    <v>NZDAUD</v>
    <v>NZD/AUD</v>
  </rv>
  <rv s="2">
    <v>9</v>
  </rv>
  <rv s="0">
    <v>https://www.bing.com/financeapi/forcetrigger?t=axnac7&amp;q=XASX%3aWGN&amp;form=skydnc</v>
    <v>Learn more on Bing</v>
  </rv>
  <rv s="1">
    <v>en-US</v>
    <v>axnac7</v>
    <v>268435456</v>
    <v>1</v>
    <v>Powered by Refinitiv</v>
    <v>0</v>
    <v>WAGNERS HOLDING COMPANY LTD (XASX:WGN)</v>
    <v>2</v>
    <v>3</v>
    <v>Finance</v>
    <v>4</v>
    <v>1.88</v>
    <v>0.70499999999999996</v>
    <v>1.085</v>
    <v>-1.4999999999999999E-2</v>
    <v>-9.3169999999999989E-3</v>
    <v>AUD</v>
    <v>Wagners Holding Company Limited is an Australia-based producer of construction materials and services for Australian and international markets. It operates through three segments: Construction Materials &amp; Services (CMS), Composite Fibre Technology (CFT) and Earth Friendly Concrete (EFC). The CMS segment supplies a range of construction materials and services predominantly to customers in the construction, infrastructure, and resource industries. Its key products include cement, fly ash, ready-mix concrete, precast concrete products, aggregates and reinforcing steel. Its services include mobile concrete, crushing and haulage services, and are provided via medium to long-term contracts both domestically and internationally. Its CFT segment provides environmentally sustainable new generation building materials through composite fiber technology (CFT). Its EFC segment provides environmentally sustainable new generation building materials through earth friendly concrete (EFC) technology.</v>
    <v>1000</v>
    <v>Australian Securities Exchange</v>
    <v>XASX</v>
    <v>XASX</v>
    <v>339 Anzac Ave, TOOWOOMBA, QUEENSLAND, 4350 AU</v>
    <v>1.61</v>
    <v>Construction Materials</v>
    <v>Stock</v>
    <v>45763.17460648148</v>
    <v>11</v>
    <v>1.595</v>
    <v>316149400</v>
    <v>WAGNERS HOLDING COMPANY LTD</v>
    <v>WAGNERS HOLDING COMPANY LTD</v>
    <v>1.61</v>
    <v>15.19</v>
    <v>1.61</v>
    <v>1.595</v>
    <v>188184200</v>
    <v>WGN</v>
    <v>WAGNERS HOLDING COMPANY LTD (XASX:WGN)</v>
    <v>2923</v>
    <v>57230</v>
    <v>2017</v>
  </rv>
  <rv s="2">
    <v>12</v>
  </rv>
  <rv s="0">
    <v>https://www.bing.com/financeapi/forcetrigger?t=aa7j52&amp;q=XASX%3aMAH&amp;form=skydnc</v>
    <v>Learn more on Bing</v>
  </rv>
  <rv s="1">
    <v>en-US</v>
    <v>aa7j52</v>
    <v>268435456</v>
    <v>1</v>
    <v>Powered by Refinitiv</v>
    <v>0</v>
    <v>MACMAHON HOLDINGS LIMITED (XASX:MAH)</v>
    <v>2</v>
    <v>3</v>
    <v>Finance</v>
    <v>4</v>
    <v>0.39300000000000002</v>
    <v>0.223</v>
    <v>1.1153</v>
    <v>0.01</v>
    <v>3.9216000000000001E-2</v>
    <v>AUD</v>
    <v>Macmahon Holdings Limited provides a complete package of mining and civil infrastructure services throughout Australia and Southeast Asia. It provides development and production, ground support, and services to facilitate ventilation and access to underground mines: shaft sinking, raise drilling and shaft lining. It provides consulting, design, civil construction, equipment sales and hire, maintenance and site rehabilitation services to the resources sector. Its projects include Dawson South, King of the Hills (KOTH), Batu Hijau and others. KOTH project is an open pit and underground gold deposit located in the eastern goldfield region of Western Australia. Dawson South forms part of the Dawson Mine and is located at the southern end of the Bowen Basin in Central Queensland near the town of Moura. It owns Pit N Portal’s operations at Wyloo’s Durkin and Cassini mining projects. It offers multi-disciplinary project delivery across the resources, infrastructure, and renewables sectors.</v>
    <v>9676</v>
    <v>Australian Securities Exchange</v>
    <v>XASX</v>
    <v>XASX</v>
    <v>15 Hudswell Rd, Perth Airport, PERTH, WESTERN AUSTRALIA, 6105 AU</v>
    <v>0.26500000000000001</v>
    <v>Metals &amp; Mining</v>
    <v>Stock</v>
    <v>45763.187460613284</v>
    <v>14</v>
    <v>0.255</v>
    <v>549521400</v>
    <v>MACMAHON HOLDINGS LIMITED</v>
    <v>MACMAHON HOLDINGS LIMITED</v>
    <v>0.26</v>
    <v>11.59</v>
    <v>0.255</v>
    <v>0.26500000000000001</v>
    <v>2154986000</v>
    <v>MAH</v>
    <v>MACMAHON HOLDINGS LIMITED (XASX:MAH)</v>
    <v>517650</v>
    <v>2653420</v>
    <v>1963</v>
  </rv>
  <rv s="2">
    <v>15</v>
  </rv>
  <rv s="0">
    <v>https://www.bing.com/financeapi/forcetrigger?t=aa8fec&amp;q=XASX%3aORI&amp;form=skydnc</v>
    <v>Learn more on Bing</v>
  </rv>
  <rv s="1">
    <v>en-US</v>
    <v>aa8fec</v>
    <v>268435456</v>
    <v>1</v>
    <v>Powered by Refinitiv</v>
    <v>0</v>
    <v>ORICA LIMITED (XASX:ORI)</v>
    <v>2</v>
    <v>3</v>
    <v>Finance</v>
    <v>4</v>
    <v>18.965</v>
    <v>14.88</v>
    <v>0.6492</v>
    <v>-0.08</v>
    <v>-5.0660000000000002E-3</v>
    <v>AUD</v>
    <v>Orica Limited is an Australia-based mining and infrastructure solutions provider. The Company is engaged in the production and supply of explosives, blasting systems, mining chemicals and geotechnical monitoring to its cutting-edge digital solutions. The Company operates through six segments: Australia Pacific and Asia (APA); North America; Latin America; Europe, Middle East, and Africa (EMEA); Global Support and Digital Solutions. Its products and services include 4D bulk systems, bulk systems, packaged explosives, initiating systems, boosters, digital solutions, blasting services, automation, training, mining chemicals, slope stability, and fertilizer. The Company serves various markets, such as surface coal, surface metal, iron ore, quarrying, underground mining, underground construction, construction, civil infrastructure, oil and gas, and agriculture.</v>
    <v>14000</v>
    <v>Australian Securities Exchange</v>
    <v>XASX</v>
    <v>XASX</v>
    <v>1 Nicholson St, MELBOURNE, VICTORIA, 3002 AU</v>
    <v>15.86</v>
    <v>Chemicals</v>
    <v>Stock</v>
    <v>45763.187579525002</v>
    <v>17</v>
    <v>15.65</v>
    <v>7685675000</v>
    <v>ORICA LIMITED</v>
    <v>ORICA LIMITED</v>
    <v>15.77</v>
    <v>14.26</v>
    <v>15.79</v>
    <v>15.71</v>
    <v>487360500</v>
    <v>ORI</v>
    <v>ORICA LIMITED (XASX:ORI)</v>
    <v>2007080</v>
    <v>1497500</v>
    <v>1928</v>
  </rv>
  <rv s="2">
    <v>18</v>
  </rv>
  <rv s="0">
    <v>https://www.bing.com/financeapi/forcetrigger?t=aa8bh7&amp;q=XASX%3aNWH&amp;form=skydnc</v>
    <v>Learn more on Bing</v>
  </rv>
  <rv s="1">
    <v>en-US</v>
    <v>aa8bh7</v>
    <v>268435456</v>
    <v>1</v>
    <v>Powered by Refinitiv</v>
    <v>0</v>
    <v>NRW HOLDINGS LIMITED (XASX:NWH)</v>
    <v>2</v>
    <v>3</v>
    <v>Finance</v>
    <v>4</v>
    <v>4.0250000000000004</v>
    <v>2.29</v>
    <v>1.4475</v>
    <v>0.02</v>
    <v>8.3330000000000001E-3</v>
    <v>AUD</v>
    <v>NRW Holdings Limited is a provider of diversified contract services to the resources and infrastructure sectors. Its Civil and Mining businesses provide civil construction, including bulk earthworks, road and rail construction and concrete installation, together with contract mining and drill and blast services. The Minerals, Energy &amp; Technologies (MET) operating unit offers mine to market solutions, specialist maintenance (shutdown services and onsite maintenance), non-process infrastructure, materials handling solutions, build-own-operate (BOO) process plant solutions, and complete turnkey design, construction and operation of mineral processing and energy projects. It also offers an original equipment manufacturer (OEM) capability, providing refurbishment and rebuild services for earthmoving equipment and machinery. It supports projects around Australia for clients across the resources, renewable energy, infrastructure, industrial engineering, maintenance, and other sectors.</v>
    <v>7400</v>
    <v>Australian Securities Exchange</v>
    <v>XASX</v>
    <v>XASX</v>
    <v>181 Great Eastern, Highway, Belmont, PERTH, WESTERN AUSTRALIA, 6104 AU</v>
    <v>2.42</v>
    <v>Construction &amp; Engineering</v>
    <v>Stock</v>
    <v>45763.187616967189</v>
    <v>20</v>
    <v>2.37</v>
    <v>1092689000</v>
    <v>NRW HOLDINGS LIMITED</v>
    <v>NRW HOLDINGS LIMITED</v>
    <v>2.39</v>
    <v>9.49</v>
    <v>2.4</v>
    <v>2.42</v>
    <v>457192100</v>
    <v>NWH</v>
    <v>NRW HOLDINGS LIMITED (XASX:NWH)</v>
    <v>738504</v>
    <v>1918170</v>
    <v>2006</v>
  </rv>
  <rv s="2">
    <v>21</v>
  </rv>
  <rv s="0">
    <v>https://www.bing.com/financeapi/forcetrigger?t=c1zmrw&amp;q=XASX%3aMLG&amp;form=skydnc</v>
    <v>Learn more on Bing</v>
  </rv>
  <rv s="1">
    <v>en-US</v>
    <v>c1zmrw</v>
    <v>268435456</v>
    <v>1</v>
    <v>Powered by Refinitiv</v>
    <v>0</v>
    <v>MLG OZ LIMITED (XASX:MLG)</v>
    <v>2</v>
    <v>3</v>
    <v>Finance</v>
    <v>4</v>
    <v>0.89500000000000002</v>
    <v>0.52</v>
    <v>0.53490000000000004</v>
    <v>5.0000000000000001E-3</v>
    <v>8.4030000000000007E-3</v>
    <v>AUD</v>
    <v>MLG Oz Limited is an Australia-based integrated mining services and resource asset management company. The Company delivers tailored solutions to mining operations, primarily focused on supporting its clients’ ore processing facilities across gold, iron ore and other base metals in Western Australia and the Northern Territory. It offers a comprehensive range of services under an integrated business model, often within a single contractual framework. These include Civil &amp; Construction, Crushing &amp; Screening, Bulk Haulage &amp; Site Services, and the supply of Open Pit Mining &amp; Construction Materials from the Company’s strategically located regional quarries. Its key capabilities include building, owning, and operating models, contract crushing and screening services, as well as crusher feed and material management. Its services include construction, road maintenance, rehabilitation work, vehicle maintenance, and machinery and labor hire.</v>
    <v>600</v>
    <v>Australian Securities Exchange</v>
    <v>XASX</v>
    <v>XASX</v>
    <v>10 Yindi Way, Kalgoorlie, WESTERN AUSTRALIA, 6433 AU</v>
    <v>0.60499999999999998</v>
    <v>Metals &amp; Mining</v>
    <v>Stock</v>
    <v>45763.165613425925</v>
    <v>23</v>
    <v>0.59750000000000003</v>
    <v>88571500</v>
    <v>MLG OZ LIMITED</v>
    <v>MLG OZ LIMITED</v>
    <v>0.6</v>
    <v>11.06</v>
    <v>0.59499999999999997</v>
    <v>0.6</v>
    <v>147619200</v>
    <v>MLG</v>
    <v>MLG OZ LIMITED (XASX:MLG)</v>
    <v>163918</v>
    <v>103270</v>
    <v>2002</v>
  </rv>
  <rv s="2">
    <v>24</v>
  </rv>
  <rv s="0">
    <v>https://www.bing.com/financeapi/forcetrigger?t=aa62xm&amp;q=XASX%3aEHL&amp;form=skydnc</v>
    <v>Learn more on Bing</v>
  </rv>
  <rv s="1">
    <v>en-US</v>
    <v>aa62xm</v>
    <v>268435456</v>
    <v>1</v>
    <v>Powered by Refinitiv</v>
    <v>0</v>
    <v>EMECO HOLDINGS LIMITED (XASX:EHL)</v>
    <v>2</v>
    <v>3</v>
    <v>Finance</v>
    <v>4</v>
    <v>1</v>
    <v>0.63</v>
    <v>1.1832</v>
    <v>-0.01</v>
    <v>-1.3514E-2</v>
    <v>AUD</v>
    <v>Emeco Holdings Limited is primarily involved in the provision of earthmoving equipment solutions and mining services solutions to its customers, as well as the maintenance and remanufacturing of major components of heavy earthmoving equipment. The Company is focused on surface and underground equipment rental. Its segments include Rental, Workshops and Pit N Portal. Rental segment provides a range of earthmoving equipment solutions to customers in Australia. Its additional technology platforms are developed to enable customers to improve the earthmoving efficiencies of their rental machines. Workshops segment provides maintenance and component rebuild services to customers in Australia. Its services include rentals, maintenance, fabrication, surface treatment, and others.</v>
    <v>1000</v>
    <v>Australian Securities Exchange</v>
    <v>XASX</v>
    <v>XASX</v>
    <v>Level 3, 133, Hasler Road, Osborne Park, PERTH, WESTERN AUSTRALIA, 6017 AU</v>
    <v>0.74</v>
    <v>Professional &amp; Commercial Services</v>
    <v>Stock</v>
    <v>45763.186226851853</v>
    <v>26</v>
    <v>0.72</v>
    <v>383597300</v>
    <v>EMECO HOLDINGS LIMITED</v>
    <v>EMECO HOLDINGS LIMITED</v>
    <v>0.73</v>
    <v>5.7</v>
    <v>0.74</v>
    <v>0.73</v>
    <v>518374800</v>
    <v>EHL</v>
    <v>EMECO HOLDINGS LIMITED (XASX:EHL)</v>
    <v>192873</v>
    <v>553090</v>
    <v>2004</v>
  </rv>
  <rv s="2">
    <v>27</v>
  </rv>
</rvData>
</file>

<file path=xl/richData/rdrichvaluestructure.xml><?xml version="1.0" encoding="utf-8"?>
<rvStructures xmlns="http://schemas.microsoft.com/office/spreadsheetml/2017/richdata" count="5">
  <s t="_hyperlink">
    <k n="Address" t="s"/>
    <k n="Text" t="s"/>
  </s>
  <s t="_linkedentitycore">
    <k n="%EntityCulture" t="s"/>
    <k n="%EntityId" t="s"/>
    <k n="%EntityServiceId"/>
    <k n="%IsRefreshable" t="b"/>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Shares outstanding"/>
    <k n="Ticker symbol" t="s"/>
    <k n="UniqueName" t="s"/>
    <k n="Volume"/>
    <k n="Volume average"/>
    <k n="Year incorporated"/>
  </s>
  <s t="_linkedentity">
    <k n="%cvi" t="r"/>
  </s>
  <s t="_linkedentitycore">
    <k n="%EntityCulture" t="s"/>
    <k n="%EntityId" t="s"/>
    <k n="%EntityServiceId"/>
    <k n="%IsRefreshable" t="b"/>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revious close"/>
    <k n="Price"/>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Change"/>
    <k n="Change (%)"/>
    <k n="Currency" t="s"/>
    <k n="From currency" t="s"/>
    <k n="High"/>
    <k n="Instrument type" t="s"/>
    <k n="Last trade time"/>
    <k n="Low"/>
    <k n="Name" t="s"/>
    <k n="Open"/>
    <k n="Previous close"/>
    <k n="Price"/>
    <k n="Ticker symbol" t="s"/>
    <k n="UniqueName" t="s"/>
  </s>
</rvStructures>
</file>

<file path=xl/richData/rdsupportingpropertybag.xml><?xml version="1.0" encoding="utf-8"?>
<supportingPropertyBags xmlns="http://schemas.microsoft.com/office/spreadsheetml/2017/richdata2">
  <spbArrays count="3">
    <a count="42">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P/E</v>
      <v t="s">Shares outstanding</v>
      <v t="s">Description</v>
      <v t="s">Employees</v>
      <v t="s">Headquarters</v>
      <v t="s">Industry</v>
      <v t="s">Instrument type</v>
      <v t="s">Year incorporated</v>
      <v t="s">_Flags</v>
      <v t="s">UniqueName</v>
      <v t="s">_DisplayString</v>
      <v t="s">LearnMoreOnLink</v>
      <v t="s">ExchangeID</v>
      <v t="s">%ProviderInfo</v>
    </a>
    <a count="41">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Shares outstanding</v>
      <v t="s">Description</v>
      <v t="s">Employees</v>
      <v t="s">Headquarters</v>
      <v t="s">Industry</v>
      <v t="s">Instrument type</v>
      <v t="s">Year incorporated</v>
      <v t="s">_Flags</v>
      <v t="s">UniqueName</v>
      <v t="s">_DisplayString</v>
      <v t="s">LearnMoreOnLink</v>
      <v t="s">ExchangeID</v>
      <v t="s">%ProviderInfo</v>
    </a>
    <a count="27">
      <v t="s">%EntityServiceId</v>
      <v t="s">_Format</v>
      <v t="s">%IsRefreshable</v>
      <v t="s">%EntityCulture</v>
      <v t="s">%EntityId</v>
      <v t="s">_Icon</v>
      <v t="s">_Display</v>
      <v t="s">Name</v>
      <v t="s">Price</v>
      <v t="s">_SubLabel</v>
      <v t="s">Last trade time</v>
      <v t="s">Ticker symbol</v>
      <v t="s">Change</v>
      <v t="s">Change (%)</v>
      <v t="s">Currency</v>
      <v t="s">From currency</v>
      <v t="s">Previous close</v>
      <v t="s">Open</v>
      <v t="s">High</v>
      <v t="s">Low</v>
      <v t="s">52 week high</v>
      <v t="s">52 week low</v>
      <v t="s">Instrument type</v>
      <v t="s">_Flags</v>
      <v t="s">UniqueName</v>
      <v t="s">_DisplayString</v>
      <v t="s">%ProviderInfo</v>
    </a>
  </spbArrays>
  <spbData count="11">
    <spb s="0">
      <v>0</v>
      <v>Name</v>
      <v>LearnMoreOnLink</v>
    </spb>
    <spb s="1">
      <v>0</v>
      <v>0</v>
      <v>0</v>
    </spb>
    <spb s="2">
      <v>1</v>
      <v>1</v>
      <v>1</v>
      <v>1</v>
    </spb>
    <spb s="3">
      <v>1</v>
      <v>2</v>
      <v>2</v>
      <v>1</v>
      <v>3</v>
      <v>1</v>
      <v>1</v>
      <v>1</v>
      <v>4</v>
      <v>4</v>
      <v>5</v>
      <v>6</v>
      <v>1</v>
      <v>1</v>
      <v>1</v>
      <v>4</v>
      <v>7</v>
      <v>8</v>
      <v>9</v>
      <v>4</v>
    </spb>
    <spb s="4">
      <v>Delayed 20 minutes</v>
      <v>from previous close</v>
      <v>from previous close</v>
      <v>GMT</v>
    </spb>
    <spb s="0">
      <v>1</v>
      <v>Name</v>
      <v>LearnMoreOnLink</v>
    </spb>
    <spb s="5">
      <v>1</v>
      <v>2</v>
      <v>1</v>
      <v>3</v>
      <v>1</v>
      <v>1</v>
      <v>1</v>
      <v>4</v>
      <v>4</v>
      <v>5</v>
      <v>10</v>
      <v>1</v>
      <v>1</v>
      <v>1</v>
      <v>4</v>
      <v>7</v>
      <v>8</v>
      <v>9</v>
      <v>4</v>
    </spb>
    <spb s="6">
      <v>2</v>
      <v>Name</v>
    </spb>
    <spb s="7">
      <v>1</v>
      <v>1</v>
    </spb>
    <spb s="8">
      <v>1</v>
      <v>1</v>
      <v>3</v>
      <v>1</v>
      <v>1</v>
      <v>1</v>
      <v>5</v>
      <v>1</v>
      <v>1</v>
      <v>1</v>
      <v>7</v>
      <v>9</v>
    </spb>
    <spb s="9">
      <v>GMT</v>
    </spb>
  </spbData>
</supportingPropertyBags>
</file>

<file path=xl/richData/rdsupportingpropertybagstructure.xml><?xml version="1.0" encoding="utf-8"?>
<spbStructures xmlns="http://schemas.microsoft.com/office/spreadsheetml/2017/richdata2" count="10">
  <s>
    <k n="^Order" t="spba"/>
    <k n="TitleProperty" t="s"/>
    <k n="SubTitleProperty" t="s"/>
  </s>
  <s>
    <k n="ShowInCardView" t="b"/>
    <k n="ShowInDotNotation" t="b"/>
    <k n="ShowInAutoComplete" t="b"/>
  </s>
  <s>
    <k n="ExchangeID" t="spb"/>
    <k n="UniqueName" t="spb"/>
    <k n="`%ProviderInfo" t="spb"/>
    <k n="LearnMoreOnLink" t="spb"/>
  </s>
  <s>
    <k n="Low" t="i"/>
    <k n="P/E" t="i"/>
    <k n="Beta" t="i"/>
    <k n="High" t="i"/>
    <k n="Name" t="i"/>
    <k n="Open" t="i"/>
    <k n="Price" t="i"/>
    <k n="Change" t="i"/>
    <k n="Volume" t="i"/>
    <k n="Employees" t="i"/>
    <k n="Change (%)" t="i"/>
    <k n="Market cap" t="i"/>
    <k n="52 week low" t="i"/>
    <k n="52 week high" t="i"/>
    <k n="Previous close" t="i"/>
    <k n="Volume average" t="i"/>
    <k n="Last trade time" t="i"/>
    <k n="Year incorporated" t="i"/>
    <k n="`%EntityServiceId" t="i"/>
    <k n="Shares outstanding" t="i"/>
  </s>
  <s>
    <k n="Price" t="s"/>
    <k n="Change" t="s"/>
    <k n="Change (%)" t="s"/>
    <k n="Last trade time" t="s"/>
  </s>
  <s>
    <k n="Low" t="i"/>
    <k n="Beta" t="i"/>
    <k n="High" t="i"/>
    <k n="Name" t="i"/>
    <k n="Open" t="i"/>
    <k n="Price" t="i"/>
    <k n="Change" t="i"/>
    <k n="Volume" t="i"/>
    <k n="Employees" t="i"/>
    <k n="Change (%)" t="i"/>
    <k n="Market cap" t="i"/>
    <k n="52 week low" t="i"/>
    <k n="52 week high" t="i"/>
    <k n="Previous close" t="i"/>
    <k n="Volume average" t="i"/>
    <k n="Last trade time" t="i"/>
    <k n="Year incorporated" t="i"/>
    <k n="`%EntityServiceId" t="i"/>
    <k n="Shares outstanding" t="i"/>
  </s>
  <s>
    <k n="^Order" t="spba"/>
    <k n="TitleProperty" t="s"/>
  </s>
  <s>
    <k n="UniqueName" t="spb"/>
    <k n="`%ProviderInfo" t="spb"/>
  </s>
  <s>
    <k n="Low" t="i"/>
    <k n="High" t="i"/>
    <k n="Name" t="i"/>
    <k n="Open" t="i"/>
    <k n="Price" t="i"/>
    <k n="Change" t="i"/>
    <k n="Change (%)" t="i"/>
    <k n="52 week low" t="i"/>
    <k n="52 week high" t="i"/>
    <k n="Previous close" t="i"/>
    <k n="Last trade time" t="i"/>
    <k n="`%EntityServiceId" t="i"/>
  </s>
  <s>
    <k n="Last trade time" t="s"/>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7">
    <x:dxf>
      <x:numFmt numFmtId="0" formatCode="General"/>
    </x:dxf>
    <x:dxf>
      <x:numFmt numFmtId="4" formatCode="#,##0.00"/>
    </x:dxf>
    <x:dxf>
      <x:numFmt numFmtId="3" formatCode="#,##0"/>
    </x:dxf>
    <x:dxf>
      <x:numFmt numFmtId="14" formatCode="0.00%"/>
    </x:dxf>
    <x:dxf>
      <x:numFmt numFmtId="27" formatCode="m/d/yyyy\ h:mm"/>
    </x:dxf>
    <x:dxf>
      <x:numFmt numFmtId="1" formatCode="0"/>
    </x:dxf>
    <x:dxf>
      <x:numFmt numFmtId="2" formatCode="0.00"/>
    </x:dxf>
  </dxfs>
  <richProperties>
    <rPr n="NumberFormat" t="s"/>
    <rPr n="IsTitleField" t="b"/>
  </richProperties>
  <richStyles>
    <rSty dxfid="0">
      <rpv i="0">_-[$$-en-AU]* #,##0.00_-;-[$$-en-AU]* #,##0.00_-;_-[$$-en-AU]* "-"??_-;_-@_-</rpv>
    </rSty>
    <rSty dxfid="1">
      <rpv i="0">#,##0.00</rpv>
    </rSty>
    <rSty>
      <rpv i="1">1</rpv>
    </rSty>
    <rSty dxfid="2">
      <rpv i="0">#,##0</rpv>
    </rSty>
    <rSty dxfid="3"/>
    <rSty dxfid="0">
      <rpv i="0">_-[$$-en-AU]* #,##0_-;-[$$-en-AU]* #,##0_-;_-[$$-en-AU]* "-"_-;_-@_-</rpv>
    </rSty>
    <rSty dxfid="4"/>
    <rSty dxfid="5">
      <rpv i="0">0</rpv>
    </rSty>
    <rSty dxfid="6">
      <rpv i="0">0.00</rpv>
    </rSty>
    <rSty dxfid="0">
      <rpv i="0">_-[$$-en-NZ]* #,##0_-;-[$$-en-NZ]* #,##0_-;_-[$$-en-NZ]* "-"_-;_-@_-</rpv>
    </rSty>
  </richStyles>
</richStyleSheet>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hreadedComments/threadedComment1.xml><?xml version="1.0" encoding="utf-8"?>
<ThreadedComments xmlns="http://schemas.microsoft.com/office/spreadsheetml/2018/threadedcomments" xmlns:x="http://schemas.openxmlformats.org/spreadsheetml/2006/main">
  <threadedComment ref="R16" dT="2025-04-03T15:41:52.85" personId="{FF59C0EC-E05B-49A0-96CA-32208E67B02E}" id="{1C086FD6-785A-4D11-AB3F-54308D8E4644}">
    <text xml:space="preserve"> from the Presenters’ Notes for the HY25 Results Presentation</text>
  </threadedComment>
  <threadedComment ref="E28" dT="2025-04-04T00:57:12.24" personId="{FF59C0EC-E05B-49A0-96CA-32208E67B02E}" id="{6D207221-3C18-4C6D-A5EA-F4646B25F8AA}">
    <text>Divide by 1 million to make it compatible to the standardised unit (million $) in this excel file</text>
  </threadedComment>
  <threadedComment ref="P28" dT="2025-04-03T23:08:36.49" personId="{FF59C0EC-E05B-49A0-96CA-32208E67B02E}" id="{EE4D4B1A-2FCA-463E-B4EB-05E22AAD06AB}">
    <text>Subtle adjustment to match the HY24 reported result</text>
  </threadedComment>
</ThreadedComments>
</file>

<file path=xl/threadedComments/threadedComment2.xml><?xml version="1.0" encoding="utf-8"?>
<ThreadedComments xmlns="http://schemas.microsoft.com/office/spreadsheetml/2018/threadedcomments" xmlns:x="http://schemas.openxmlformats.org/spreadsheetml/2006/main">
  <threadedComment ref="D47" dT="2025-04-11T01:18:24.65" personId="{FF59C0EC-E05B-49A0-96CA-32208E67B02E}" id="{691D5429-1122-40E2-8E7C-15F5C9285C3F}">
    <text>I used the windsorised mean (bring the &gt;4000% growth rate back to the previous growth rate being 525%</text>
  </threadedComment>
</ThreadedComments>
</file>

<file path=xl/threadedComments/threadedComment3.xml><?xml version="1.0" encoding="utf-8"?>
<ThreadedComments xmlns="http://schemas.microsoft.com/office/spreadsheetml/2018/threadedcomments" xmlns:x="http://schemas.openxmlformats.org/spreadsheetml/2006/main">
  <threadedComment ref="D45" dT="2025-04-12T00:24:24.18" personId="{FF59C0EC-E05B-49A0-96CA-32208E67B02E}" id="{7E009913-195B-45E3-B860-19D700BF777A}">
    <text>Using windsorised mean to reduce the exaggeration of Covid-19</text>
  </threadedComment>
  <threadedComment ref="D47" dT="2025-04-12T00:24:45.74" personId="{FF59C0EC-E05B-49A0-96CA-32208E67B02E}" id="{48551091-9583-4941-B084-DED4B884DA9F}">
    <text xml:space="preserve">Using windsorised mean to reduce the exaggeration of Covid-19
</text>
  </threadedComment>
</ThreadedComments>
</file>

<file path=xl/threadedComments/threadedComment4.xml><?xml version="1.0" encoding="utf-8"?>
<ThreadedComments xmlns="http://schemas.microsoft.com/office/spreadsheetml/2018/threadedcomments" xmlns:x="http://schemas.openxmlformats.org/spreadsheetml/2006/main">
  <threadedComment ref="B36" dT="2025-04-13T22:24:28.12" personId="{FF59C0EC-E05B-49A0-96CA-32208E67B02E}" id="{4C7FFEF9-F20D-417A-9696-C98D4DACB939}">
    <text>Used CAGR for growth rates of newly listed company</text>
  </threadedComment>
</ThreadedComments>
</file>

<file path=xl/worksheets/_rels/sheet1.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drawing" Target="../drawings/drawing1.xml"/><Relationship Id="rId1" Type="http://schemas.openxmlformats.org/officeDocument/2006/relationships/hyperlink" Target="..\Monash%20University%20PDF\Case%20Competition\SGHFinancialDataMAx.xlsx" TargetMode="External"/></Relationships>
</file>

<file path=xl/worksheets/_rels/sheet2.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vmlDrawing" Target="../drawings/vmlDrawing1.vml"/><Relationship Id="rId1" Type="http://schemas.openxmlformats.org/officeDocument/2006/relationships/drawing" Target="../drawings/drawing2.xml"/><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vmlDrawing" Target="../drawings/vmlDrawing2.vml"/><Relationship Id="rId1" Type="http://schemas.openxmlformats.org/officeDocument/2006/relationships/drawing" Target="../drawings/drawing5.xml"/><Relationship Id="rId5" Type="http://schemas.microsoft.com/office/2017/10/relationships/threadedComment" Target="../threadedComments/threadedComment2.xml"/><Relationship Id="rId4" Type="http://schemas.openxmlformats.org/officeDocument/2006/relationships/comments" Target="../comments2.xml"/></Relationships>
</file>

<file path=xl/worksheets/_rels/sheet6.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vmlDrawing" Target="../drawings/vmlDrawing3.vml"/><Relationship Id="rId1" Type="http://schemas.openxmlformats.org/officeDocument/2006/relationships/drawing" Target="../drawings/drawing8.xml"/><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vmlDrawing" Target="../drawings/vmlDrawing4.vml"/><Relationship Id="rId1" Type="http://schemas.openxmlformats.org/officeDocument/2006/relationships/drawing" Target="../drawings/drawing9.xml"/><Relationship Id="rId5" Type="http://schemas.microsoft.com/office/2017/10/relationships/threadedComment" Target="../threadedComments/threadedComment4.xml"/><Relationship Id="rId4" Type="http://schemas.openxmlformats.org/officeDocument/2006/relationships/comments" Target="../comments4.xml"/></Relationships>
</file>

<file path=xl/worksheets/_rels/sheet10.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vmlDrawing" Target="../drawings/vmlDrawing5.vml"/><Relationship Id="rId1" Type="http://schemas.openxmlformats.org/officeDocument/2006/relationships/drawing" Target="../drawings/drawing13.xml"/><Relationship Id="rId4" Type="http://schemas.openxmlformats.org/officeDocument/2006/relationships/ctrlProp" Target="../ctrlProps/ctrlProp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41041F-FC0A-4C73-89C7-D579FC94B77F}">
  <dimension ref="A1:P24"/>
  <sheetViews>
    <sheetView showGridLines="0" topLeftCell="B15" zoomScale="131" zoomScaleNormal="160" workbookViewId="0">
      <selection activeCell="D15" sqref="D15:D16"/>
    </sheetView>
  </sheetViews>
  <sheetFormatPr defaultColWidth="0" defaultRowHeight="14.5" customHeight="1" zeroHeight="1" x14ac:dyDescent="0.35"/>
  <cols>
    <col min="1" max="1" width="8.7265625" customWidth="1"/>
    <col min="2" max="2" width="30.7265625" customWidth="1"/>
    <col min="3" max="3" width="8.7265625" customWidth="1"/>
    <col min="4" max="4" width="39.08984375" customWidth="1"/>
    <col min="5" max="9" width="8.7265625" customWidth="1"/>
    <col min="10" max="16" width="0" hidden="1" customWidth="1"/>
    <col min="17" max="16384" width="8.7265625" hidden="1"/>
  </cols>
  <sheetData>
    <row r="1" spans="2:7" x14ac:dyDescent="0.35"/>
    <row r="2" spans="2:7" x14ac:dyDescent="0.35">
      <c r="B2" s="1" t="s">
        <v>0</v>
      </c>
      <c r="C2" s="2"/>
      <c r="D2" s="2"/>
      <c r="E2" s="2"/>
      <c r="F2" s="2"/>
      <c r="G2" s="2"/>
    </row>
    <row r="3" spans="2:7" x14ac:dyDescent="0.35">
      <c r="B3" s="3"/>
      <c r="C3" s="3"/>
      <c r="D3" s="3"/>
      <c r="E3" s="3" t="s">
        <v>1</v>
      </c>
      <c r="F3" s="3" t="s">
        <v>2</v>
      </c>
      <c r="G3" s="3" t="s">
        <v>3</v>
      </c>
    </row>
    <row r="4" spans="2:7" x14ac:dyDescent="0.35">
      <c r="B4" s="3" t="s">
        <v>4</v>
      </c>
      <c r="C4" s="3" t="s">
        <v>5</v>
      </c>
      <c r="D4" s="3" t="s">
        <v>6</v>
      </c>
      <c r="E4" s="3" t="s">
        <v>7</v>
      </c>
      <c r="F4" s="3" t="s">
        <v>7</v>
      </c>
      <c r="G4" s="3" t="s">
        <v>8</v>
      </c>
    </row>
    <row r="5" spans="2:7" ht="51.5" customHeight="1" x14ac:dyDescent="0.35">
      <c r="B5" s="203" t="s">
        <v>9</v>
      </c>
      <c r="C5" s="200" t="s">
        <v>10</v>
      </c>
      <c r="D5" s="201" t="s">
        <v>11</v>
      </c>
      <c r="E5" s="199">
        <f ca="1">'Input 1'!$E$28</f>
        <v>19109.484999999997</v>
      </c>
      <c r="F5" s="199">
        <f ca="1">'Input 1'!$E$34</f>
        <v>24700.784999999996</v>
      </c>
      <c r="G5" s="199">
        <f>'Input 1'!$T$13</f>
        <v>10736.3</v>
      </c>
    </row>
    <row r="6" spans="2:7" x14ac:dyDescent="0.35">
      <c r="B6" s="203"/>
      <c r="C6" s="200"/>
      <c r="D6" s="201"/>
      <c r="E6" s="199"/>
      <c r="F6" s="199"/>
      <c r="G6" s="199"/>
    </row>
    <row r="7" spans="2:7" ht="56" customHeight="1" x14ac:dyDescent="0.35">
      <c r="B7" s="202" t="s">
        <v>12</v>
      </c>
      <c r="C7" s="200" t="s">
        <v>13</v>
      </c>
      <c r="D7" s="201" t="s">
        <v>14</v>
      </c>
      <c r="E7" s="199">
        <f ca="1">'Output FS&amp;R'!K18</f>
        <v>1371.2750000000001</v>
      </c>
      <c r="F7" s="199">
        <f ca="1">'Output FS&amp;R'!L18</f>
        <v>1713.5065539450002</v>
      </c>
      <c r="G7" s="199">
        <f>'Input 1 (4)'!$T$13</f>
        <v>909.80600000000004</v>
      </c>
    </row>
    <row r="8" spans="2:7" x14ac:dyDescent="0.35">
      <c r="B8" s="200"/>
      <c r="C8" s="200"/>
      <c r="D8" s="201"/>
      <c r="E8" s="199"/>
      <c r="F8" s="199"/>
      <c r="G8" s="199"/>
    </row>
    <row r="9" spans="2:7" ht="56" customHeight="1" x14ac:dyDescent="0.35">
      <c r="B9" s="200" t="s">
        <v>15</v>
      </c>
      <c r="C9" s="200" t="s">
        <v>16</v>
      </c>
      <c r="D9" s="201" t="s">
        <v>17</v>
      </c>
      <c r="E9" s="199">
        <f ca="1">'Output FS&amp;R'!K17</f>
        <v>3407.4250000000002</v>
      </c>
      <c r="F9" s="199">
        <f ca="1">'Output FS&amp;R'!L17</f>
        <v>3830.2655000000004</v>
      </c>
      <c r="G9" s="199">
        <f ca="1">'Input 1 (3)'!$T$13</f>
        <v>6898.6890000000003</v>
      </c>
    </row>
    <row r="10" spans="2:7" x14ac:dyDescent="0.35">
      <c r="B10" s="200"/>
      <c r="C10" s="200"/>
      <c r="D10" s="201"/>
      <c r="E10" s="199"/>
      <c r="F10" s="199"/>
      <c r="G10" s="199"/>
    </row>
    <row r="11" spans="2:7" ht="52.5" customHeight="1" x14ac:dyDescent="0.35">
      <c r="B11" s="200" t="s">
        <v>18</v>
      </c>
      <c r="C11" s="200" t="s">
        <v>19</v>
      </c>
      <c r="D11" s="201" t="s">
        <v>20</v>
      </c>
      <c r="E11" s="199">
        <f ca="1">'Output FS&amp;R'!K27</f>
        <v>316.14940000000001</v>
      </c>
      <c r="F11" s="199">
        <f ca="1">'Output FS&amp;R'!L27</f>
        <v>473.52675979000003</v>
      </c>
      <c r="G11" s="199">
        <f>'Input 1 (2)'!$T$13</f>
        <v>442.423</v>
      </c>
    </row>
    <row r="12" spans="2:7" x14ac:dyDescent="0.35">
      <c r="B12" s="200"/>
      <c r="C12" s="200"/>
      <c r="D12" s="201"/>
      <c r="E12" s="199"/>
      <c r="F12" s="199"/>
      <c r="G12" s="199"/>
    </row>
    <row r="13" spans="2:7" ht="81" customHeight="1" x14ac:dyDescent="0.35">
      <c r="B13" s="200" t="s">
        <v>21</v>
      </c>
      <c r="C13" s="200" t="s">
        <v>22</v>
      </c>
      <c r="D13" s="201" t="s">
        <v>23</v>
      </c>
      <c r="E13" s="199">
        <f ca="1">'Output FS&amp;R'!K29</f>
        <v>549.52139999999997</v>
      </c>
      <c r="F13" s="199">
        <f ca="1">'Output FS&amp;R'!L29</f>
        <v>809.38787066500004</v>
      </c>
      <c r="G13" s="199">
        <f>'Input 1 (8)'!$T$13</f>
        <v>2243.6220000000003</v>
      </c>
    </row>
    <row r="14" spans="2:7" x14ac:dyDescent="0.35">
      <c r="B14" s="200"/>
      <c r="C14" s="200"/>
      <c r="D14" s="201"/>
      <c r="E14" s="199"/>
      <c r="F14" s="199"/>
      <c r="G14" s="199"/>
    </row>
    <row r="15" spans="2:7" ht="44" customHeight="1" x14ac:dyDescent="0.35">
      <c r="B15" s="200" t="s">
        <v>24</v>
      </c>
      <c r="C15" s="200" t="s">
        <v>25</v>
      </c>
      <c r="D15" s="201" t="s">
        <v>26</v>
      </c>
      <c r="E15" s="199">
        <f ca="1">'Output FS&amp;R'!K16</f>
        <v>7685.6750000000002</v>
      </c>
      <c r="F15" s="199">
        <f ca="1">'Output FS&amp;R'!L16</f>
        <v>9560.0266617600009</v>
      </c>
      <c r="G15" s="199">
        <f>'Input 1 (7)'!$T$13</f>
        <v>7662.8</v>
      </c>
    </row>
    <row r="16" spans="2:7" x14ac:dyDescent="0.35">
      <c r="B16" s="200"/>
      <c r="C16" s="200"/>
      <c r="D16" s="201"/>
      <c r="E16" s="199"/>
      <c r="F16" s="199"/>
      <c r="G16" s="199"/>
    </row>
    <row r="17" spans="2:7" ht="41" customHeight="1" x14ac:dyDescent="0.35">
      <c r="B17" s="200" t="s">
        <v>27</v>
      </c>
      <c r="C17" s="200" t="s">
        <v>28</v>
      </c>
      <c r="D17" s="201" t="s">
        <v>29</v>
      </c>
      <c r="E17" s="199">
        <f ca="1">'Output FS&amp;R'!K28</f>
        <v>88.5715</v>
      </c>
      <c r="F17" s="199">
        <f ca="1">'Output FS&amp;R'!L28</f>
        <v>181.11646539999998</v>
      </c>
      <c r="G17" s="199">
        <f>'Input 1 (1)'!$T$13</f>
        <v>3141.3180000000002</v>
      </c>
    </row>
    <row r="18" spans="2:7" x14ac:dyDescent="0.35">
      <c r="B18" s="200"/>
      <c r="C18" s="200"/>
      <c r="D18" s="201"/>
      <c r="E18" s="199"/>
      <c r="F18" s="199"/>
      <c r="G18" s="199"/>
    </row>
    <row r="19" spans="2:7" ht="38" customHeight="1" x14ac:dyDescent="0.35">
      <c r="B19" s="200" t="s">
        <v>30</v>
      </c>
      <c r="C19" s="200" t="s">
        <v>31</v>
      </c>
      <c r="D19" s="201" t="s">
        <v>32</v>
      </c>
      <c r="E19" s="199">
        <f ca="1">'Output FS&amp;R'!K19</f>
        <v>1092.6890000000001</v>
      </c>
      <c r="F19" s="199">
        <f ca="1">'Output FS&amp;R'!L19</f>
        <v>1313.6668658400001</v>
      </c>
      <c r="G19" s="199">
        <f>'Input 1 (6)'!$T$13</f>
        <v>521.35446899999999</v>
      </c>
    </row>
    <row r="20" spans="2:7" x14ac:dyDescent="0.35">
      <c r="B20" s="200"/>
      <c r="C20" s="200"/>
      <c r="D20" s="201"/>
      <c r="E20" s="199"/>
      <c r="F20" s="199"/>
      <c r="G20" s="199"/>
    </row>
    <row r="21" spans="2:7" ht="40" customHeight="1" x14ac:dyDescent="0.35">
      <c r="B21" s="200" t="s">
        <v>33</v>
      </c>
      <c r="C21" s="200" t="s">
        <v>34</v>
      </c>
      <c r="D21" s="201" t="s">
        <v>35</v>
      </c>
      <c r="E21" s="199">
        <f ca="1">'Output FS&amp;R'!K26</f>
        <v>383.59730000000002</v>
      </c>
      <c r="F21" s="199">
        <f ca="1">'Output FS&amp;R'!L26</f>
        <v>657.10158564000005</v>
      </c>
      <c r="G21" s="199">
        <f>'Input 1 (5)'!$T$13</f>
        <v>775.51599999999996</v>
      </c>
    </row>
    <row r="22" spans="2:7" x14ac:dyDescent="0.35">
      <c r="B22" s="200"/>
      <c r="C22" s="200"/>
      <c r="D22" s="201"/>
      <c r="E22" s="199"/>
      <c r="F22" s="199"/>
      <c r="G22" s="199"/>
    </row>
    <row r="23" spans="2:7" x14ac:dyDescent="0.35"/>
    <row r="24" spans="2:7" x14ac:dyDescent="0.35"/>
  </sheetData>
  <mergeCells count="54">
    <mergeCell ref="G5:G6"/>
    <mergeCell ref="B5:B6"/>
    <mergeCell ref="C5:C6"/>
    <mergeCell ref="D5:D6"/>
    <mergeCell ref="E5:E6"/>
    <mergeCell ref="F5:F6"/>
    <mergeCell ref="G9:G10"/>
    <mergeCell ref="B7:B8"/>
    <mergeCell ref="C7:C8"/>
    <mergeCell ref="D7:D8"/>
    <mergeCell ref="E7:E8"/>
    <mergeCell ref="F7:F8"/>
    <mergeCell ref="G7:G8"/>
    <mergeCell ref="B9:B10"/>
    <mergeCell ref="C9:C10"/>
    <mergeCell ref="D9:D10"/>
    <mergeCell ref="E9:E10"/>
    <mergeCell ref="F9:F10"/>
    <mergeCell ref="G13:G14"/>
    <mergeCell ref="B11:B12"/>
    <mergeCell ref="C11:C12"/>
    <mergeCell ref="D11:D12"/>
    <mergeCell ref="E11:E12"/>
    <mergeCell ref="F11:F12"/>
    <mergeCell ref="G11:G12"/>
    <mergeCell ref="B13:B14"/>
    <mergeCell ref="C13:C14"/>
    <mergeCell ref="D13:D14"/>
    <mergeCell ref="E13:E14"/>
    <mergeCell ref="F13:F14"/>
    <mergeCell ref="G17:G18"/>
    <mergeCell ref="B15:B16"/>
    <mergeCell ref="C15:C16"/>
    <mergeCell ref="D15:D16"/>
    <mergeCell ref="E15:E16"/>
    <mergeCell ref="F15:F16"/>
    <mergeCell ref="G15:G16"/>
    <mergeCell ref="B17:B18"/>
    <mergeCell ref="C17:C18"/>
    <mergeCell ref="D17:D18"/>
    <mergeCell ref="E17:E18"/>
    <mergeCell ref="F17:F18"/>
    <mergeCell ref="G21:G22"/>
    <mergeCell ref="B19:B20"/>
    <mergeCell ref="C19:C20"/>
    <mergeCell ref="D19:D20"/>
    <mergeCell ref="E19:E20"/>
    <mergeCell ref="F19:F20"/>
    <mergeCell ref="G19:G20"/>
    <mergeCell ref="B21:B22"/>
    <mergeCell ref="C21:C22"/>
    <mergeCell ref="D21:D22"/>
    <mergeCell ref="E21:E22"/>
    <mergeCell ref="F21:F22"/>
  </mergeCells>
  <hyperlinks>
    <hyperlink ref="B5:B6" r:id="rId1" display="SGH Limited" xr:uid="{5CA53310-1567-4A63-A789-E1FF022D3DA1}"/>
  </hyperlinks>
  <pageMargins left="0.7" right="0.7" top="0.75" bottom="0.75" header="0.3" footer="0.3"/>
  <drawing r:id="rId2"/>
  <picture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2B728D-3519-4AA9-9EB0-658F394389B1}">
  <dimension ref="A1:AB74"/>
  <sheetViews>
    <sheetView showGridLines="0" topLeftCell="M1" zoomScale="152" zoomScaleNormal="85" workbookViewId="0">
      <selection activeCell="B2" sqref="B2:V5"/>
    </sheetView>
  </sheetViews>
  <sheetFormatPr defaultColWidth="0" defaultRowHeight="14.5" customHeight="1" zeroHeight="1" x14ac:dyDescent="0.35"/>
  <cols>
    <col min="1" max="1" width="8.7265625" style="4" customWidth="1"/>
    <col min="2" max="2" width="8.7265625" style="41" customWidth="1"/>
    <col min="3" max="3" width="10.453125" style="41" customWidth="1"/>
    <col min="4" max="4" width="9.6328125" style="41" bestFit="1" customWidth="1"/>
    <col min="5" max="5" width="11.6328125" style="41" bestFit="1" customWidth="1"/>
    <col min="6" max="22" width="8.7265625" style="41" customWidth="1"/>
    <col min="23" max="26" width="10.90625" style="41" customWidth="1"/>
    <col min="27" max="27" width="9.54296875" style="41" bestFit="1" customWidth="1"/>
    <col min="28" max="28" width="8.7265625" style="4" customWidth="1"/>
    <col min="29" max="16384" width="8.7265625" style="4" hidden="1"/>
  </cols>
  <sheetData>
    <row r="1" spans="2:27" x14ac:dyDescent="0.35">
      <c r="B1" s="4"/>
      <c r="C1" s="4"/>
      <c r="D1" s="4"/>
      <c r="E1" s="4"/>
      <c r="F1" s="4"/>
      <c r="G1" s="4"/>
      <c r="H1" s="4"/>
      <c r="I1" s="4"/>
      <c r="J1" s="4"/>
      <c r="K1" s="4"/>
      <c r="L1" s="4"/>
      <c r="M1" s="4"/>
      <c r="N1" s="4"/>
      <c r="O1" s="4"/>
      <c r="P1" s="4"/>
      <c r="Q1" s="4"/>
      <c r="R1" s="4"/>
      <c r="S1" s="4"/>
      <c r="T1" s="4"/>
      <c r="U1" s="4"/>
      <c r="V1" s="4"/>
      <c r="W1" s="4"/>
      <c r="X1" s="4"/>
      <c r="Y1" s="4"/>
      <c r="Z1" s="4"/>
      <c r="AA1" s="4"/>
    </row>
    <row r="2" spans="2:27" x14ac:dyDescent="0.35">
      <c r="B2" s="258" t="e" vm="1">
        <v>#VALUE!</v>
      </c>
      <c r="C2" s="259"/>
      <c r="D2" s="259"/>
      <c r="E2" s="259"/>
      <c r="F2" s="259"/>
      <c r="G2" s="259"/>
      <c r="H2" s="259"/>
      <c r="I2" s="259"/>
      <c r="J2" s="259"/>
      <c r="K2" s="5"/>
      <c r="L2" s="5"/>
      <c r="M2" s="5"/>
      <c r="N2" s="5"/>
      <c r="O2" s="5"/>
      <c r="P2" s="5"/>
      <c r="Q2" s="5"/>
      <c r="R2" s="5"/>
      <c r="S2" s="5"/>
      <c r="T2" s="5"/>
      <c r="U2" s="5"/>
      <c r="V2" s="5"/>
      <c r="W2" s="6" t="s">
        <v>36</v>
      </c>
      <c r="X2" s="5"/>
      <c r="Y2" s="5"/>
      <c r="Z2" s="5"/>
      <c r="AA2" s="5"/>
    </row>
    <row r="3" spans="2:27" ht="14.5" customHeight="1" x14ac:dyDescent="0.35">
      <c r="B3" s="259"/>
      <c r="C3" s="259"/>
      <c r="D3" s="259"/>
      <c r="E3" s="259"/>
      <c r="F3" s="259"/>
      <c r="G3" s="259"/>
      <c r="H3" s="259"/>
      <c r="I3" s="259"/>
      <c r="J3" s="259"/>
      <c r="K3" s="5"/>
      <c r="L3" s="5"/>
      <c r="M3" s="5"/>
      <c r="N3" s="5"/>
      <c r="O3" s="5"/>
      <c r="P3" s="5"/>
      <c r="Q3" s="5"/>
      <c r="R3" s="5"/>
      <c r="S3" s="5"/>
      <c r="T3" s="5"/>
      <c r="U3" s="5"/>
      <c r="V3" s="5"/>
      <c r="W3" s="260" t="str">
        <f>'Business Infos'!D5</f>
        <v>SGH Ltd is an Australian diversified operating company, with market leading businesses across industrial services, energy and media. In industrial services, SGH owns WesTrac, Boral, Coates and Allight.</v>
      </c>
      <c r="X3" s="260"/>
      <c r="Y3" s="260"/>
      <c r="Z3" s="260"/>
      <c r="AA3" s="260"/>
    </row>
    <row r="4" spans="2:27" ht="15.5" customHeight="1" x14ac:dyDescent="0.35">
      <c r="B4" s="261" t="s">
        <v>37</v>
      </c>
      <c r="C4" s="262"/>
      <c r="D4" s="262"/>
      <c r="E4" s="262"/>
      <c r="F4" s="262"/>
      <c r="G4" s="262"/>
      <c r="H4" s="262"/>
      <c r="I4" s="262"/>
      <c r="J4" s="262"/>
      <c r="K4" s="5"/>
      <c r="L4" s="5"/>
      <c r="M4" s="5"/>
      <c r="N4" s="5"/>
      <c r="O4" s="5"/>
      <c r="P4" s="5"/>
      <c r="Q4" s="5"/>
      <c r="R4" s="5"/>
      <c r="S4" s="5"/>
      <c r="T4" s="5"/>
      <c r="U4" s="5"/>
      <c r="V4" s="5"/>
      <c r="W4" s="260"/>
      <c r="X4" s="260"/>
      <c r="Y4" s="260"/>
      <c r="Z4" s="260"/>
      <c r="AA4" s="260"/>
    </row>
    <row r="5" spans="2:27" x14ac:dyDescent="0.35">
      <c r="B5" s="7" t="s">
        <v>38</v>
      </c>
      <c r="C5" s="5"/>
      <c r="D5" s="5"/>
      <c r="E5" s="5"/>
      <c r="F5" s="5"/>
      <c r="G5" s="5"/>
      <c r="H5" s="5"/>
      <c r="I5" s="5"/>
      <c r="J5" s="5"/>
      <c r="K5" s="5"/>
      <c r="L5" s="5"/>
      <c r="M5" s="5"/>
      <c r="N5" s="5"/>
      <c r="O5" s="5"/>
      <c r="P5" s="5"/>
      <c r="Q5" s="5"/>
      <c r="R5" s="5"/>
      <c r="S5" s="5"/>
      <c r="T5" s="5"/>
      <c r="U5" s="5"/>
      <c r="V5" s="5"/>
      <c r="W5" s="260"/>
      <c r="X5" s="260"/>
      <c r="Y5" s="260"/>
      <c r="Z5" s="260"/>
      <c r="AA5" s="260"/>
    </row>
    <row r="6" spans="2:27" x14ac:dyDescent="0.35">
      <c r="B6" s="4"/>
      <c r="C6" s="4"/>
      <c r="D6" s="4"/>
      <c r="E6" s="4"/>
      <c r="F6" s="4"/>
      <c r="G6" s="4"/>
      <c r="H6" s="4"/>
      <c r="I6" s="4"/>
      <c r="J6" s="4"/>
      <c r="K6" s="4"/>
      <c r="L6" s="4"/>
      <c r="M6" s="4"/>
      <c r="N6" s="4"/>
      <c r="O6" s="4"/>
      <c r="P6" s="4"/>
      <c r="Q6" s="4"/>
      <c r="R6" s="4"/>
      <c r="S6" s="4"/>
      <c r="T6" s="4"/>
      <c r="U6" s="4"/>
      <c r="V6" s="4"/>
      <c r="W6"/>
      <c r="X6"/>
      <c r="Y6"/>
      <c r="Z6"/>
      <c r="AA6"/>
    </row>
    <row r="7" spans="2:27" x14ac:dyDescent="0.35">
      <c r="B7" s="4"/>
      <c r="C7" s="4"/>
      <c r="D7" s="4"/>
      <c r="E7" s="4"/>
      <c r="F7" s="4"/>
      <c r="G7" s="4"/>
      <c r="H7" s="4"/>
      <c r="I7" s="4"/>
      <c r="J7" s="4"/>
      <c r="K7" s="4"/>
      <c r="L7" s="4"/>
      <c r="M7" s="4"/>
      <c r="N7" s="4"/>
      <c r="O7" s="4"/>
      <c r="P7" s="4"/>
      <c r="Q7" s="4"/>
      <c r="R7" s="4"/>
      <c r="S7" s="4"/>
      <c r="T7" s="4"/>
      <c r="U7" s="4"/>
      <c r="V7" s="4"/>
      <c r="W7" s="4"/>
      <c r="X7" s="4"/>
      <c r="Y7" s="4"/>
      <c r="Z7" s="4"/>
      <c r="AA7" s="4"/>
    </row>
    <row r="8" spans="2:27" ht="15" thickBot="1" x14ac:dyDescent="0.4">
      <c r="B8" s="8" t="s">
        <v>39</v>
      </c>
      <c r="C8" s="9"/>
      <c r="D8" s="9"/>
      <c r="E8" s="9"/>
      <c r="F8" s="10"/>
      <c r="G8" s="8" t="s">
        <v>40</v>
      </c>
      <c r="H8" s="9"/>
      <c r="I8" s="9"/>
      <c r="J8" s="9"/>
      <c r="K8" s="9"/>
      <c r="L8" s="9"/>
      <c r="M8" s="9"/>
      <c r="N8" s="9"/>
      <c r="O8" s="8"/>
      <c r="P8" s="9"/>
      <c r="Q8" s="9"/>
      <c r="R8" s="9"/>
      <c r="S8" s="9"/>
      <c r="T8" s="9"/>
      <c r="U8" s="9"/>
      <c r="V8" s="10"/>
      <c r="W8" s="8" t="s">
        <v>41</v>
      </c>
      <c r="X8" s="9"/>
      <c r="Y8" s="9"/>
      <c r="Z8" s="9"/>
      <c r="AA8" s="9"/>
    </row>
    <row r="9" spans="2:27" ht="4" customHeight="1" x14ac:dyDescent="0.35">
      <c r="B9" s="2"/>
      <c r="C9" s="2"/>
      <c r="D9" s="2"/>
      <c r="E9" s="2"/>
      <c r="F9" s="10"/>
      <c r="G9" s="2"/>
      <c r="H9" s="2"/>
      <c r="I9" s="2"/>
      <c r="J9" s="2"/>
      <c r="K9" s="2"/>
      <c r="L9" s="2"/>
      <c r="M9" s="2"/>
      <c r="N9" s="2"/>
      <c r="O9" s="2"/>
      <c r="P9" s="2"/>
      <c r="Q9" s="2"/>
      <c r="R9" s="2"/>
      <c r="S9" s="2"/>
      <c r="T9" s="2"/>
      <c r="U9" s="2"/>
      <c r="V9" s="10"/>
      <c r="W9" s="2"/>
      <c r="X9" s="2"/>
      <c r="Y9" s="2"/>
      <c r="Z9" s="2"/>
      <c r="AA9" s="2"/>
    </row>
    <row r="10" spans="2:27" x14ac:dyDescent="0.35">
      <c r="B10" s="263" t="s">
        <v>42</v>
      </c>
      <c r="C10" s="263"/>
      <c r="D10" s="11"/>
      <c r="E10" s="11" t="str" cm="1">
        <f t="array" aca="1" ref="E10" ca="1">_FV(B2,"Official name",TRUE)</f>
        <v>SGH LIMITED</v>
      </c>
      <c r="F10" s="10"/>
      <c r="G10" s="220"/>
      <c r="H10" s="220"/>
      <c r="I10" s="220"/>
      <c r="J10" s="257" t="s">
        <v>43</v>
      </c>
      <c r="K10" s="264"/>
      <c r="L10" s="264"/>
      <c r="M10" s="264"/>
      <c r="N10" s="264"/>
      <c r="O10" s="264"/>
      <c r="P10" s="257" t="s">
        <v>44</v>
      </c>
      <c r="Q10" s="257"/>
      <c r="R10" s="257" t="s">
        <v>45</v>
      </c>
      <c r="S10" s="257"/>
      <c r="T10" s="220"/>
      <c r="U10" s="220"/>
      <c r="V10" s="10"/>
      <c r="W10" s="220"/>
      <c r="X10" s="220"/>
      <c r="Y10" s="220"/>
      <c r="Z10" s="13" t="s">
        <v>46</v>
      </c>
      <c r="AA10" s="14">
        <f>R12</f>
        <v>45657</v>
      </c>
    </row>
    <row r="11" spans="2:27" x14ac:dyDescent="0.35">
      <c r="B11" s="220" t="s">
        <v>5</v>
      </c>
      <c r="C11" s="220"/>
      <c r="D11" s="12"/>
      <c r="E11" s="11" t="str" cm="1">
        <f t="array" aca="1" ref="E11" ca="1">_FV(B2,"Ticker symbol",TRUE)</f>
        <v>SGH</v>
      </c>
      <c r="F11" s="15"/>
      <c r="G11" s="220"/>
      <c r="H11" s="220"/>
      <c r="I11" s="220"/>
      <c r="J11" s="264"/>
      <c r="K11" s="264"/>
      <c r="L11" s="264"/>
      <c r="M11" s="264"/>
      <c r="N11" s="264"/>
      <c r="O11" s="264"/>
      <c r="P11" s="257" t="s">
        <v>47</v>
      </c>
      <c r="Q11" s="257"/>
      <c r="R11" s="257" t="s">
        <v>47</v>
      </c>
      <c r="S11" s="257"/>
      <c r="T11" s="257" t="s">
        <v>3</v>
      </c>
      <c r="U11" s="257"/>
      <c r="V11" s="10"/>
      <c r="W11" s="220" t="s">
        <v>48</v>
      </c>
      <c r="X11" s="220"/>
      <c r="Y11" s="220"/>
      <c r="Z11" s="16">
        <v>654.29999999999995</v>
      </c>
      <c r="AA11" s="16">
        <v>194.4</v>
      </c>
    </row>
    <row r="12" spans="2:27" ht="15" thickBot="1" x14ac:dyDescent="0.4">
      <c r="B12" s="220" t="s">
        <v>49</v>
      </c>
      <c r="C12" s="220"/>
      <c r="D12" s="12"/>
      <c r="E12" s="11" t="str" cm="1">
        <f t="array" aca="1" ref="E12" ca="1">_FV(B2,"Exchange abbreviation",TRUE)</f>
        <v>XASX</v>
      </c>
      <c r="F12" s="10"/>
      <c r="G12" s="220"/>
      <c r="H12" s="220"/>
      <c r="I12" s="220"/>
      <c r="J12" s="257" t="s">
        <v>50</v>
      </c>
      <c r="K12" s="257"/>
      <c r="L12" s="257" t="s">
        <v>51</v>
      </c>
      <c r="M12" s="257"/>
      <c r="N12" s="257" t="s">
        <v>46</v>
      </c>
      <c r="O12" s="257"/>
      <c r="P12" s="250">
        <v>45291</v>
      </c>
      <c r="Q12" s="251"/>
      <c r="R12" s="250">
        <v>45657</v>
      </c>
      <c r="S12" s="251"/>
      <c r="T12" s="252">
        <f>R12</f>
        <v>45657</v>
      </c>
      <c r="U12" s="252"/>
      <c r="V12" s="10"/>
      <c r="W12" s="220" t="s">
        <v>52</v>
      </c>
      <c r="X12" s="220"/>
      <c r="Y12" s="220"/>
      <c r="Z12" s="16">
        <v>1320.1</v>
      </c>
      <c r="AA12" s="16">
        <v>1305.8</v>
      </c>
    </row>
    <row r="13" spans="2:27" x14ac:dyDescent="0.35">
      <c r="B13" s="220" t="s">
        <v>53</v>
      </c>
      <c r="C13" s="220"/>
      <c r="D13" s="12"/>
      <c r="E13" s="17">
        <v>45838</v>
      </c>
      <c r="F13" s="10"/>
      <c r="G13" s="229" t="s">
        <v>8</v>
      </c>
      <c r="H13" s="229"/>
      <c r="I13" s="229"/>
      <c r="J13" s="233">
        <v>8013.4</v>
      </c>
      <c r="K13" s="234"/>
      <c r="L13" s="233">
        <v>9626.5</v>
      </c>
      <c r="M13" s="234"/>
      <c r="N13" s="233">
        <v>10617.5</v>
      </c>
      <c r="O13" s="234"/>
      <c r="P13" s="253">
        <v>5394</v>
      </c>
      <c r="Q13" s="254"/>
      <c r="R13" s="255">
        <v>5512.8</v>
      </c>
      <c r="S13" s="256"/>
      <c r="T13" s="231">
        <f>IFERROR(N13+R13-P13," -        ")</f>
        <v>10736.3</v>
      </c>
      <c r="U13" s="230"/>
      <c r="V13" s="10"/>
      <c r="W13" s="220" t="s">
        <v>54</v>
      </c>
      <c r="X13" s="220"/>
      <c r="Y13" s="220"/>
      <c r="Z13" s="16">
        <v>1991.1</v>
      </c>
      <c r="AA13" s="16">
        <v>1834.7</v>
      </c>
    </row>
    <row r="14" spans="2:27" ht="14.5" customHeight="1" x14ac:dyDescent="0.35">
      <c r="B14" s="249" t="s">
        <v>55</v>
      </c>
      <c r="C14" s="249"/>
      <c r="D14" s="249"/>
      <c r="E14" s="19">
        <v>0.15</v>
      </c>
      <c r="F14" s="10"/>
      <c r="G14" s="220" t="s">
        <v>56</v>
      </c>
      <c r="H14" s="229"/>
      <c r="I14" s="229"/>
      <c r="J14" s="233">
        <v>5056</v>
      </c>
      <c r="K14" s="234"/>
      <c r="L14" s="233">
        <v>6064.4</v>
      </c>
      <c r="M14" s="234"/>
      <c r="N14" s="233">
        <v>6762.4</v>
      </c>
      <c r="O14" s="234"/>
      <c r="P14" s="235">
        <v>4339.3</v>
      </c>
      <c r="Q14" s="234"/>
      <c r="R14" s="233">
        <v>4468.8</v>
      </c>
      <c r="S14" s="236"/>
      <c r="T14" s="230">
        <f t="shared" ref="T14:T23" si="0">IFERROR(N14+R14-P14," -        ")</f>
        <v>6891.9000000000005</v>
      </c>
      <c r="U14" s="230"/>
      <c r="V14" s="10"/>
      <c r="W14" s="220" t="s">
        <v>57</v>
      </c>
      <c r="X14" s="220"/>
      <c r="Y14" s="220"/>
      <c r="Z14" s="16">
        <f>8.4+7.3+367.5</f>
        <v>383.2</v>
      </c>
      <c r="AA14" s="16">
        <f>182.2+273.5+17.9+7.7</f>
        <v>481.29999999999995</v>
      </c>
    </row>
    <row r="15" spans="2:27" x14ac:dyDescent="0.35">
      <c r="B15" s="220" t="s">
        <v>58</v>
      </c>
      <c r="C15" s="220"/>
      <c r="D15" s="12"/>
      <c r="E15" s="11" t="s">
        <v>59</v>
      </c>
      <c r="F15" s="10"/>
      <c r="G15" s="220" t="s">
        <v>60</v>
      </c>
      <c r="H15" s="220"/>
      <c r="I15" s="220"/>
      <c r="J15" s="230">
        <f>IFERROR(J13-J14," -        ")</f>
        <v>2957.3999999999996</v>
      </c>
      <c r="K15" s="230"/>
      <c r="L15" s="230">
        <f t="shared" ref="L15" si="1">IFERROR(L13-L14," -        ")</f>
        <v>3562.1000000000004</v>
      </c>
      <c r="M15" s="230"/>
      <c r="N15" s="230">
        <f t="shared" ref="N15" si="2">IFERROR(N13-N14," -        ")</f>
        <v>3855.1000000000004</v>
      </c>
      <c r="O15" s="230"/>
      <c r="P15" s="231">
        <f>IFERROR(P13-P14," -        ")</f>
        <v>1054.6999999999998</v>
      </c>
      <c r="Q15" s="230"/>
      <c r="R15" s="230">
        <f t="shared" ref="R15" si="3">IFERROR(R13-R14," -        ")</f>
        <v>1044</v>
      </c>
      <c r="S15" s="232"/>
      <c r="T15" s="230">
        <f t="shared" si="0"/>
        <v>3844.4000000000005</v>
      </c>
      <c r="U15" s="230"/>
      <c r="V15" s="10"/>
      <c r="W15" s="220" t="s">
        <v>61</v>
      </c>
      <c r="X15" s="220"/>
      <c r="Y15" s="220"/>
      <c r="Z15" s="20">
        <f>IFERROR(Z11+Z12+Z13+Z14," -        ")</f>
        <v>4348.7</v>
      </c>
      <c r="AA15" s="20">
        <f>IFERROR(AA11+AA12+AA13+AA14," -        ")</f>
        <v>3816.2</v>
      </c>
    </row>
    <row r="16" spans="2:27" x14ac:dyDescent="0.35">
      <c r="B16" s="220" t="s">
        <v>62</v>
      </c>
      <c r="C16" s="220"/>
      <c r="D16" s="12"/>
      <c r="E16" s="21" t="s">
        <v>63</v>
      </c>
      <c r="F16" s="10"/>
      <c r="G16" s="220" t="s">
        <v>64</v>
      </c>
      <c r="H16" s="220"/>
      <c r="I16" s="220"/>
      <c r="J16" s="233">
        <v>1061.2</v>
      </c>
      <c r="K16" s="234"/>
      <c r="L16" s="233">
        <v>1168.4000000000001</v>
      </c>
      <c r="M16" s="234"/>
      <c r="N16" s="233">
        <v>1215.4000000000001</v>
      </c>
      <c r="O16" s="234"/>
      <c r="P16" s="235" t="s">
        <v>65</v>
      </c>
      <c r="Q16" s="234"/>
      <c r="R16" s="233">
        <v>190</v>
      </c>
      <c r="S16" s="236"/>
      <c r="T16" s="230" t="str">
        <f t="shared" si="0"/>
        <v xml:space="preserve"> -        </v>
      </c>
      <c r="U16" s="230"/>
      <c r="V16" s="10"/>
      <c r="W16" s="220"/>
      <c r="X16" s="220"/>
      <c r="Y16" s="220"/>
      <c r="Z16" s="20"/>
      <c r="AA16" s="20"/>
    </row>
    <row r="17" spans="2:27" x14ac:dyDescent="0.35">
      <c r="B17" s="220" t="s">
        <v>66</v>
      </c>
      <c r="C17" s="220"/>
      <c r="D17" s="12"/>
      <c r="E17" s="22">
        <v>0.3</v>
      </c>
      <c r="F17" s="10"/>
      <c r="G17" s="220" t="s">
        <v>67</v>
      </c>
      <c r="H17" s="220"/>
      <c r="I17" s="220"/>
      <c r="J17" s="233">
        <f>J15-J16-987.1</f>
        <v>909.09999999999957</v>
      </c>
      <c r="K17" s="234"/>
      <c r="L17" s="233">
        <f>L15-L16-1198.9</f>
        <v>1194.8000000000002</v>
      </c>
      <c r="M17" s="234"/>
      <c r="N17" s="233">
        <f>N15-N16-1419.2</f>
        <v>1220.5000000000002</v>
      </c>
      <c r="O17" s="234"/>
      <c r="P17" s="235" t="s">
        <v>65</v>
      </c>
      <c r="Q17" s="234"/>
      <c r="R17" s="233">
        <v>11.3</v>
      </c>
      <c r="S17" s="236"/>
      <c r="T17" s="230" t="str">
        <f t="shared" si="0"/>
        <v xml:space="preserve"> -        </v>
      </c>
      <c r="U17" s="230"/>
      <c r="V17" s="10"/>
      <c r="W17" s="220" t="s">
        <v>68</v>
      </c>
      <c r="X17" s="220"/>
      <c r="Y17" s="220"/>
      <c r="Z17" s="16">
        <v>4976.5</v>
      </c>
      <c r="AA17" s="16">
        <f>3620.3+697.9+764.2</f>
        <v>5082.3999999999996</v>
      </c>
    </row>
    <row r="18" spans="2:27" x14ac:dyDescent="0.35">
      <c r="B18" s="10"/>
      <c r="C18" s="10"/>
      <c r="D18" s="10"/>
      <c r="E18" s="10"/>
      <c r="F18" s="10"/>
      <c r="G18" s="220" t="s">
        <v>69</v>
      </c>
      <c r="H18" s="220"/>
      <c r="I18" s="220"/>
      <c r="J18" s="248">
        <f>IFERROR(J15-J16-J17," -        ")</f>
        <v>987.1</v>
      </c>
      <c r="K18" s="230"/>
      <c r="L18" s="248">
        <f>IFERROR(L15-L16-L17," -        ")</f>
        <v>1198.9000000000001</v>
      </c>
      <c r="M18" s="230"/>
      <c r="N18" s="248">
        <f>IFERROR(N15-N16-N17," -        ")</f>
        <v>1419.2</v>
      </c>
      <c r="O18" s="230"/>
      <c r="P18" s="231">
        <v>763.7</v>
      </c>
      <c r="Q18" s="230"/>
      <c r="R18" s="230">
        <f>IFERROR(R15-R16-R17," -        ")</f>
        <v>842.7</v>
      </c>
      <c r="S18" s="232"/>
      <c r="T18" s="230">
        <f t="shared" si="0"/>
        <v>1498.2</v>
      </c>
      <c r="U18" s="230"/>
      <c r="V18" s="10"/>
      <c r="W18" s="220" t="s">
        <v>70</v>
      </c>
      <c r="X18" s="220"/>
      <c r="Y18" s="220"/>
      <c r="Z18" s="16">
        <f>563.7+1656.7</f>
        <v>2220.4</v>
      </c>
      <c r="AA18" s="16">
        <v>2218.8000000000002</v>
      </c>
    </row>
    <row r="19" spans="2:27" ht="15" thickBot="1" x14ac:dyDescent="0.4">
      <c r="B19" s="8" t="s">
        <v>71</v>
      </c>
      <c r="C19" s="9"/>
      <c r="D19" s="9"/>
      <c r="E19" s="9"/>
      <c r="F19" s="10"/>
      <c r="G19" s="220" t="s">
        <v>72</v>
      </c>
      <c r="H19" s="220"/>
      <c r="I19" s="220"/>
      <c r="J19" s="233">
        <v>265.7</v>
      </c>
      <c r="K19" s="234"/>
      <c r="L19" s="233">
        <v>287.2</v>
      </c>
      <c r="M19" s="234"/>
      <c r="N19" s="233">
        <v>302.2</v>
      </c>
      <c r="O19" s="234"/>
      <c r="P19" s="235">
        <v>142.30000000000001</v>
      </c>
      <c r="Q19" s="234"/>
      <c r="R19" s="233">
        <v>162.4</v>
      </c>
      <c r="S19" s="236"/>
      <c r="T19" s="230">
        <f t="shared" si="0"/>
        <v>322.3</v>
      </c>
      <c r="U19" s="230"/>
      <c r="V19" s="10"/>
      <c r="W19" s="220" t="s">
        <v>73</v>
      </c>
      <c r="X19" s="220"/>
      <c r="Y19" s="220"/>
      <c r="Z19" s="16">
        <f>3.5+346.8+1533.7+137.3+37.2</f>
        <v>2058.5</v>
      </c>
      <c r="AA19" s="16">
        <f>2.8+347.9+1360.8+80.2+0.3+49+241</f>
        <v>2082</v>
      </c>
    </row>
    <row r="20" spans="2:27" ht="3.5" customHeight="1" x14ac:dyDescent="0.35">
      <c r="B20" s="2"/>
      <c r="C20" s="2"/>
      <c r="D20" s="2"/>
      <c r="E20" s="2"/>
      <c r="F20" s="10"/>
      <c r="G20" s="220"/>
      <c r="H20" s="220"/>
      <c r="I20" s="220"/>
      <c r="J20" s="244"/>
      <c r="K20" s="244"/>
      <c r="L20" s="244"/>
      <c r="M20" s="244"/>
      <c r="N20" s="244"/>
      <c r="O20" s="244"/>
      <c r="P20" s="245"/>
      <c r="Q20" s="244"/>
      <c r="R20" s="244"/>
      <c r="S20" s="246"/>
      <c r="T20" s="230">
        <f t="shared" si="0"/>
        <v>0</v>
      </c>
      <c r="U20" s="230"/>
      <c r="V20" s="10"/>
      <c r="W20" s="220"/>
      <c r="X20" s="220"/>
      <c r="Y20" s="12"/>
      <c r="Z20" s="20"/>
      <c r="AA20" s="20"/>
    </row>
    <row r="21" spans="2:27" x14ac:dyDescent="0.35">
      <c r="B21" s="220" t="s">
        <v>74</v>
      </c>
      <c r="C21" s="220"/>
      <c r="D21" s="23" cm="1">
        <f t="array" aca="1" ref="D21" ca="1">_FV(B2,"Last trade time",TRUE)</f>
        <v>45763.187682233591</v>
      </c>
      <c r="E21" s="24" cm="1">
        <f t="array" aca="1" ref="E21" ca="1">_FV(B2,"Price")</f>
        <v>48.05</v>
      </c>
      <c r="F21" s="10"/>
      <c r="G21" s="220" t="s">
        <v>75</v>
      </c>
      <c r="H21" s="220"/>
      <c r="I21" s="220"/>
      <c r="J21" s="230">
        <f>IFERROR(J18-J19," -        ")</f>
        <v>721.40000000000009</v>
      </c>
      <c r="K21" s="230"/>
      <c r="L21" s="230">
        <f t="shared" ref="L21" si="4">IFERROR(L18-L19," -        ")</f>
        <v>911.7</v>
      </c>
      <c r="M21" s="230"/>
      <c r="N21" s="230">
        <f t="shared" ref="N21" si="5">IFERROR(N18-N19," -        ")</f>
        <v>1117</v>
      </c>
      <c r="O21" s="230"/>
      <c r="P21" s="231">
        <f t="shared" ref="P21" si="6">IFERROR(P18-P19," -        ")</f>
        <v>621.40000000000009</v>
      </c>
      <c r="Q21" s="230"/>
      <c r="R21" s="230">
        <f t="shared" ref="R21" si="7">IFERROR(R18-R19," -        ")</f>
        <v>680.30000000000007</v>
      </c>
      <c r="S21" s="232"/>
      <c r="T21" s="230">
        <f t="shared" si="0"/>
        <v>1175.9000000000001</v>
      </c>
      <c r="U21" s="230"/>
      <c r="V21" s="10"/>
      <c r="W21" s="220" t="s">
        <v>76</v>
      </c>
      <c r="X21" s="220"/>
      <c r="Y21" s="220"/>
      <c r="Z21" s="20">
        <f>IFERROR(Z17+Z18+Z19+Z15," -       ")</f>
        <v>13604.099999999999</v>
      </c>
      <c r="AA21" s="20">
        <f>IFERROR(AA17+AA18+AA19+AA15," -       ")</f>
        <v>13199.400000000001</v>
      </c>
    </row>
    <row r="22" spans="2:27" x14ac:dyDescent="0.35">
      <c r="B22" s="220" t="s">
        <v>77</v>
      </c>
      <c r="C22" s="220"/>
      <c r="D22" s="25"/>
      <c r="E22" s="26">
        <f ca="1">IFERROR(E21/E23,"NA")</f>
        <v>0.87173439767779393</v>
      </c>
      <c r="F22" s="10"/>
      <c r="G22" s="220" t="s">
        <v>78</v>
      </c>
      <c r="H22" s="220"/>
      <c r="I22" s="220"/>
      <c r="J22" s="233">
        <v>156.19999999999999</v>
      </c>
      <c r="K22" s="234"/>
      <c r="L22" s="233">
        <v>209.8</v>
      </c>
      <c r="M22" s="234"/>
      <c r="N22" s="233">
        <v>211.6</v>
      </c>
      <c r="O22" s="234"/>
      <c r="P22" s="235">
        <v>147.1</v>
      </c>
      <c r="Q22" s="234"/>
      <c r="R22" s="233">
        <v>172.6</v>
      </c>
      <c r="S22" s="236"/>
      <c r="T22" s="230">
        <f t="shared" si="0"/>
        <v>237.1</v>
      </c>
      <c r="U22" s="230"/>
      <c r="V22" s="10"/>
      <c r="W22" s="220"/>
      <c r="X22" s="220"/>
      <c r="Y22" s="220"/>
      <c r="Z22" s="20"/>
      <c r="AA22" s="20"/>
    </row>
    <row r="23" spans="2:27" x14ac:dyDescent="0.35">
      <c r="B23" s="220" t="s">
        <v>79</v>
      </c>
      <c r="C23" s="220"/>
      <c r="D23" s="23" cm="1">
        <f t="array" aca="1" ref="D23" ca="1">_FV(B2,"Last trade time",TRUE)</f>
        <v>45763.187682233591</v>
      </c>
      <c r="E23" s="24" cm="1">
        <f t="array" aca="1" ref="E23" ca="1">_FV(B2,"52 week high",TRUE)</f>
        <v>55.12</v>
      </c>
      <c r="F23" s="10"/>
      <c r="G23" s="220" t="s">
        <v>80</v>
      </c>
      <c r="H23" s="220"/>
      <c r="I23" s="220"/>
      <c r="J23" s="233">
        <v>49</v>
      </c>
      <c r="K23" s="234"/>
      <c r="L23" s="233">
        <v>49.9</v>
      </c>
      <c r="M23" s="234"/>
      <c r="N23" s="233">
        <v>57.7</v>
      </c>
      <c r="O23" s="234"/>
      <c r="P23" s="235">
        <v>41.2</v>
      </c>
      <c r="Q23" s="234"/>
      <c r="R23" s="233">
        <v>2.2999999999999998</v>
      </c>
      <c r="S23" s="236"/>
      <c r="T23" s="230">
        <f t="shared" si="0"/>
        <v>18.799999999999997</v>
      </c>
      <c r="U23" s="230"/>
      <c r="V23" s="10"/>
      <c r="W23" s="220" t="s">
        <v>81</v>
      </c>
      <c r="X23" s="220"/>
      <c r="Y23" s="220"/>
      <c r="Z23" s="16">
        <v>1459.7</v>
      </c>
      <c r="AA23" s="16">
        <v>957.2</v>
      </c>
    </row>
    <row r="24" spans="2:27" x14ac:dyDescent="0.35">
      <c r="B24" s="220" t="s">
        <v>82</v>
      </c>
      <c r="C24" s="220"/>
      <c r="D24" s="23" cm="1">
        <f t="array" aca="1" ref="D24" ca="1">_FV(B2,"Last trade time",TRUE)</f>
        <v>45763.187682233591</v>
      </c>
      <c r="E24" s="24" cm="1">
        <f t="array" aca="1" ref="E24" ca="1">_FV(B2,"52 week low",TRUE)</f>
        <v>34.950000000000003</v>
      </c>
      <c r="F24" s="10"/>
      <c r="G24" s="220" t="s">
        <v>83</v>
      </c>
      <c r="H24" s="220"/>
      <c r="I24" s="220"/>
      <c r="J24" s="233">
        <v>0</v>
      </c>
      <c r="K24" s="234"/>
      <c r="L24" s="233">
        <v>0</v>
      </c>
      <c r="M24" s="234"/>
      <c r="N24" s="233">
        <v>0</v>
      </c>
      <c r="O24" s="234"/>
      <c r="P24" s="235">
        <v>0</v>
      </c>
      <c r="Q24" s="234"/>
      <c r="R24" s="233">
        <v>0</v>
      </c>
      <c r="S24" s="236"/>
      <c r="T24" s="230">
        <f>IFERROR(N24+R24-P24," -        ")</f>
        <v>0</v>
      </c>
      <c r="U24" s="230"/>
      <c r="V24" s="10"/>
      <c r="W24" s="220" t="s">
        <v>84</v>
      </c>
      <c r="X24" s="220"/>
      <c r="Y24" s="220"/>
      <c r="Z24" s="16">
        <v>775.5</v>
      </c>
      <c r="AA24" s="16">
        <f>77.8+0.8</f>
        <v>78.599999999999994</v>
      </c>
    </row>
    <row r="25" spans="2:27" x14ac:dyDescent="0.35">
      <c r="B25" s="220" t="s">
        <v>85</v>
      </c>
      <c r="C25" s="220"/>
      <c r="D25" s="25"/>
      <c r="E25" s="27">
        <f>E14</f>
        <v>0.15</v>
      </c>
      <c r="F25" s="10"/>
      <c r="G25" s="220" t="s">
        <v>86</v>
      </c>
      <c r="H25" s="220"/>
      <c r="I25" s="220"/>
      <c r="J25" s="230">
        <f>IFERROR(J21-J22-J23-J24," -        ")</f>
        <v>516.20000000000005</v>
      </c>
      <c r="K25" s="230"/>
      <c r="L25" s="230">
        <f t="shared" ref="L25" si="8">IFERROR(L21-L22-L23-L24," -        ")</f>
        <v>652.00000000000011</v>
      </c>
      <c r="M25" s="230"/>
      <c r="N25" s="230">
        <f t="shared" ref="N25" si="9">IFERROR(N21-N22-N23-N24," -        ")</f>
        <v>847.69999999999993</v>
      </c>
      <c r="O25" s="230"/>
      <c r="P25" s="231">
        <f t="shared" ref="P25" si="10">IFERROR(P21-P22-P23-P24," -        ")</f>
        <v>433.10000000000008</v>
      </c>
      <c r="Q25" s="230"/>
      <c r="R25" s="230">
        <f t="shared" ref="R25" si="11">IFERROR(R21-R22-R23-R24," -        ")</f>
        <v>505.40000000000003</v>
      </c>
      <c r="S25" s="232"/>
      <c r="T25" s="230">
        <f t="shared" ref="T25:T29" si="12">IFERROR(N25+R25-P25," -        ")</f>
        <v>919.99999999999977</v>
      </c>
      <c r="U25" s="230"/>
      <c r="V25" s="10"/>
      <c r="W25" s="220" t="s">
        <v>87</v>
      </c>
      <c r="X25" s="220"/>
      <c r="Y25" s="220"/>
      <c r="Z25" s="16">
        <f>473.8+519.3</f>
        <v>993.09999999999991</v>
      </c>
      <c r="AA25" s="16">
        <f>443.7+109.3+144.3+191+16.5</f>
        <v>904.8</v>
      </c>
    </row>
    <row r="26" spans="2:27" x14ac:dyDescent="0.35">
      <c r="B26" s="220"/>
      <c r="C26" s="220"/>
      <c r="D26" s="25"/>
      <c r="E26" s="25"/>
      <c r="F26" s="10"/>
      <c r="G26" s="220" t="s">
        <v>88</v>
      </c>
      <c r="H26" s="220"/>
      <c r="I26" s="220"/>
      <c r="J26" s="205">
        <f>IFERROR(J22/J21," -        ")</f>
        <v>0.21652342667036314</v>
      </c>
      <c r="K26" s="205"/>
      <c r="L26" s="205">
        <f t="shared" ref="L26" si="13">IFERROR(L22/L21," -        ")</f>
        <v>0.23011955687177799</v>
      </c>
      <c r="M26" s="205"/>
      <c r="N26" s="205">
        <f t="shared" ref="N26" si="14">IFERROR(N22/N21," -        ")</f>
        <v>0.18943598925693822</v>
      </c>
      <c r="O26" s="205"/>
      <c r="P26" s="216">
        <f t="shared" ref="P26" si="15">IFERROR(P22/P21," -        ")</f>
        <v>0.23672352751850656</v>
      </c>
      <c r="Q26" s="205"/>
      <c r="R26" s="205">
        <f t="shared" ref="R26" si="16">IFERROR(R22/R21," -        ")</f>
        <v>0.25371159782448915</v>
      </c>
      <c r="S26" s="217"/>
      <c r="T26" s="205">
        <f t="shared" si="12"/>
        <v>0.20642405956292081</v>
      </c>
      <c r="U26" s="205"/>
      <c r="V26" s="28"/>
      <c r="W26" s="247" t="s">
        <v>89</v>
      </c>
      <c r="X26" s="247"/>
      <c r="Y26" s="247"/>
      <c r="Z26" s="20">
        <f>IFERROR(Z23+Z24+Z25," -       ")</f>
        <v>3228.2999999999997</v>
      </c>
      <c r="AA26" s="20">
        <f>IFERROR(AA23+AA24+AA25," -       ")</f>
        <v>1940.6</v>
      </c>
    </row>
    <row r="27" spans="2:27" x14ac:dyDescent="0.35">
      <c r="B27" s="29" t="s">
        <v>90</v>
      </c>
      <c r="C27" s="29"/>
      <c r="D27" s="25"/>
      <c r="E27" s="20">
        <f>T28</f>
        <v>397.7</v>
      </c>
      <c r="F27" s="10"/>
      <c r="G27" s="220"/>
      <c r="H27" s="220"/>
      <c r="I27" s="220"/>
      <c r="J27" s="244"/>
      <c r="K27" s="244"/>
      <c r="L27" s="244"/>
      <c r="M27" s="244"/>
      <c r="N27" s="244"/>
      <c r="O27" s="244"/>
      <c r="P27" s="245"/>
      <c r="Q27" s="244"/>
      <c r="R27" s="244"/>
      <c r="S27" s="246"/>
      <c r="T27" s="230"/>
      <c r="U27" s="230"/>
      <c r="V27" s="10"/>
      <c r="W27" s="220"/>
      <c r="X27" s="220"/>
      <c r="Y27" s="220"/>
      <c r="Z27" s="20"/>
      <c r="AA27" s="20"/>
    </row>
    <row r="28" spans="2:27" x14ac:dyDescent="0.35">
      <c r="B28" s="229" t="s">
        <v>91</v>
      </c>
      <c r="C28" s="229"/>
      <c r="D28" s="25"/>
      <c r="E28" s="30">
        <f ca="1">IFERROR(E27*E21," -       ")</f>
        <v>19109.484999999997</v>
      </c>
      <c r="F28" s="10"/>
      <c r="G28" s="220" t="s">
        <v>92</v>
      </c>
      <c r="H28" s="220"/>
      <c r="I28" s="220"/>
      <c r="J28" s="233">
        <v>363.3</v>
      </c>
      <c r="K28" s="234"/>
      <c r="L28" s="233">
        <v>363.3</v>
      </c>
      <c r="M28" s="234"/>
      <c r="N28" s="233">
        <v>368.3</v>
      </c>
      <c r="O28" s="234"/>
      <c r="P28" s="235">
        <v>366.6</v>
      </c>
      <c r="Q28" s="234"/>
      <c r="R28" s="233">
        <v>406.6</v>
      </c>
      <c r="S28" s="236"/>
      <c r="T28" s="230">
        <v>397.7</v>
      </c>
      <c r="U28" s="230"/>
      <c r="V28" s="10"/>
      <c r="W28" s="220" t="s">
        <v>93</v>
      </c>
      <c r="X28" s="220"/>
      <c r="Y28" s="220"/>
      <c r="Z28" s="16">
        <v>8296.6</v>
      </c>
      <c r="AA28" s="16">
        <v>5688.3</v>
      </c>
    </row>
    <row r="29" spans="2:27" ht="15" thickBot="1" x14ac:dyDescent="0.4">
      <c r="B29" s="220"/>
      <c r="C29" s="220"/>
      <c r="D29" s="25"/>
      <c r="E29" s="30"/>
      <c r="F29" s="10"/>
      <c r="G29" s="220" t="s">
        <v>94</v>
      </c>
      <c r="H29" s="220"/>
      <c r="I29" s="220"/>
      <c r="J29" s="230">
        <f>IFERROR(J25/J28," -        ")</f>
        <v>1.4208642994770164</v>
      </c>
      <c r="K29" s="230"/>
      <c r="L29" s="230">
        <f t="shared" ref="L29" si="17">IFERROR(L25/L28," -        ")</f>
        <v>1.7946600605560146</v>
      </c>
      <c r="M29" s="230"/>
      <c r="N29" s="230">
        <f>IFERROR(N25/N28," -        ")</f>
        <v>2.3016562584849307</v>
      </c>
      <c r="O29" s="230"/>
      <c r="P29" s="241">
        <f t="shared" ref="P29" si="18">IFERROR(P25/P28," -        ")</f>
        <v>1.1813966175668305</v>
      </c>
      <c r="Q29" s="242"/>
      <c r="R29" s="242">
        <f t="shared" ref="R29" si="19">IFERROR(R25/R28," -        ")</f>
        <v>1.2429906542056075</v>
      </c>
      <c r="S29" s="243"/>
      <c r="T29" s="230">
        <f t="shared" si="12"/>
        <v>2.363250295123708</v>
      </c>
      <c r="U29" s="230"/>
      <c r="V29" s="10"/>
      <c r="W29" s="220" t="s">
        <v>95</v>
      </c>
      <c r="X29" s="220"/>
      <c r="Y29" s="220"/>
      <c r="Z29" s="16">
        <f>7.9+1048.9</f>
        <v>1056.8000000000002</v>
      </c>
      <c r="AA29" s="16">
        <f>6.1+821.7+0</f>
        <v>827.80000000000007</v>
      </c>
    </row>
    <row r="30" spans="2:27" x14ac:dyDescent="0.35">
      <c r="B30" s="220" t="s">
        <v>96</v>
      </c>
      <c r="C30" s="220"/>
      <c r="D30" s="25"/>
      <c r="E30" s="30">
        <f>IF(SUM(AA24,AA28)=0," -       ",SUM(AA24,AA28))</f>
        <v>5766.9000000000005</v>
      </c>
      <c r="F30" s="10"/>
      <c r="G30" s="10"/>
      <c r="H30" s="10"/>
      <c r="I30" s="10"/>
      <c r="J30" s="10"/>
      <c r="K30" s="10"/>
      <c r="L30" s="10"/>
      <c r="M30" s="10"/>
      <c r="N30" s="10"/>
      <c r="O30" s="10"/>
      <c r="P30" s="10"/>
      <c r="Q30" s="10"/>
      <c r="R30" s="10"/>
      <c r="S30" s="10"/>
      <c r="T30" s="10"/>
      <c r="U30" s="10"/>
      <c r="V30" s="10"/>
      <c r="W30" s="229" t="s">
        <v>97</v>
      </c>
      <c r="X30" s="229"/>
      <c r="Y30" s="229"/>
      <c r="Z30" s="20">
        <f>IFERROR(Z26+Z28+Z29," -       ")</f>
        <v>12581.7</v>
      </c>
      <c r="AA30" s="20">
        <f>IFERROR(AA26+AA28+AA29," -       ")</f>
        <v>8456.6999999999989</v>
      </c>
    </row>
    <row r="31" spans="2:27" x14ac:dyDescent="0.35">
      <c r="B31" s="220" t="s">
        <v>98</v>
      </c>
      <c r="C31" s="220"/>
      <c r="D31" s="25"/>
      <c r="E31" s="30">
        <f>AA33</f>
        <v>0</v>
      </c>
      <c r="F31" s="10"/>
      <c r="G31" s="10"/>
      <c r="H31" s="10"/>
      <c r="I31" s="10"/>
      <c r="J31" s="10"/>
      <c r="K31" s="10"/>
      <c r="L31" s="10"/>
      <c r="M31" s="10"/>
      <c r="N31" s="10"/>
      <c r="O31" s="10"/>
      <c r="P31" s="10"/>
      <c r="Q31" s="10"/>
      <c r="R31" s="10"/>
      <c r="S31" s="10"/>
      <c r="T31" s="10"/>
      <c r="U31" s="10"/>
      <c r="V31" s="10"/>
      <c r="W31" s="220"/>
      <c r="X31" s="220"/>
      <c r="Y31" s="220"/>
      <c r="Z31" s="20"/>
      <c r="AA31" s="20"/>
    </row>
    <row r="32" spans="2:27" ht="15" thickBot="1" x14ac:dyDescent="0.4">
      <c r="B32" s="220" t="s">
        <v>99</v>
      </c>
      <c r="C32" s="220"/>
      <c r="D32" s="25"/>
      <c r="E32" s="30">
        <f>AA32</f>
        <v>18.799999999999997</v>
      </c>
      <c r="F32" s="10"/>
      <c r="G32" s="1" t="s">
        <v>100</v>
      </c>
      <c r="H32" s="2"/>
      <c r="I32" s="2"/>
      <c r="J32" s="2"/>
      <c r="K32" s="2"/>
      <c r="L32" s="2"/>
      <c r="M32" s="2"/>
      <c r="N32" s="2"/>
      <c r="O32" s="2"/>
      <c r="P32" s="2"/>
      <c r="Q32" s="2"/>
      <c r="R32" s="2"/>
      <c r="S32" s="2"/>
      <c r="T32" s="2"/>
      <c r="U32" s="2"/>
      <c r="V32" s="10"/>
      <c r="W32" s="220" t="s">
        <v>101</v>
      </c>
      <c r="X32" s="220"/>
      <c r="Y32" s="220"/>
      <c r="Z32" s="16">
        <f>N23</f>
        <v>57.7</v>
      </c>
      <c r="AA32" s="16">
        <f>T23</f>
        <v>18.799999999999997</v>
      </c>
    </row>
    <row r="33" spans="2:27" x14ac:dyDescent="0.35">
      <c r="B33" s="29" t="s">
        <v>102</v>
      </c>
      <c r="C33" s="29"/>
      <c r="D33" s="25"/>
      <c r="E33" s="30">
        <f>AA11</f>
        <v>194.4</v>
      </c>
      <c r="F33" s="10"/>
      <c r="G33" s="220" t="s">
        <v>103</v>
      </c>
      <c r="H33" s="220"/>
      <c r="I33" s="220"/>
      <c r="J33" s="230">
        <f>J15</f>
        <v>2957.3999999999996</v>
      </c>
      <c r="K33" s="230"/>
      <c r="L33" s="230">
        <f t="shared" ref="L33" si="20">L15</f>
        <v>3562.1000000000004</v>
      </c>
      <c r="M33" s="230"/>
      <c r="N33" s="230">
        <f t="shared" ref="N33" si="21">N15</f>
        <v>3855.1000000000004</v>
      </c>
      <c r="O33" s="230"/>
      <c r="P33" s="238">
        <f t="shared" ref="P33" si="22">P15</f>
        <v>1054.6999999999998</v>
      </c>
      <c r="Q33" s="239"/>
      <c r="R33" s="239">
        <f t="shared" ref="R33" si="23">R15</f>
        <v>1044</v>
      </c>
      <c r="S33" s="240"/>
      <c r="T33" s="230">
        <f t="shared" ref="T33:T59" si="24">IFERROR(N33+R33-P33," -        ")</f>
        <v>3844.4000000000005</v>
      </c>
      <c r="U33" s="230"/>
      <c r="V33" s="10"/>
      <c r="W33" s="220" t="s">
        <v>104</v>
      </c>
      <c r="X33" s="220"/>
      <c r="Y33" s="220"/>
      <c r="Z33" s="16">
        <v>0</v>
      </c>
      <c r="AA33" s="16">
        <v>0</v>
      </c>
    </row>
    <row r="34" spans="2:27" x14ac:dyDescent="0.35">
      <c r="B34" s="229" t="s">
        <v>105</v>
      </c>
      <c r="C34" s="229"/>
      <c r="D34" s="25"/>
      <c r="E34" s="30">
        <f ca="1">IFERROR(E28+E30+E31+E32-E33,"-       ")</f>
        <v>24700.784999999996</v>
      </c>
      <c r="F34" s="10"/>
      <c r="G34" s="220" t="s">
        <v>106</v>
      </c>
      <c r="H34" s="220"/>
      <c r="I34" s="220"/>
      <c r="J34" s="233">
        <v>0</v>
      </c>
      <c r="K34" s="234"/>
      <c r="L34" s="233">
        <v>0</v>
      </c>
      <c r="M34" s="234"/>
      <c r="N34" s="233">
        <v>0</v>
      </c>
      <c r="O34" s="234"/>
      <c r="P34" s="235">
        <v>0</v>
      </c>
      <c r="Q34" s="234"/>
      <c r="R34" s="233">
        <v>0</v>
      </c>
      <c r="S34" s="236"/>
      <c r="T34" s="230">
        <f t="shared" si="24"/>
        <v>0</v>
      </c>
      <c r="U34" s="230"/>
      <c r="V34" s="10"/>
      <c r="W34" s="220" t="s">
        <v>107</v>
      </c>
      <c r="X34" s="220"/>
      <c r="Y34" s="220"/>
      <c r="Z34" s="16">
        <v>4117.8999999999996</v>
      </c>
      <c r="AA34" s="16">
        <v>4742.7</v>
      </c>
    </row>
    <row r="35" spans="2:27" x14ac:dyDescent="0.35">
      <c r="B35" s="10"/>
      <c r="C35" s="10"/>
      <c r="D35" s="10"/>
      <c r="E35" s="10"/>
      <c r="F35" s="10"/>
      <c r="G35" s="220" t="s">
        <v>108</v>
      </c>
      <c r="H35" s="220"/>
      <c r="I35" s="220"/>
      <c r="J35" s="230">
        <f>IFERROR(J33+J34," -        ")</f>
        <v>2957.3999999999996</v>
      </c>
      <c r="K35" s="230"/>
      <c r="L35" s="230">
        <f t="shared" ref="L35" si="25">IFERROR(L33+L34," -        ")</f>
        <v>3562.1000000000004</v>
      </c>
      <c r="M35" s="230"/>
      <c r="N35" s="230">
        <f t="shared" ref="N35" si="26">IFERROR(N33+N34," -        ")</f>
        <v>3855.1000000000004</v>
      </c>
      <c r="O35" s="230"/>
      <c r="P35" s="231">
        <f t="shared" ref="P35" si="27">IFERROR(P33+P34," -        ")</f>
        <v>1054.6999999999998</v>
      </c>
      <c r="Q35" s="230"/>
      <c r="R35" s="230">
        <f t="shared" ref="R35" si="28">IFERROR(R33+R34," -        ")</f>
        <v>1044</v>
      </c>
      <c r="S35" s="232"/>
      <c r="T35" s="230">
        <f t="shared" si="24"/>
        <v>3844.4000000000005</v>
      </c>
      <c r="U35" s="230"/>
      <c r="V35" s="10"/>
      <c r="W35" s="220" t="s">
        <v>109</v>
      </c>
      <c r="X35" s="220"/>
      <c r="Y35" s="220"/>
      <c r="Z35" s="20">
        <f>IFERROR(Z30+Z32+Z33+Z34," -       ")</f>
        <v>16757.300000000003</v>
      </c>
      <c r="AA35" s="20">
        <f>IFERROR(AA30+AA32+AA33+AA34," -       ")</f>
        <v>13218.199999999997</v>
      </c>
    </row>
    <row r="36" spans="2:27" ht="15" thickBot="1" x14ac:dyDescent="0.4">
      <c r="B36" s="8" t="s">
        <v>110</v>
      </c>
      <c r="C36" s="9"/>
      <c r="D36" s="9"/>
      <c r="E36" s="9"/>
      <c r="F36" s="10"/>
      <c r="G36" s="220" t="s">
        <v>111</v>
      </c>
      <c r="H36" s="220"/>
      <c r="I36" s="220"/>
      <c r="J36" s="205">
        <f>IFERROR(J35/J13," -        ")</f>
        <v>0.3690568298100681</v>
      </c>
      <c r="K36" s="205"/>
      <c r="L36" s="205">
        <f t="shared" ref="L36" si="29">IFERROR(L35/L13," -        ")</f>
        <v>0.3700306445748715</v>
      </c>
      <c r="M36" s="205"/>
      <c r="N36" s="205">
        <f t="shared" ref="N36" si="30">IFERROR(N35/N13," -        ")</f>
        <v>0.36308923946315047</v>
      </c>
      <c r="O36" s="205"/>
      <c r="P36" s="216">
        <f t="shared" ref="P36" si="31">IFERROR(P35/P13," -        ")</f>
        <v>0.19553207267334072</v>
      </c>
      <c r="Q36" s="205"/>
      <c r="R36" s="205">
        <f t="shared" ref="R36" si="32">IFERROR(R35/R13," -        ")</f>
        <v>0.18937744884632129</v>
      </c>
      <c r="S36" s="217"/>
      <c r="T36" s="205">
        <f t="shared" si="24"/>
        <v>0.35693461563613105</v>
      </c>
      <c r="U36" s="205"/>
      <c r="V36" s="10"/>
      <c r="W36" s="237" t="s">
        <v>112</v>
      </c>
      <c r="X36" s="237"/>
      <c r="Y36" s="237"/>
      <c r="Z36" s="20">
        <f>IFERROR(Z21-Z35," -       ")</f>
        <v>-3153.2000000000044</v>
      </c>
      <c r="AA36" s="20">
        <f>IFERROR(AA21-AA35," -       ")</f>
        <v>-18.799999999995634</v>
      </c>
    </row>
    <row r="37" spans="2:27" ht="3" customHeight="1" x14ac:dyDescent="0.35">
      <c r="B37" s="2"/>
      <c r="C37" s="2"/>
      <c r="D37" s="2"/>
      <c r="E37" s="2"/>
      <c r="F37" s="10"/>
      <c r="G37" s="220"/>
      <c r="H37" s="220"/>
      <c r="I37" s="220"/>
      <c r="J37" s="224"/>
      <c r="K37" s="224"/>
      <c r="L37" s="224"/>
      <c r="M37" s="224"/>
      <c r="N37" s="224"/>
      <c r="O37" s="224"/>
      <c r="P37" s="227"/>
      <c r="Q37" s="224"/>
      <c r="R37" s="224"/>
      <c r="S37" s="228"/>
      <c r="T37" s="224">
        <f t="shared" si="24"/>
        <v>0</v>
      </c>
      <c r="U37" s="224"/>
      <c r="V37" s="10"/>
      <c r="W37" s="10"/>
      <c r="X37" s="10"/>
      <c r="Y37" s="10"/>
      <c r="Z37" s="10"/>
      <c r="AA37" s="10"/>
    </row>
    <row r="38" spans="2:27" x14ac:dyDescent="0.35">
      <c r="B38" s="12"/>
      <c r="C38" s="13" t="s">
        <v>3</v>
      </c>
      <c r="D38" s="13" t="s">
        <v>113</v>
      </c>
      <c r="E38" s="13" t="s">
        <v>114</v>
      </c>
      <c r="F38" s="10"/>
      <c r="G38" s="220"/>
      <c r="H38" s="220"/>
      <c r="I38" s="220"/>
      <c r="J38" s="213"/>
      <c r="K38" s="213"/>
      <c r="L38" s="213"/>
      <c r="M38" s="213"/>
      <c r="N38" s="213"/>
      <c r="O38" s="213"/>
      <c r="P38" s="225"/>
      <c r="Q38" s="213"/>
      <c r="R38" s="213"/>
      <c r="S38" s="226"/>
      <c r="T38" s="213"/>
      <c r="U38" s="213"/>
      <c r="V38" s="10"/>
      <c r="W38" s="10"/>
      <c r="X38" s="10"/>
      <c r="Y38" s="10"/>
      <c r="Z38" s="10"/>
      <c r="AA38" s="10"/>
    </row>
    <row r="39" spans="2:27" x14ac:dyDescent="0.35">
      <c r="B39" s="12"/>
      <c r="C39" s="14">
        <v>45747</v>
      </c>
      <c r="D39" s="13" t="s">
        <v>115</v>
      </c>
      <c r="E39" s="13" t="s">
        <v>116</v>
      </c>
      <c r="F39" s="10"/>
      <c r="G39" s="220" t="s">
        <v>117</v>
      </c>
      <c r="H39" s="220"/>
      <c r="I39" s="220"/>
      <c r="J39" s="230">
        <f>J18</f>
        <v>987.1</v>
      </c>
      <c r="K39" s="230"/>
      <c r="L39" s="230">
        <f t="shared" ref="L39" si="33">L18</f>
        <v>1198.9000000000001</v>
      </c>
      <c r="M39" s="230"/>
      <c r="N39" s="230">
        <f t="shared" ref="N39" si="34">N18</f>
        <v>1419.2</v>
      </c>
      <c r="O39" s="230"/>
      <c r="P39" s="231">
        <f t="shared" ref="P39" si="35">P18</f>
        <v>763.7</v>
      </c>
      <c r="Q39" s="230"/>
      <c r="R39" s="230">
        <f t="shared" ref="R39" si="36">R18</f>
        <v>842.7</v>
      </c>
      <c r="S39" s="232"/>
      <c r="T39" s="230">
        <f t="shared" si="24"/>
        <v>1498.2</v>
      </c>
      <c r="U39" s="230"/>
      <c r="V39" s="10"/>
      <c r="W39" s="1" t="s">
        <v>118</v>
      </c>
      <c r="X39" s="2"/>
      <c r="Y39" s="2"/>
      <c r="Z39" s="2"/>
      <c r="AA39" s="2"/>
    </row>
    <row r="40" spans="2:27" x14ac:dyDescent="0.35">
      <c r="B40" s="12" t="s">
        <v>119</v>
      </c>
      <c r="C40" s="20">
        <f ca="1">IFERROR($E$34/C41,"NA")</f>
        <v>2.3006794705811124</v>
      </c>
      <c r="D40" s="20">
        <f t="shared" ref="D40:E40" ca="1" si="37">IFERROR($E$34/D41,"NA")</f>
        <v>2.1381768546214142</v>
      </c>
      <c r="E40" s="20">
        <f t="shared" ca="1" si="37"/>
        <v>1.9651638309450157</v>
      </c>
      <c r="F40" s="10"/>
      <c r="G40" s="220" t="s">
        <v>106</v>
      </c>
      <c r="H40" s="220"/>
      <c r="I40" s="220"/>
      <c r="J40" s="230">
        <f>J34</f>
        <v>0</v>
      </c>
      <c r="K40" s="230"/>
      <c r="L40" s="230">
        <f t="shared" ref="L40" si="38">L34</f>
        <v>0</v>
      </c>
      <c r="M40" s="230"/>
      <c r="N40" s="230">
        <f t="shared" ref="N40" si="39">N34</f>
        <v>0</v>
      </c>
      <c r="O40" s="230"/>
      <c r="P40" s="231">
        <f t="shared" ref="P40" si="40">P34</f>
        <v>0</v>
      </c>
      <c r="Q40" s="230"/>
      <c r="R40" s="230">
        <f t="shared" ref="R40" si="41">R34</f>
        <v>0</v>
      </c>
      <c r="S40" s="232"/>
      <c r="T40" s="230">
        <f t="shared" si="24"/>
        <v>0</v>
      </c>
      <c r="U40" s="230"/>
      <c r="V40" s="10"/>
      <c r="W40" s="220" t="s">
        <v>120</v>
      </c>
      <c r="X40" s="220"/>
      <c r="Y40" s="220"/>
      <c r="Z40" s="12"/>
      <c r="AA40" s="31" cm="1">
        <f t="array" aca="1" ref="AA40" ca="1">_FV(B2,"Shares outstanding",TRUE)</f>
        <v>406998200</v>
      </c>
    </row>
    <row r="41" spans="2:27" x14ac:dyDescent="0.35">
      <c r="B41" s="12" t="s">
        <v>121</v>
      </c>
      <c r="C41" s="20">
        <f>IF(T13=0," -       ",T13)</f>
        <v>10736.3</v>
      </c>
      <c r="D41" s="16">
        <f>IFERROR($N$13*(1+8.804%)," -        ")</f>
        <v>11552.2647</v>
      </c>
      <c r="E41" s="16">
        <f>IFERROR($N$13*(1+8.804%)^2," -        ")</f>
        <v>12569.326084187996</v>
      </c>
      <c r="F41" s="10"/>
      <c r="G41" s="220" t="s">
        <v>122</v>
      </c>
      <c r="H41" s="220"/>
      <c r="I41" s="220"/>
      <c r="J41" s="233">
        <v>-149.6</v>
      </c>
      <c r="K41" s="234"/>
      <c r="L41" s="233">
        <v>-45.5</v>
      </c>
      <c r="M41" s="234"/>
      <c r="N41" s="233">
        <v>-351.2</v>
      </c>
      <c r="O41" s="234"/>
      <c r="P41" s="235">
        <v>-235.3</v>
      </c>
      <c r="Q41" s="234"/>
      <c r="R41" s="233">
        <v>-41.6</v>
      </c>
      <c r="S41" s="236"/>
      <c r="T41" s="230">
        <f t="shared" si="24"/>
        <v>-157.5</v>
      </c>
      <c r="U41" s="230"/>
      <c r="V41" s="10"/>
      <c r="W41" s="220" t="s">
        <v>123</v>
      </c>
      <c r="X41" s="220"/>
      <c r="Y41" s="220"/>
      <c r="Z41" s="220"/>
      <c r="AA41" s="20">
        <f ca="1">Z56</f>
        <v>21</v>
      </c>
    </row>
    <row r="42" spans="2:27" x14ac:dyDescent="0.35">
      <c r="B42" s="12" t="s">
        <v>124</v>
      </c>
      <c r="C42" s="20">
        <f ca="1">IFERROR($E$34/C43,"NA")</f>
        <v>13.395946092521282</v>
      </c>
      <c r="D42" s="20">
        <f ca="1">IFERROR($E$34/D43,"NA")</f>
        <v>14.392985348221611</v>
      </c>
      <c r="E42" s="20">
        <f ca="1">IFERROR($E$34/E43,"NA")</f>
        <v>13.195630829148449</v>
      </c>
      <c r="F42" s="10"/>
      <c r="G42" s="220" t="s">
        <v>125</v>
      </c>
      <c r="H42" s="220"/>
      <c r="I42" s="220"/>
      <c r="J42" s="213">
        <f>IFERROR(J39+J40+J41," -        ")</f>
        <v>837.5</v>
      </c>
      <c r="K42" s="213"/>
      <c r="L42" s="213">
        <f t="shared" ref="L42" si="42">IFERROR(L39+L40+L41," -        ")</f>
        <v>1153.4000000000001</v>
      </c>
      <c r="M42" s="213"/>
      <c r="N42" s="213">
        <f t="shared" ref="N42" si="43">IFERROR(N39+N40+N41," -        ")</f>
        <v>1068</v>
      </c>
      <c r="O42" s="213"/>
      <c r="P42" s="225">
        <f t="shared" ref="P42" si="44">IFERROR(P39+P40+P41," -        ")</f>
        <v>528.40000000000009</v>
      </c>
      <c r="Q42" s="213"/>
      <c r="R42" s="213">
        <f t="shared" ref="R42" si="45">IFERROR(R39+R40+R41," -        ")</f>
        <v>801.1</v>
      </c>
      <c r="S42" s="226"/>
      <c r="T42" s="213">
        <f t="shared" si="24"/>
        <v>1340.6999999999998</v>
      </c>
      <c r="U42" s="213"/>
      <c r="V42" s="10"/>
      <c r="W42" s="220" t="s">
        <v>126</v>
      </c>
      <c r="X42" s="220"/>
      <c r="Y42" s="220"/>
      <c r="Z42" s="12"/>
      <c r="AA42" s="20">
        <f ca="1">IFERROR(AA56/E21,"-       ")</f>
        <v>20.982518210197711</v>
      </c>
    </row>
    <row r="43" spans="2:27" x14ac:dyDescent="0.35">
      <c r="B43" s="12" t="s">
        <v>121</v>
      </c>
      <c r="C43" s="20">
        <f>IF(T46=0," -       ",T46)</f>
        <v>1843.9000000000003</v>
      </c>
      <c r="D43" s="16">
        <f>IFERROR($N$46*(1+9.073871%)," -        ")</f>
        <v>1716.1682863140002</v>
      </c>
      <c r="E43" s="16">
        <f>IFERROR($N$46*(1+9.073871%)^2," -        ")</f>
        <v>1871.8911827570435</v>
      </c>
      <c r="F43" s="10"/>
      <c r="G43" s="220" t="s">
        <v>111</v>
      </c>
      <c r="H43" s="220"/>
      <c r="I43" s="220"/>
      <c r="J43" s="205">
        <f>IFERROR(J42/J13," -        ")</f>
        <v>0.10451244166021914</v>
      </c>
      <c r="K43" s="205"/>
      <c r="L43" s="205">
        <f t="shared" ref="L43" si="46">IFERROR(L42/L13," -        ")</f>
        <v>0.11981509375162314</v>
      </c>
      <c r="M43" s="205"/>
      <c r="N43" s="205">
        <f t="shared" ref="N43" si="47">IFERROR(N42/N13," -        ")</f>
        <v>0.10058865081233812</v>
      </c>
      <c r="O43" s="205"/>
      <c r="P43" s="216">
        <f t="shared" ref="P43" si="48">IFERROR(P42/P13," -        ")</f>
        <v>9.7960697070819447E-2</v>
      </c>
      <c r="Q43" s="205"/>
      <c r="R43" s="205">
        <f t="shared" ref="R43" si="49">IFERROR(R42/R13," -        ")</f>
        <v>0.14531635466550574</v>
      </c>
      <c r="S43" s="217"/>
      <c r="T43" s="205">
        <f t="shared" si="24"/>
        <v>0.14794430840702441</v>
      </c>
      <c r="U43" s="205"/>
      <c r="V43" s="10"/>
      <c r="W43" s="220" t="s">
        <v>127</v>
      </c>
      <c r="X43" s="220"/>
      <c r="Y43" s="220"/>
      <c r="Z43" s="12"/>
      <c r="AA43" s="32">
        <f ca="1">IFERROR(AA40+AA41-AA42,"-       ")</f>
        <v>406998200.0174818</v>
      </c>
    </row>
    <row r="44" spans="2:27" x14ac:dyDescent="0.35">
      <c r="B44" s="12" t="s">
        <v>128</v>
      </c>
      <c r="C44" s="20">
        <f ca="1">IFERROR($E$34/C45,"NA")</f>
        <v>18.423797270082794</v>
      </c>
      <c r="D44" s="20">
        <f t="shared" ref="D44:E44" ca="1" si="50">IFERROR($E$34/D45,"NA")</f>
        <v>21.019852451822807</v>
      </c>
      <c r="E44" s="20">
        <f t="shared" ca="1" si="50"/>
        <v>19.103802672625854</v>
      </c>
      <c r="F44" s="10"/>
      <c r="G44" s="220"/>
      <c r="H44" s="220"/>
      <c r="I44" s="220"/>
      <c r="J44" s="213"/>
      <c r="K44" s="213"/>
      <c r="L44" s="213"/>
      <c r="M44" s="213"/>
      <c r="N44" s="213"/>
      <c r="O44" s="213"/>
      <c r="P44" s="225"/>
      <c r="Q44" s="213"/>
      <c r="R44" s="213"/>
      <c r="S44" s="226"/>
      <c r="T44" s="213"/>
      <c r="U44" s="213"/>
      <c r="V44" s="10"/>
      <c r="W44" s="220" t="s">
        <v>129</v>
      </c>
      <c r="X44" s="220"/>
      <c r="Y44" s="220"/>
      <c r="Z44" s="12"/>
      <c r="AA44" s="20">
        <f>AA66</f>
        <v>4.1666666666666666E-3</v>
      </c>
    </row>
    <row r="45" spans="2:27" x14ac:dyDescent="0.35">
      <c r="B45" s="12" t="s">
        <v>121</v>
      </c>
      <c r="C45" s="20">
        <f>IF(T42=0," -       ",T42)</f>
        <v>1340.6999999999998</v>
      </c>
      <c r="D45" s="16">
        <f>IFERROR($N$42*(1+10.0296774%)," -        ")</f>
        <v>1175.116954632</v>
      </c>
      <c r="E45" s="16">
        <f>IFERROR($N$42*(1+10.0296774%)^2," -        ")</f>
        <v>1292.977394254294</v>
      </c>
      <c r="F45" s="10"/>
      <c r="G45" s="220" t="s">
        <v>130</v>
      </c>
      <c r="H45" s="220"/>
      <c r="I45" s="220"/>
      <c r="J45" s="230">
        <f>J63</f>
        <v>474.5</v>
      </c>
      <c r="K45" s="230"/>
      <c r="L45" s="230">
        <f t="shared" ref="L45" si="51">L63</f>
        <v>511.6</v>
      </c>
      <c r="M45" s="230"/>
      <c r="N45" s="230">
        <f t="shared" ref="N45" si="52">N63</f>
        <v>505.4</v>
      </c>
      <c r="O45" s="230"/>
      <c r="P45" s="231">
        <f t="shared" ref="P45" si="53">P63</f>
        <v>252.8</v>
      </c>
      <c r="Q45" s="230"/>
      <c r="R45" s="230">
        <f t="shared" ref="R45" si="54">R63</f>
        <v>250.6</v>
      </c>
      <c r="S45" s="232"/>
      <c r="T45" s="230">
        <f t="shared" si="24"/>
        <v>503.2</v>
      </c>
      <c r="U45" s="230"/>
      <c r="V45" s="10"/>
      <c r="W45" s="229" t="s">
        <v>131</v>
      </c>
      <c r="X45" s="229"/>
      <c r="Y45" s="229"/>
      <c r="Z45" s="12"/>
      <c r="AA45" s="32">
        <f ca="1">IFERROR(AA43+AA44,"-       ")</f>
        <v>406998200.02164847</v>
      </c>
    </row>
    <row r="46" spans="2:27" x14ac:dyDescent="0.35">
      <c r="B46" s="12" t="s">
        <v>132</v>
      </c>
      <c r="C46" s="20">
        <f ca="1">IFERROR($E$21/C47,"NA")</f>
        <v>24.079830863944668</v>
      </c>
      <c r="D46" s="20">
        <f t="shared" ref="D46:E46" ca="1" si="55">IFERROR($E$21/D47,"NA")</f>
        <v>42.385934912837584</v>
      </c>
      <c r="E46" s="20">
        <f t="shared" ca="1" si="55"/>
        <v>38.723615588772759</v>
      </c>
      <c r="F46" s="10"/>
      <c r="G46" s="220" t="s">
        <v>133</v>
      </c>
      <c r="H46" s="220"/>
      <c r="I46" s="220"/>
      <c r="J46" s="230">
        <f>IFERROR(J42+J45," -        ")</f>
        <v>1312</v>
      </c>
      <c r="K46" s="230"/>
      <c r="L46" s="230">
        <f t="shared" ref="L46" si="56">IFERROR(L42+L45," -        ")</f>
        <v>1665</v>
      </c>
      <c r="M46" s="230"/>
      <c r="N46" s="230">
        <f t="shared" ref="N46" si="57">IFERROR(N42+N45," -        ")</f>
        <v>1573.4</v>
      </c>
      <c r="O46" s="230"/>
      <c r="P46" s="231">
        <f t="shared" ref="P46" si="58">IFERROR(P42+P45," -        ")</f>
        <v>781.2</v>
      </c>
      <c r="Q46" s="230"/>
      <c r="R46" s="230">
        <f t="shared" ref="R46" si="59">IFERROR(R42+R45," -        ")</f>
        <v>1051.7</v>
      </c>
      <c r="S46" s="232"/>
      <c r="T46" s="230">
        <f t="shared" si="24"/>
        <v>1843.9000000000003</v>
      </c>
      <c r="U46" s="230"/>
      <c r="V46" s="10"/>
      <c r="W46" s="12"/>
      <c r="X46" s="12"/>
      <c r="Y46" s="12"/>
      <c r="Z46" s="12"/>
      <c r="AA46" s="25"/>
    </row>
    <row r="47" spans="2:27" x14ac:dyDescent="0.35">
      <c r="B47" s="12" t="s">
        <v>121</v>
      </c>
      <c r="C47" s="20">
        <f>IF(T59=0," -       ",T59)</f>
        <v>1.9954459095452561</v>
      </c>
      <c r="D47" s="16">
        <f>IFERROR($N$59*(1+9.4575862%)," -        ")</f>
        <v>1.1336307692353607</v>
      </c>
      <c r="E47" s="16">
        <f>IFERROR($N$59*(1+9.4575862%)^2," -        ")</f>
        <v>1.240844876425518</v>
      </c>
      <c r="F47" s="10"/>
      <c r="G47" s="220" t="s">
        <v>111</v>
      </c>
      <c r="H47" s="220"/>
      <c r="I47" s="220"/>
      <c r="J47" s="205">
        <f>IFERROR(J46/J13," -        ")</f>
        <v>0.16372575935308359</v>
      </c>
      <c r="K47" s="205"/>
      <c r="L47" s="205">
        <f t="shared" ref="L47" si="60">IFERROR(L46/L13," -        ")</f>
        <v>0.17296005817275228</v>
      </c>
      <c r="M47" s="205"/>
      <c r="N47" s="205">
        <f t="shared" ref="N47" si="61">IFERROR(N46/N13," -        ")</f>
        <v>0.14818931010124795</v>
      </c>
      <c r="O47" s="205"/>
      <c r="P47" s="216">
        <f t="shared" ref="P47" si="62">IFERROR(P46/P13," -        ")</f>
        <v>0.14482758620689656</v>
      </c>
      <c r="Q47" s="205"/>
      <c r="R47" s="205">
        <f t="shared" ref="R47" si="63">IFERROR(R46/R13," -        ")</f>
        <v>0.19077419822957481</v>
      </c>
      <c r="S47" s="217"/>
      <c r="T47" s="205">
        <f t="shared" si="24"/>
        <v>0.19413592212392622</v>
      </c>
      <c r="U47" s="205"/>
      <c r="V47" s="10"/>
      <c r="W47" s="229" t="s">
        <v>134</v>
      </c>
      <c r="X47" s="229"/>
      <c r="Y47" s="229"/>
      <c r="Z47" s="12"/>
      <c r="AA47" s="25"/>
    </row>
    <row r="48" spans="2:27" x14ac:dyDescent="0.35">
      <c r="B48" s="10"/>
      <c r="C48" s="10"/>
      <c r="D48" s="10"/>
      <c r="E48" s="10"/>
      <c r="F48" s="10"/>
      <c r="G48" s="220"/>
      <c r="H48" s="220"/>
      <c r="I48" s="220"/>
      <c r="J48" s="213"/>
      <c r="K48" s="213"/>
      <c r="L48" s="213"/>
      <c r="M48" s="213"/>
      <c r="N48" s="213"/>
      <c r="O48" s="213"/>
      <c r="P48" s="225"/>
      <c r="Q48" s="213"/>
      <c r="R48" s="213"/>
      <c r="S48" s="226"/>
      <c r="T48" s="213"/>
      <c r="U48" s="213"/>
      <c r="V48" s="10"/>
      <c r="W48" s="33"/>
      <c r="X48" s="33" t="s">
        <v>135</v>
      </c>
      <c r="Y48" s="33" t="s">
        <v>136</v>
      </c>
      <c r="Z48" s="33" t="s">
        <v>137</v>
      </c>
      <c r="AA48" s="33"/>
    </row>
    <row r="49" spans="2:27" ht="15" thickBot="1" x14ac:dyDescent="0.4">
      <c r="B49" s="8" t="s">
        <v>138</v>
      </c>
      <c r="C49" s="9"/>
      <c r="D49" s="9"/>
      <c r="E49" s="9"/>
      <c r="F49" s="10"/>
      <c r="G49" s="220" t="s">
        <v>139</v>
      </c>
      <c r="H49" s="220"/>
      <c r="I49" s="220"/>
      <c r="J49" s="213">
        <f>J25</f>
        <v>516.20000000000005</v>
      </c>
      <c r="K49" s="213"/>
      <c r="L49" s="213">
        <f t="shared" ref="L49" si="64">L25</f>
        <v>652.00000000000011</v>
      </c>
      <c r="M49" s="213"/>
      <c r="N49" s="213">
        <f t="shared" ref="N49" si="65">N25</f>
        <v>847.69999999999993</v>
      </c>
      <c r="O49" s="213"/>
      <c r="P49" s="225">
        <f t="shared" ref="P49" si="66">P25</f>
        <v>433.10000000000008</v>
      </c>
      <c r="Q49" s="213"/>
      <c r="R49" s="213">
        <f t="shared" ref="R49" si="67">R25</f>
        <v>505.40000000000003</v>
      </c>
      <c r="S49" s="226"/>
      <c r="T49" s="213">
        <f t="shared" si="24"/>
        <v>919.99999999999977</v>
      </c>
      <c r="U49" s="213"/>
      <c r="V49" s="10"/>
      <c r="W49" s="33" t="s">
        <v>140</v>
      </c>
      <c r="X49" s="33" t="s">
        <v>141</v>
      </c>
      <c r="Y49" s="33" t="s">
        <v>142</v>
      </c>
      <c r="Z49" s="33" t="s">
        <v>141</v>
      </c>
      <c r="AA49" s="33" t="s">
        <v>143</v>
      </c>
    </row>
    <row r="50" spans="2:27" ht="2" customHeight="1" x14ac:dyDescent="0.35">
      <c r="B50" s="2"/>
      <c r="C50" s="2"/>
      <c r="D50" s="2"/>
      <c r="E50" s="2"/>
      <c r="F50" s="10"/>
      <c r="G50" s="220"/>
      <c r="H50" s="220"/>
      <c r="I50" s="220"/>
      <c r="J50" s="213"/>
      <c r="K50" s="213"/>
      <c r="L50" s="213"/>
      <c r="M50" s="213"/>
      <c r="N50" s="213"/>
      <c r="O50" s="213"/>
      <c r="P50" s="225"/>
      <c r="Q50" s="213"/>
      <c r="R50" s="213"/>
      <c r="S50" s="226"/>
      <c r="T50" s="213">
        <f t="shared" si="24"/>
        <v>0</v>
      </c>
      <c r="U50" s="213"/>
      <c r="V50" s="10"/>
      <c r="W50" s="12"/>
      <c r="X50" s="34"/>
      <c r="Y50" s="34"/>
      <c r="Z50" s="12"/>
      <c r="AA50" s="12"/>
    </row>
    <row r="51" spans="2:27" x14ac:dyDescent="0.35">
      <c r="B51" s="220" t="s">
        <v>144</v>
      </c>
      <c r="C51" s="220"/>
      <c r="D51" s="220"/>
      <c r="E51" s="26">
        <f>IFERROR((T42*(1-T26))/(AA15-AA26+AA17+AA18),"-       ")</f>
        <v>0.11593880909946737</v>
      </c>
      <c r="F51" s="10"/>
      <c r="G51" s="220" t="s">
        <v>145</v>
      </c>
      <c r="H51" s="220"/>
      <c r="I51" s="220"/>
      <c r="J51" s="213">
        <f>J34</f>
        <v>0</v>
      </c>
      <c r="K51" s="213"/>
      <c r="L51" s="213">
        <f t="shared" ref="L51" si="68">L34</f>
        <v>0</v>
      </c>
      <c r="M51" s="213"/>
      <c r="N51" s="213">
        <f t="shared" ref="N51" si="69">N34</f>
        <v>0</v>
      </c>
      <c r="O51" s="213"/>
      <c r="P51" s="225">
        <f t="shared" ref="P51" si="70">P34</f>
        <v>0</v>
      </c>
      <c r="Q51" s="213"/>
      <c r="R51" s="213">
        <f t="shared" ref="R51" si="71">R34</f>
        <v>0</v>
      </c>
      <c r="S51" s="226"/>
      <c r="T51" s="213">
        <f t="shared" si="24"/>
        <v>0</v>
      </c>
      <c r="U51" s="213"/>
      <c r="V51" s="10"/>
      <c r="W51" s="12" t="s">
        <v>146</v>
      </c>
      <c r="X51" s="35">
        <v>21</v>
      </c>
      <c r="Y51" s="35">
        <v>48.01</v>
      </c>
      <c r="Z51" s="25">
        <f ca="1">IF($E$21&gt;Y51,X51,0)</f>
        <v>21</v>
      </c>
      <c r="AA51" s="25">
        <f ca="1">IFERROR(Z51*Y51,"-       ")</f>
        <v>1008.2099999999999</v>
      </c>
    </row>
    <row r="52" spans="2:27" x14ac:dyDescent="0.35">
      <c r="B52" s="220" t="s">
        <v>147</v>
      </c>
      <c r="C52" s="220"/>
      <c r="D52" s="220"/>
      <c r="E52" s="26">
        <f>IFERROR(T55/AA34,"-       ")</f>
        <v>0.16556879772139804</v>
      </c>
      <c r="F52" s="10"/>
      <c r="G52" s="220" t="s">
        <v>122</v>
      </c>
      <c r="H52" s="220"/>
      <c r="I52" s="220"/>
      <c r="J52" s="213">
        <f>J41</f>
        <v>-149.6</v>
      </c>
      <c r="K52" s="213"/>
      <c r="L52" s="213">
        <f t="shared" ref="L52" si="72">L41</f>
        <v>-45.5</v>
      </c>
      <c r="M52" s="213"/>
      <c r="N52" s="213">
        <f t="shared" ref="N52" si="73">N41</f>
        <v>-351.2</v>
      </c>
      <c r="O52" s="213"/>
      <c r="P52" s="225">
        <f t="shared" ref="P52" si="74">P41</f>
        <v>-235.3</v>
      </c>
      <c r="Q52" s="213"/>
      <c r="R52" s="213">
        <f t="shared" ref="R52" si="75">R41</f>
        <v>-41.6</v>
      </c>
      <c r="S52" s="226"/>
      <c r="T52" s="213">
        <f t="shared" si="24"/>
        <v>-157.5</v>
      </c>
      <c r="U52" s="213"/>
      <c r="V52" s="10"/>
      <c r="W52" s="12" t="s">
        <v>148</v>
      </c>
      <c r="X52" s="35">
        <v>100</v>
      </c>
      <c r="Y52" s="35">
        <v>51</v>
      </c>
      <c r="Z52" s="25">
        <f ca="1">IF($E$21&gt;Y52,X52,0)</f>
        <v>0</v>
      </c>
      <c r="AA52" s="25">
        <f t="shared" ref="AA52:AA55" ca="1" si="76">IFERROR(Z52*Y52,"-       ")</f>
        <v>0</v>
      </c>
    </row>
    <row r="53" spans="2:27" x14ac:dyDescent="0.35">
      <c r="B53" s="220" t="s">
        <v>149</v>
      </c>
      <c r="C53" s="220"/>
      <c r="D53" s="220"/>
      <c r="E53" s="26">
        <f>IFERROR(T55/AA21,"-       ")</f>
        <v>5.9490820564061582E-2</v>
      </c>
      <c r="F53" s="10"/>
      <c r="G53" s="220" t="s">
        <v>150</v>
      </c>
      <c r="H53" s="220"/>
      <c r="I53" s="220"/>
      <c r="J53" s="209">
        <f>27.6-12.1</f>
        <v>15.500000000000002</v>
      </c>
      <c r="K53" s="210"/>
      <c r="L53" s="209">
        <f>-9.6+8.6</f>
        <v>-1</v>
      </c>
      <c r="M53" s="210"/>
      <c r="N53" s="209">
        <f>-32.1-8.7</f>
        <v>-40.799999999999997</v>
      </c>
      <c r="O53" s="210"/>
      <c r="P53" s="211">
        <f>-3.9-10.5</f>
        <v>-14.4</v>
      </c>
      <c r="Q53" s="210"/>
      <c r="R53" s="209">
        <f>62.9-3.2</f>
        <v>59.699999999999996</v>
      </c>
      <c r="S53" s="212"/>
      <c r="T53" s="213">
        <f t="shared" si="24"/>
        <v>33.299999999999997</v>
      </c>
      <c r="U53" s="213"/>
      <c r="V53" s="10"/>
      <c r="W53" s="12" t="s">
        <v>151</v>
      </c>
      <c r="X53" s="35">
        <v>50</v>
      </c>
      <c r="Y53" s="35">
        <v>52</v>
      </c>
      <c r="Z53" s="25">
        <f t="shared" ref="Z53:Z55" ca="1" si="77">IF($E$21&gt;Y53,X53,0)</f>
        <v>0</v>
      </c>
      <c r="AA53" s="25">
        <f t="shared" ca="1" si="76"/>
        <v>0</v>
      </c>
    </row>
    <row r="54" spans="2:27" x14ac:dyDescent="0.35">
      <c r="B54" s="220" t="s">
        <v>152</v>
      </c>
      <c r="C54" s="220"/>
      <c r="D54" s="220"/>
      <c r="E54" s="26">
        <f ca="1">IFERROR(E14*4/E21,"NA")</f>
        <v>1.2486992715920915E-2</v>
      </c>
      <c r="F54" s="10"/>
      <c r="G54" s="220" t="s">
        <v>153</v>
      </c>
      <c r="H54" s="220"/>
      <c r="I54" s="220"/>
      <c r="J54" s="213">
        <f>IFERROR(SUM(J51:K53)*J26," -        ")</f>
        <v>-29.035791516495696</v>
      </c>
      <c r="K54" s="213"/>
      <c r="L54" s="213">
        <f t="shared" ref="L54" si="78">IFERROR(SUM(L51:M53)*L26," -        ")</f>
        <v>-10.700559394537676</v>
      </c>
      <c r="M54" s="213"/>
      <c r="N54" s="213">
        <f t="shared" ref="N54" si="79">IFERROR(SUM(N51:O53)*N26," -        ")</f>
        <v>-74.258907788719782</v>
      </c>
      <c r="O54" s="213"/>
      <c r="P54" s="225">
        <f t="shared" ref="P54" si="80">IFERROR(SUM(P51:Q53)*P26," -        ")</f>
        <v>-59.10986482137109</v>
      </c>
      <c r="Q54" s="213"/>
      <c r="R54" s="213">
        <f>IFERROR(SUM(R51:S53)*R26," -        ")</f>
        <v>4.5921799206232521</v>
      </c>
      <c r="S54" s="226"/>
      <c r="T54" s="213">
        <f t="shared" si="24"/>
        <v>-10.556863046725439</v>
      </c>
      <c r="U54" s="213"/>
      <c r="V54" s="10"/>
      <c r="W54" s="12" t="s">
        <v>154</v>
      </c>
      <c r="X54" s="35">
        <v>200</v>
      </c>
      <c r="Y54" s="35">
        <v>53</v>
      </c>
      <c r="Z54" s="25">
        <f t="shared" ca="1" si="77"/>
        <v>0</v>
      </c>
      <c r="AA54" s="25">
        <f ca="1">IFERROR(Z54*Y54,"-       ")</f>
        <v>0</v>
      </c>
    </row>
    <row r="55" spans="2:27" x14ac:dyDescent="0.35">
      <c r="B55" s="10"/>
      <c r="C55" s="10"/>
      <c r="D55" s="10"/>
      <c r="E55" s="10"/>
      <c r="F55" s="10"/>
      <c r="G55" s="220" t="s">
        <v>155</v>
      </c>
      <c r="H55" s="220"/>
      <c r="I55" s="220"/>
      <c r="J55" s="213">
        <f>IFERROR(J49+J51+J52+J53+J54," -        ")</f>
        <v>353.06420848350433</v>
      </c>
      <c r="K55" s="213"/>
      <c r="L55" s="213">
        <f t="shared" ref="L55" si="81">IFERROR(L49+L51+L52+L53+L54," -        ")</f>
        <v>594.79944060546245</v>
      </c>
      <c r="M55" s="213"/>
      <c r="N55" s="213">
        <f t="shared" ref="N55" si="82">IFERROR(N49+N51+N52+N53+N54," -        ")</f>
        <v>381.44109221128014</v>
      </c>
      <c r="O55" s="213"/>
      <c r="P55" s="225">
        <f t="shared" ref="P55" si="83">IFERROR(P49+P51+P52+P53+P54," -        ")</f>
        <v>124.29013517862897</v>
      </c>
      <c r="Q55" s="213"/>
      <c r="R55" s="213">
        <f t="shared" ref="R55" si="84">IFERROR(R49+R51+R52+R53+R54," -        ")</f>
        <v>528.09217992062327</v>
      </c>
      <c r="S55" s="226"/>
      <c r="T55" s="213">
        <f t="shared" si="24"/>
        <v>785.24313695327453</v>
      </c>
      <c r="U55" s="213"/>
      <c r="V55" s="10"/>
      <c r="W55" s="12" t="s">
        <v>156</v>
      </c>
      <c r="X55" s="35">
        <v>10</v>
      </c>
      <c r="Y55" s="35">
        <v>55</v>
      </c>
      <c r="Z55" s="25">
        <f t="shared" ca="1" si="77"/>
        <v>0</v>
      </c>
      <c r="AA55" s="25">
        <f t="shared" ca="1" si="76"/>
        <v>0</v>
      </c>
    </row>
    <row r="56" spans="2:27" ht="15" thickBot="1" x14ac:dyDescent="0.4">
      <c r="B56" s="8" t="s">
        <v>157</v>
      </c>
      <c r="C56" s="9"/>
      <c r="D56" s="9"/>
      <c r="E56" s="9"/>
      <c r="F56" s="10"/>
      <c r="G56" s="220" t="s">
        <v>111</v>
      </c>
      <c r="H56" s="220"/>
      <c r="I56" s="220"/>
      <c r="J56" s="205">
        <f>IFERROR(J55/J13," -        ")</f>
        <v>4.4059226855455158E-2</v>
      </c>
      <c r="K56" s="205"/>
      <c r="L56" s="205">
        <f t="shared" ref="L56" si="85">IFERROR(L55/L13," -        ")</f>
        <v>6.1787715224168954E-2</v>
      </c>
      <c r="M56" s="205"/>
      <c r="N56" s="205">
        <f t="shared" ref="N56" si="86">IFERROR(N55/N13," -        ")</f>
        <v>3.5925697406289626E-2</v>
      </c>
      <c r="O56" s="205"/>
      <c r="P56" s="216">
        <f t="shared" ref="P56" si="87">IFERROR(P55/P13," -        ")</f>
        <v>2.3042294248911563E-2</v>
      </c>
      <c r="Q56" s="205"/>
      <c r="R56" s="205">
        <f t="shared" ref="R56" si="88">IFERROR(R55/R13," -        ")</f>
        <v>9.5793821637030777E-2</v>
      </c>
      <c r="S56" s="217"/>
      <c r="T56" s="205">
        <f t="shared" si="24"/>
        <v>0.10867722479440885</v>
      </c>
      <c r="U56" s="205"/>
      <c r="V56" s="10"/>
      <c r="W56" s="18" t="s">
        <v>158</v>
      </c>
      <c r="X56" s="36">
        <f>IFERROR(X51+X52+X53+X54+X55,"-       ")</f>
        <v>381</v>
      </c>
      <c r="Y56" s="36"/>
      <c r="Z56" s="36">
        <f ca="1">IFERROR(Z51+Z52+Z53+Z54+Z55,"-       ")</f>
        <v>21</v>
      </c>
      <c r="AA56" s="36">
        <f ca="1">IF(SUM(AA51:AA55)=0,0,SUM(AA51:AA55))</f>
        <v>1008.2099999999999</v>
      </c>
    </row>
    <row r="57" spans="2:27" ht="3.5" customHeight="1" x14ac:dyDescent="0.35">
      <c r="B57" s="2"/>
      <c r="C57" s="2"/>
      <c r="D57" s="2"/>
      <c r="E57" s="2"/>
      <c r="F57" s="10"/>
      <c r="G57" s="220"/>
      <c r="H57" s="220"/>
      <c r="I57" s="220"/>
      <c r="J57" s="224"/>
      <c r="K57" s="224"/>
      <c r="L57" s="224"/>
      <c r="M57" s="224"/>
      <c r="N57" s="224"/>
      <c r="O57" s="224"/>
      <c r="P57" s="227"/>
      <c r="Q57" s="224"/>
      <c r="R57" s="224"/>
      <c r="S57" s="228"/>
      <c r="T57" s="224">
        <f t="shared" si="24"/>
        <v>0</v>
      </c>
      <c r="U57" s="224"/>
      <c r="V57" s="10"/>
      <c r="W57" s="12"/>
      <c r="X57" s="12"/>
      <c r="Y57" s="12"/>
      <c r="Z57" s="12"/>
      <c r="AA57" s="12"/>
    </row>
    <row r="58" spans="2:27" x14ac:dyDescent="0.35">
      <c r="B58" s="220" t="s">
        <v>159</v>
      </c>
      <c r="C58" s="220"/>
      <c r="D58" s="220"/>
      <c r="E58" s="26">
        <f ca="1">IFERROR(AA28/(E27*E21),"-       ")</f>
        <v>0.29766893246992271</v>
      </c>
      <c r="F58" s="10"/>
      <c r="G58" s="220"/>
      <c r="H58" s="220"/>
      <c r="I58" s="220"/>
      <c r="J58" s="213"/>
      <c r="K58" s="213"/>
      <c r="L58" s="213"/>
      <c r="M58" s="213"/>
      <c r="N58" s="213"/>
      <c r="O58" s="213"/>
      <c r="P58" s="225"/>
      <c r="Q58" s="213"/>
      <c r="R58" s="213"/>
      <c r="S58" s="226"/>
      <c r="T58" s="213"/>
      <c r="U58" s="213"/>
      <c r="V58" s="10"/>
      <c r="W58" s="18" t="s">
        <v>160</v>
      </c>
      <c r="X58" s="12"/>
      <c r="Y58" s="12"/>
      <c r="Z58" s="12"/>
      <c r="AA58" s="12"/>
    </row>
    <row r="59" spans="2:27" ht="15" thickBot="1" x14ac:dyDescent="0.4">
      <c r="B59" s="220" t="s">
        <v>161</v>
      </c>
      <c r="C59" s="220"/>
      <c r="D59" s="220"/>
      <c r="E59" s="37">
        <f>IFERROR((AA28+AA24)/T46,"-       ")</f>
        <v>3.1275557242800582</v>
      </c>
      <c r="F59" s="10"/>
      <c r="G59" s="220" t="s">
        <v>162</v>
      </c>
      <c r="H59" s="220"/>
      <c r="I59" s="220"/>
      <c r="J59" s="213">
        <f>IFERROR(J55/J28," -        ")</f>
        <v>0.97182551192817046</v>
      </c>
      <c r="K59" s="213"/>
      <c r="L59" s="213">
        <f>IFERROR(L55/L28," -        ")</f>
        <v>1.6372128835823354</v>
      </c>
      <c r="M59" s="213"/>
      <c r="N59" s="213">
        <f>IFERROR(N55/N28," -        ")</f>
        <v>1.0356804024199839</v>
      </c>
      <c r="O59" s="213"/>
      <c r="P59" s="223">
        <f>IFERROR(P55/P28," -        ")</f>
        <v>0.33903473862146472</v>
      </c>
      <c r="Q59" s="218"/>
      <c r="R59" s="218">
        <f>IFERROR(R55/R28," -        ")</f>
        <v>1.2988002457467369</v>
      </c>
      <c r="S59" s="219"/>
      <c r="T59" s="213">
        <f t="shared" si="24"/>
        <v>1.9954459095452561</v>
      </c>
      <c r="U59" s="213"/>
      <c r="V59" s="10"/>
      <c r="W59" s="12"/>
      <c r="X59" s="33"/>
      <c r="Y59" s="33" t="s">
        <v>163</v>
      </c>
      <c r="Z59" s="33" t="s">
        <v>163</v>
      </c>
      <c r="AA59" s="33" t="s">
        <v>164</v>
      </c>
    </row>
    <row r="60" spans="2:27" x14ac:dyDescent="0.35">
      <c r="B60" s="220" t="s">
        <v>165</v>
      </c>
      <c r="C60" s="220"/>
      <c r="D60" s="220"/>
      <c r="E60" s="37">
        <f>IFERROR((AA28+AA24-AA11)/T46,"-       ")</f>
        <v>3.0221270133955205</v>
      </c>
      <c r="F60" s="10"/>
      <c r="G60" s="10"/>
      <c r="H60" s="10"/>
      <c r="I60" s="10"/>
      <c r="J60" s="10"/>
      <c r="K60" s="10"/>
      <c r="L60" s="10"/>
      <c r="M60" s="10"/>
      <c r="N60" s="10"/>
      <c r="O60" s="10"/>
      <c r="P60" s="10"/>
      <c r="Q60" s="10"/>
      <c r="R60" s="10"/>
      <c r="S60" s="10"/>
      <c r="T60" s="10"/>
      <c r="U60" s="10"/>
      <c r="V60" s="10"/>
      <c r="W60" s="12"/>
      <c r="X60" s="33" t="s">
        <v>166</v>
      </c>
      <c r="Y60" s="33" t="s">
        <v>142</v>
      </c>
      <c r="Z60" s="33" t="s">
        <v>167</v>
      </c>
      <c r="AA60" s="33" t="s">
        <v>141</v>
      </c>
    </row>
    <row r="61" spans="2:27" x14ac:dyDescent="0.35">
      <c r="B61" s="220" t="s">
        <v>168</v>
      </c>
      <c r="C61" s="220"/>
      <c r="D61" s="220"/>
      <c r="E61" s="37">
        <f>IFERROR(T46/T19,"-       ")</f>
        <v>5.7210673285758622</v>
      </c>
      <c r="F61" s="10"/>
      <c r="G61" s="10"/>
      <c r="H61" s="10"/>
      <c r="I61" s="10"/>
      <c r="J61" s="10"/>
      <c r="K61" s="10"/>
      <c r="L61" s="10"/>
      <c r="M61" s="10"/>
      <c r="N61" s="10"/>
      <c r="O61" s="10"/>
      <c r="P61" s="10"/>
      <c r="Q61" s="10"/>
      <c r="R61" s="10"/>
      <c r="S61" s="10"/>
      <c r="T61" s="10"/>
      <c r="U61" s="10"/>
      <c r="V61" s="10"/>
      <c r="W61" s="12" t="s">
        <v>169</v>
      </c>
      <c r="X61" s="38">
        <v>0.1</v>
      </c>
      <c r="Y61" s="38">
        <v>24</v>
      </c>
      <c r="Z61" s="38">
        <v>1</v>
      </c>
      <c r="AA61" s="30">
        <f>IFERROR(X61/Y61*Z61,"-       ")</f>
        <v>4.1666666666666666E-3</v>
      </c>
    </row>
    <row r="62" spans="2:27" ht="15" thickBot="1" x14ac:dyDescent="0.4">
      <c r="B62" s="220" t="s">
        <v>170</v>
      </c>
      <c r="C62" s="220"/>
      <c r="D62" s="220"/>
      <c r="E62" s="37">
        <f>IFERROR((T46-T65)/T19,"-       ")</f>
        <v>3.5771020788085641</v>
      </c>
      <c r="F62" s="10"/>
      <c r="G62" s="1" t="s">
        <v>171</v>
      </c>
      <c r="H62" s="2"/>
      <c r="I62" s="2"/>
      <c r="J62" s="2"/>
      <c r="K62" s="2"/>
      <c r="L62" s="2"/>
      <c r="M62" s="2"/>
      <c r="N62" s="2"/>
      <c r="O62" s="2"/>
      <c r="P62" s="2"/>
      <c r="Q62" s="2"/>
      <c r="R62" s="2"/>
      <c r="S62" s="2"/>
      <c r="T62" s="2"/>
      <c r="U62" s="2"/>
      <c r="V62" s="10"/>
      <c r="W62" s="12" t="s">
        <v>172</v>
      </c>
      <c r="X62" s="38">
        <v>0</v>
      </c>
      <c r="Y62" s="38">
        <v>1</v>
      </c>
      <c r="Z62" s="38">
        <v>1</v>
      </c>
      <c r="AA62" s="30">
        <f t="shared" ref="AA62:AA65" si="89">IFERROR(X62/Y62*Z62,"-       ")</f>
        <v>0</v>
      </c>
    </row>
    <row r="63" spans="2:27" x14ac:dyDescent="0.35">
      <c r="B63" s="220" t="s">
        <v>173</v>
      </c>
      <c r="C63" s="220"/>
      <c r="D63" s="220"/>
      <c r="E63" s="37">
        <f>IFERROR(T42/T19,"-       ")</f>
        <v>4.1597890164443054</v>
      </c>
      <c r="F63" s="10"/>
      <c r="G63" s="12" t="s">
        <v>130</v>
      </c>
      <c r="H63" s="12"/>
      <c r="I63" s="12"/>
      <c r="J63" s="209">
        <v>474.5</v>
      </c>
      <c r="K63" s="210"/>
      <c r="L63" s="209">
        <v>511.6</v>
      </c>
      <c r="M63" s="210"/>
      <c r="N63" s="209">
        <v>505.4</v>
      </c>
      <c r="O63" s="210"/>
      <c r="P63" s="221">
        <v>252.8</v>
      </c>
      <c r="Q63" s="222"/>
      <c r="R63" s="214">
        <v>250.6</v>
      </c>
      <c r="S63" s="215"/>
      <c r="T63" s="213">
        <f t="shared" ref="T63:T66" si="90">IFERROR(N63+R63-P63," -        ")</f>
        <v>503.2</v>
      </c>
      <c r="U63" s="213"/>
      <c r="V63" s="10"/>
      <c r="W63" s="12" t="s">
        <v>174</v>
      </c>
      <c r="X63" s="38">
        <v>0</v>
      </c>
      <c r="Y63" s="38">
        <v>1</v>
      </c>
      <c r="Z63" s="38">
        <v>1</v>
      </c>
      <c r="AA63" s="30">
        <f t="shared" si="89"/>
        <v>0</v>
      </c>
    </row>
    <row r="64" spans="2:27" x14ac:dyDescent="0.35">
      <c r="B64" s="10"/>
      <c r="C64" s="10"/>
      <c r="D64" s="10"/>
      <c r="E64" s="10"/>
      <c r="F64" s="10"/>
      <c r="G64" s="12" t="s">
        <v>175</v>
      </c>
      <c r="H64" s="12"/>
      <c r="I64" s="12"/>
      <c r="J64" s="205">
        <f>IFERROR(J63/J13," -        ")</f>
        <v>5.9213317692864455E-2</v>
      </c>
      <c r="K64" s="205"/>
      <c r="L64" s="205">
        <f t="shared" ref="L64" si="91">IFERROR(L63/L13," -        ")</f>
        <v>5.3144964421129176E-2</v>
      </c>
      <c r="M64" s="205"/>
      <c r="N64" s="205">
        <f t="shared" ref="N64" si="92">IFERROR(N63/N13," -        ")</f>
        <v>4.7600659288909816E-2</v>
      </c>
      <c r="O64" s="205"/>
      <c r="P64" s="216">
        <f t="shared" ref="P64" si="93">IFERROR(P63/P13," -        ")</f>
        <v>4.6866889136077124E-2</v>
      </c>
      <c r="Q64" s="205"/>
      <c r="R64" s="205">
        <f t="shared" ref="R64" si="94">IFERROR(R63/R13," -        ")</f>
        <v>4.5457843564069074E-2</v>
      </c>
      <c r="S64" s="217"/>
      <c r="T64" s="205">
        <f t="shared" si="90"/>
        <v>4.6191613716901773E-2</v>
      </c>
      <c r="U64" s="205"/>
      <c r="V64" s="10"/>
      <c r="W64" s="12" t="s">
        <v>176</v>
      </c>
      <c r="X64" s="38">
        <v>0</v>
      </c>
      <c r="Y64" s="38">
        <v>1</v>
      </c>
      <c r="Z64" s="38">
        <v>1</v>
      </c>
      <c r="AA64" s="30">
        <f t="shared" si="89"/>
        <v>0</v>
      </c>
    </row>
    <row r="65" spans="2:27" x14ac:dyDescent="0.35">
      <c r="B65" s="1" t="s">
        <v>177</v>
      </c>
      <c r="C65" s="2"/>
      <c r="D65" s="2"/>
      <c r="E65" s="2"/>
      <c r="F65" s="10"/>
      <c r="G65" s="12" t="s">
        <v>178</v>
      </c>
      <c r="H65" s="12"/>
      <c r="I65" s="12"/>
      <c r="J65" s="209">
        <v>642.70000000000005</v>
      </c>
      <c r="K65" s="210"/>
      <c r="L65" s="209">
        <v>603.79999999999995</v>
      </c>
      <c r="M65" s="210"/>
      <c r="N65" s="209">
        <v>675</v>
      </c>
      <c r="O65" s="210"/>
      <c r="P65" s="211">
        <v>298.39999999999998</v>
      </c>
      <c r="Q65" s="210"/>
      <c r="R65" s="209">
        <v>314.39999999999998</v>
      </c>
      <c r="S65" s="212"/>
      <c r="T65" s="213">
        <f t="shared" si="90"/>
        <v>691</v>
      </c>
      <c r="U65" s="213"/>
      <c r="V65" s="10"/>
      <c r="W65" s="12" t="s">
        <v>179</v>
      </c>
      <c r="X65" s="38">
        <v>0</v>
      </c>
      <c r="Y65" s="38">
        <v>1</v>
      </c>
      <c r="Z65" s="38">
        <v>1</v>
      </c>
      <c r="AA65" s="30">
        <f t="shared" si="89"/>
        <v>0</v>
      </c>
    </row>
    <row r="66" spans="2:27" ht="15" thickBot="1" x14ac:dyDescent="0.4">
      <c r="B66" s="12"/>
      <c r="C66" s="13" t="s">
        <v>8</v>
      </c>
      <c r="D66" s="13" t="s">
        <v>180</v>
      </c>
      <c r="E66" s="13" t="s">
        <v>181</v>
      </c>
      <c r="F66" s="10"/>
      <c r="G66" s="12" t="s">
        <v>175</v>
      </c>
      <c r="H66" s="12"/>
      <c r="I66" s="12"/>
      <c r="J66" s="205">
        <f>IFERROR(J65/J13," -        ")</f>
        <v>8.0203159707489965E-2</v>
      </c>
      <c r="K66" s="205"/>
      <c r="L66" s="205">
        <f>IFERROR(L65/L13," -        ")</f>
        <v>6.2722692567392088E-2</v>
      </c>
      <c r="M66" s="205"/>
      <c r="N66" s="205">
        <f t="shared" ref="N66" si="95">IFERROR(N65/N13," -        ")</f>
        <v>6.3574287732517068E-2</v>
      </c>
      <c r="O66" s="205"/>
      <c r="P66" s="206">
        <f t="shared" ref="P66" si="96">IFERROR(P65/P13," -        ")</f>
        <v>5.5320726733407488E-2</v>
      </c>
      <c r="Q66" s="207"/>
      <c r="R66" s="207">
        <f t="shared" ref="R66" si="97">IFERROR(R65/R13," -        ")</f>
        <v>5.703090988245537E-2</v>
      </c>
      <c r="S66" s="208"/>
      <c r="T66" s="205">
        <f t="shared" si="90"/>
        <v>6.5284470881564943E-2</v>
      </c>
      <c r="U66" s="205"/>
      <c r="V66" s="10"/>
      <c r="W66" s="12" t="s">
        <v>182</v>
      </c>
      <c r="X66" s="30"/>
      <c r="Y66" s="30"/>
      <c r="Z66" s="30"/>
      <c r="AA66" s="30">
        <f>IFERROR(AA61+AA62+AA65+AA64+AA63,"-       ")</f>
        <v>4.1666666666666666E-3</v>
      </c>
    </row>
    <row r="67" spans="2:27" x14ac:dyDescent="0.35">
      <c r="B67" s="18" t="s">
        <v>183</v>
      </c>
      <c r="C67" s="25"/>
      <c r="D67" s="25"/>
      <c r="E67" s="25"/>
      <c r="F67" s="10"/>
      <c r="G67" s="12"/>
      <c r="H67" s="12"/>
      <c r="I67" s="12"/>
      <c r="J67" s="25"/>
      <c r="K67" s="25"/>
      <c r="L67" s="25"/>
      <c r="M67" s="25"/>
      <c r="N67" s="25"/>
      <c r="O67" s="25"/>
      <c r="P67" s="39"/>
      <c r="Q67" s="39"/>
      <c r="R67" s="39"/>
      <c r="S67" s="39"/>
      <c r="T67" s="25"/>
      <c r="U67" s="25"/>
      <c r="V67" s="10"/>
      <c r="W67" s="12"/>
      <c r="X67" s="12"/>
      <c r="Y67" s="12"/>
      <c r="Z67" s="12"/>
      <c r="AA67" s="12"/>
    </row>
    <row r="68" spans="2:27" x14ac:dyDescent="0.35">
      <c r="B68" s="12" t="s">
        <v>184</v>
      </c>
      <c r="C68" s="26">
        <f>IFERROR(N13/L13-1,"-       ")</f>
        <v>0.10294499558510362</v>
      </c>
      <c r="D68" s="26">
        <f>IFERROR(N46/L46-1,"-       ")</f>
        <v>-5.5015015015014934E-2</v>
      </c>
      <c r="E68" s="26">
        <f>IFERROR(N59/L59-1,"-       ")</f>
        <v>-0.36741250157166894</v>
      </c>
      <c r="F68" s="10"/>
      <c r="G68" s="10"/>
      <c r="H68" s="10"/>
      <c r="I68" s="10"/>
      <c r="J68" s="10"/>
      <c r="K68" s="10"/>
      <c r="L68" s="10"/>
      <c r="M68" s="10"/>
      <c r="N68" s="10"/>
      <c r="O68" s="10"/>
      <c r="P68" s="10"/>
      <c r="Q68" s="10"/>
      <c r="R68" s="10"/>
      <c r="S68" s="10"/>
      <c r="T68" s="10"/>
      <c r="U68" s="10"/>
      <c r="V68" s="10"/>
      <c r="W68" s="10"/>
      <c r="X68" s="10"/>
      <c r="Y68" s="10"/>
      <c r="Z68" s="10"/>
      <c r="AA68" s="10"/>
    </row>
    <row r="69" spans="2:27" x14ac:dyDescent="0.35">
      <c r="B69" s="12" t="s">
        <v>185</v>
      </c>
      <c r="C69" s="26">
        <f>IFERROR((N13/J13)^0.5-1,"-       ")</f>
        <v>0.15107262077652828</v>
      </c>
      <c r="D69" s="26">
        <f>IFERROR((N46/J46)^0.5-1,"-       ")</f>
        <v>9.5097166866049632E-2</v>
      </c>
      <c r="E69" s="26">
        <f>IFERROR((N59/J59)^0.5-1,"-       ")</f>
        <v>3.2330434978420364E-2</v>
      </c>
      <c r="F69" s="10"/>
      <c r="G69" s="1" t="s">
        <v>186</v>
      </c>
      <c r="H69" s="2"/>
      <c r="I69" s="2"/>
      <c r="J69" s="2"/>
      <c r="K69" s="2"/>
      <c r="L69" s="2"/>
      <c r="M69" s="2"/>
      <c r="N69" s="2"/>
      <c r="O69" s="2"/>
      <c r="P69" s="2"/>
      <c r="Q69" s="2"/>
      <c r="R69" s="2"/>
      <c r="S69" s="2"/>
      <c r="T69" s="2"/>
      <c r="U69" s="2"/>
      <c r="V69" s="2"/>
      <c r="W69" s="2"/>
      <c r="X69" s="2"/>
      <c r="Y69" s="2"/>
      <c r="Z69" s="2"/>
      <c r="AA69" s="2"/>
    </row>
    <row r="70" spans="2:27" x14ac:dyDescent="0.35">
      <c r="B70" s="18" t="s">
        <v>187</v>
      </c>
      <c r="C70" s="26"/>
      <c r="D70" s="26"/>
      <c r="E70" s="26"/>
      <c r="F70" s="10"/>
      <c r="G70" s="34" t="s">
        <v>188</v>
      </c>
      <c r="H70" s="34"/>
      <c r="I70" s="34"/>
      <c r="J70" s="34"/>
      <c r="K70" s="34"/>
      <c r="L70" s="34"/>
      <c r="M70" s="34"/>
      <c r="N70" s="34"/>
      <c r="O70" s="34"/>
      <c r="P70" s="34"/>
      <c r="Q70" s="34"/>
      <c r="R70" s="34"/>
      <c r="S70" s="34"/>
      <c r="T70" s="34"/>
      <c r="U70" s="34"/>
      <c r="V70" s="34"/>
      <c r="W70" s="34"/>
      <c r="X70" s="34"/>
      <c r="Y70" s="34"/>
      <c r="Z70" s="34"/>
      <c r="AA70" s="34"/>
    </row>
    <row r="71" spans="2:27" x14ac:dyDescent="0.35">
      <c r="B71" s="12" t="s">
        <v>184</v>
      </c>
      <c r="C71" s="26">
        <f>IFERROR(D41/$N$13-1,"-       ")</f>
        <v>8.8039999999999896E-2</v>
      </c>
      <c r="D71" s="26">
        <f>IFERROR(D43/N46-1,"-       ")</f>
        <v>9.0738710000000111E-2</v>
      </c>
      <c r="E71" s="26">
        <f>IFERROR(D47/N59-1,"-       ")</f>
        <v>9.45758619999999E-2</v>
      </c>
      <c r="F71" s="10"/>
      <c r="G71" s="34" t="s">
        <v>189</v>
      </c>
      <c r="H71" s="34"/>
      <c r="I71" s="34"/>
      <c r="J71" s="34"/>
      <c r="K71" s="34"/>
      <c r="L71" s="34"/>
      <c r="M71" s="34"/>
      <c r="N71" s="34"/>
      <c r="O71" s="34"/>
      <c r="P71" s="34"/>
      <c r="Q71" s="34"/>
      <c r="R71" s="34"/>
      <c r="S71" s="34"/>
      <c r="T71" s="34"/>
      <c r="U71" s="34"/>
      <c r="V71" s="34"/>
      <c r="W71" s="34"/>
      <c r="X71" s="34"/>
      <c r="Y71" s="34"/>
      <c r="Z71" s="34"/>
      <c r="AA71" s="34"/>
    </row>
    <row r="72" spans="2:27" x14ac:dyDescent="0.35">
      <c r="B72" s="12" t="s">
        <v>185</v>
      </c>
      <c r="C72" s="26">
        <f>IFERROR((E41/$N$13)^0.5-1,"-       ")</f>
        <v>8.8039999999999896E-2</v>
      </c>
      <c r="D72" s="26">
        <f>IFERROR((E43/$N$46)^0.5-1,"-       ")</f>
        <v>9.0738710000000111E-2</v>
      </c>
      <c r="E72" s="26">
        <f>IFERROR((E47/$N$59)^0.5-1,"-       ")</f>
        <v>9.45758619999999E-2</v>
      </c>
      <c r="F72" s="10"/>
      <c r="G72" s="34" t="s">
        <v>190</v>
      </c>
      <c r="H72" s="34"/>
      <c r="I72" s="34"/>
      <c r="J72" s="34"/>
      <c r="K72" s="34"/>
      <c r="L72" s="34"/>
      <c r="M72" s="34"/>
      <c r="N72" s="34"/>
      <c r="O72" s="34"/>
      <c r="P72" s="34"/>
      <c r="Q72" s="34"/>
      <c r="R72" s="34"/>
      <c r="S72" s="34"/>
      <c r="T72" s="34"/>
      <c r="U72" s="34"/>
      <c r="V72" s="34"/>
      <c r="W72" s="34"/>
      <c r="X72" s="34"/>
      <c r="Y72" s="34"/>
      <c r="Z72" s="34"/>
      <c r="AA72" s="34"/>
    </row>
    <row r="73" spans="2:27" x14ac:dyDescent="0.35">
      <c r="B73" s="204" t="s">
        <v>191</v>
      </c>
      <c r="C73" s="204"/>
      <c r="D73" s="204"/>
      <c r="E73" s="40">
        <v>0.106</v>
      </c>
      <c r="F73" s="10"/>
      <c r="G73" s="34" t="s">
        <v>192</v>
      </c>
      <c r="H73" s="34"/>
      <c r="I73" s="34"/>
      <c r="J73" s="34"/>
      <c r="K73" s="34"/>
      <c r="L73" s="34"/>
      <c r="M73" s="34"/>
      <c r="N73" s="34"/>
      <c r="O73" s="34"/>
      <c r="P73" s="34"/>
      <c r="Q73" s="34"/>
      <c r="R73" s="34"/>
      <c r="S73" s="34"/>
      <c r="T73" s="34"/>
      <c r="U73" s="34"/>
      <c r="V73" s="34"/>
      <c r="W73" s="34"/>
      <c r="X73" s="34"/>
      <c r="Y73" s="34"/>
      <c r="Z73" s="34"/>
      <c r="AA73" s="34"/>
    </row>
    <row r="74" spans="2:27" x14ac:dyDescent="0.35"/>
  </sheetData>
  <mergeCells count="416">
    <mergeCell ref="B11:C11"/>
    <mergeCell ref="G11:I11"/>
    <mergeCell ref="P11:Q11"/>
    <mergeCell ref="R11:S11"/>
    <mergeCell ref="T11:U11"/>
    <mergeCell ref="W11:Y11"/>
    <mergeCell ref="B2:J3"/>
    <mergeCell ref="W3:AA5"/>
    <mergeCell ref="B4:J4"/>
    <mergeCell ref="B10:C10"/>
    <mergeCell ref="G10:I10"/>
    <mergeCell ref="J10:O11"/>
    <mergeCell ref="P10:Q10"/>
    <mergeCell ref="R10:S10"/>
    <mergeCell ref="T10:U10"/>
    <mergeCell ref="W10:Y10"/>
    <mergeCell ref="R12:S12"/>
    <mergeCell ref="T12:U12"/>
    <mergeCell ref="W12:Y12"/>
    <mergeCell ref="B13:C13"/>
    <mergeCell ref="G13:I13"/>
    <mergeCell ref="J13:K13"/>
    <mergeCell ref="L13:M13"/>
    <mergeCell ref="N13:O13"/>
    <mergeCell ref="P13:Q13"/>
    <mergeCell ref="R13:S13"/>
    <mergeCell ref="B12:C12"/>
    <mergeCell ref="G12:I12"/>
    <mergeCell ref="J12:K12"/>
    <mergeCell ref="L12:M12"/>
    <mergeCell ref="N12:O12"/>
    <mergeCell ref="P12:Q12"/>
    <mergeCell ref="T13:U13"/>
    <mergeCell ref="W13:Y13"/>
    <mergeCell ref="B14:D14"/>
    <mergeCell ref="G14:I14"/>
    <mergeCell ref="J14:K14"/>
    <mergeCell ref="L14:M14"/>
    <mergeCell ref="N14:O14"/>
    <mergeCell ref="P14:Q14"/>
    <mergeCell ref="R14:S14"/>
    <mergeCell ref="T14:U14"/>
    <mergeCell ref="W14:Y14"/>
    <mergeCell ref="B15:C15"/>
    <mergeCell ref="G15:I15"/>
    <mergeCell ref="J15:K15"/>
    <mergeCell ref="L15:M15"/>
    <mergeCell ref="N15:O15"/>
    <mergeCell ref="P15:Q15"/>
    <mergeCell ref="R15:S15"/>
    <mergeCell ref="T15:U15"/>
    <mergeCell ref="W15:Y15"/>
    <mergeCell ref="R16:S16"/>
    <mergeCell ref="T16:U16"/>
    <mergeCell ref="W16:Y16"/>
    <mergeCell ref="B17:C17"/>
    <mergeCell ref="G17:I17"/>
    <mergeCell ref="J17:K17"/>
    <mergeCell ref="L17:M17"/>
    <mergeCell ref="N17:O17"/>
    <mergeCell ref="P17:Q17"/>
    <mergeCell ref="R17:S17"/>
    <mergeCell ref="B16:C16"/>
    <mergeCell ref="G16:I16"/>
    <mergeCell ref="J16:K16"/>
    <mergeCell ref="L16:M16"/>
    <mergeCell ref="N16:O16"/>
    <mergeCell ref="P16:Q16"/>
    <mergeCell ref="T17:U17"/>
    <mergeCell ref="W17:Y17"/>
    <mergeCell ref="G18:I18"/>
    <mergeCell ref="J18:K18"/>
    <mergeCell ref="L18:M18"/>
    <mergeCell ref="N18:O18"/>
    <mergeCell ref="P18:Q18"/>
    <mergeCell ref="R18:S18"/>
    <mergeCell ref="T18:U18"/>
    <mergeCell ref="W18:Y18"/>
    <mergeCell ref="T19:U19"/>
    <mergeCell ref="W19:Y19"/>
    <mergeCell ref="G20:I20"/>
    <mergeCell ref="J20:K20"/>
    <mergeCell ref="L20:M20"/>
    <mergeCell ref="N20:O20"/>
    <mergeCell ref="P20:Q20"/>
    <mergeCell ref="R20:S20"/>
    <mergeCell ref="T20:U20"/>
    <mergeCell ref="W20:X20"/>
    <mergeCell ref="G19:I19"/>
    <mergeCell ref="J19:K19"/>
    <mergeCell ref="L19:M19"/>
    <mergeCell ref="N19:O19"/>
    <mergeCell ref="P19:Q19"/>
    <mergeCell ref="R19:S19"/>
    <mergeCell ref="R21:S21"/>
    <mergeCell ref="T21:U21"/>
    <mergeCell ref="W21:Y21"/>
    <mergeCell ref="B22:C22"/>
    <mergeCell ref="G22:I22"/>
    <mergeCell ref="J22:K22"/>
    <mergeCell ref="L22:M22"/>
    <mergeCell ref="N22:O22"/>
    <mergeCell ref="P22:Q22"/>
    <mergeCell ref="R22:S22"/>
    <mergeCell ref="B21:C21"/>
    <mergeCell ref="G21:I21"/>
    <mergeCell ref="J21:K21"/>
    <mergeCell ref="L21:M21"/>
    <mergeCell ref="N21:O21"/>
    <mergeCell ref="P21:Q21"/>
    <mergeCell ref="T22:U22"/>
    <mergeCell ref="W22:Y22"/>
    <mergeCell ref="B23:C23"/>
    <mergeCell ref="G23:I23"/>
    <mergeCell ref="J23:K23"/>
    <mergeCell ref="L23:M23"/>
    <mergeCell ref="N23:O23"/>
    <mergeCell ref="P23:Q23"/>
    <mergeCell ref="R23:S23"/>
    <mergeCell ref="T23:U23"/>
    <mergeCell ref="W23:Y23"/>
    <mergeCell ref="B24:C24"/>
    <mergeCell ref="G24:I24"/>
    <mergeCell ref="J24:K24"/>
    <mergeCell ref="L24:M24"/>
    <mergeCell ref="N24:O24"/>
    <mergeCell ref="P24:Q24"/>
    <mergeCell ref="R24:S24"/>
    <mergeCell ref="T24:U24"/>
    <mergeCell ref="W24:Y24"/>
    <mergeCell ref="R25:S25"/>
    <mergeCell ref="T25:U25"/>
    <mergeCell ref="W25:Y25"/>
    <mergeCell ref="B26:C26"/>
    <mergeCell ref="G26:I26"/>
    <mergeCell ref="J26:K26"/>
    <mergeCell ref="L26:M26"/>
    <mergeCell ref="N26:O26"/>
    <mergeCell ref="P26:Q26"/>
    <mergeCell ref="R26:S26"/>
    <mergeCell ref="B25:C25"/>
    <mergeCell ref="G25:I25"/>
    <mergeCell ref="J25:K25"/>
    <mergeCell ref="L25:M25"/>
    <mergeCell ref="N25:O25"/>
    <mergeCell ref="P25:Q25"/>
    <mergeCell ref="T26:U26"/>
    <mergeCell ref="W26:Y26"/>
    <mergeCell ref="G27:I27"/>
    <mergeCell ref="J27:K27"/>
    <mergeCell ref="L27:M27"/>
    <mergeCell ref="N27:O27"/>
    <mergeCell ref="P27:Q27"/>
    <mergeCell ref="R27:S27"/>
    <mergeCell ref="T27:U27"/>
    <mergeCell ref="W27:Y27"/>
    <mergeCell ref="T29:U29"/>
    <mergeCell ref="W29:Y29"/>
    <mergeCell ref="B30:C30"/>
    <mergeCell ref="W30:Y30"/>
    <mergeCell ref="B31:C31"/>
    <mergeCell ref="W31:Y31"/>
    <mergeCell ref="R28:S28"/>
    <mergeCell ref="T28:U28"/>
    <mergeCell ref="W28:Y28"/>
    <mergeCell ref="B29:C29"/>
    <mergeCell ref="G29:I29"/>
    <mergeCell ref="J29:K29"/>
    <mergeCell ref="L29:M29"/>
    <mergeCell ref="N29:O29"/>
    <mergeCell ref="P29:Q29"/>
    <mergeCell ref="R29:S29"/>
    <mergeCell ref="B28:C28"/>
    <mergeCell ref="G28:I28"/>
    <mergeCell ref="J28:K28"/>
    <mergeCell ref="L28:M28"/>
    <mergeCell ref="N28:O28"/>
    <mergeCell ref="P28:Q28"/>
    <mergeCell ref="B34:C34"/>
    <mergeCell ref="G34:I34"/>
    <mergeCell ref="J34:K34"/>
    <mergeCell ref="L34:M34"/>
    <mergeCell ref="N34:O34"/>
    <mergeCell ref="P34:Q34"/>
    <mergeCell ref="B32:C32"/>
    <mergeCell ref="W32:Y32"/>
    <mergeCell ref="G33:I33"/>
    <mergeCell ref="J33:K33"/>
    <mergeCell ref="L33:M33"/>
    <mergeCell ref="N33:O33"/>
    <mergeCell ref="P33:Q33"/>
    <mergeCell ref="R33:S33"/>
    <mergeCell ref="T33:U33"/>
    <mergeCell ref="W33:Y33"/>
    <mergeCell ref="R34:S34"/>
    <mergeCell ref="T34:U34"/>
    <mergeCell ref="W34:Y34"/>
    <mergeCell ref="G35:I35"/>
    <mergeCell ref="J35:K35"/>
    <mergeCell ref="L35:M35"/>
    <mergeCell ref="N35:O35"/>
    <mergeCell ref="P35:Q35"/>
    <mergeCell ref="R35:S35"/>
    <mergeCell ref="T35:U35"/>
    <mergeCell ref="W35:Y35"/>
    <mergeCell ref="G36:I36"/>
    <mergeCell ref="J36:K36"/>
    <mergeCell ref="L36:M36"/>
    <mergeCell ref="N36:O36"/>
    <mergeCell ref="P36:Q36"/>
    <mergeCell ref="R36:S36"/>
    <mergeCell ref="T36:U36"/>
    <mergeCell ref="W36:Y36"/>
    <mergeCell ref="T37:U37"/>
    <mergeCell ref="G38:I38"/>
    <mergeCell ref="J38:K38"/>
    <mergeCell ref="L38:M38"/>
    <mergeCell ref="N38:O38"/>
    <mergeCell ref="P38:Q38"/>
    <mergeCell ref="R38:S38"/>
    <mergeCell ref="T38:U38"/>
    <mergeCell ref="G37:I37"/>
    <mergeCell ref="J37:K37"/>
    <mergeCell ref="L37:M37"/>
    <mergeCell ref="N37:O37"/>
    <mergeCell ref="P37:Q37"/>
    <mergeCell ref="R37:S37"/>
    <mergeCell ref="T39:U39"/>
    <mergeCell ref="G40:I40"/>
    <mergeCell ref="J40:K40"/>
    <mergeCell ref="L40:M40"/>
    <mergeCell ref="N40:O40"/>
    <mergeCell ref="P40:Q40"/>
    <mergeCell ref="R40:S40"/>
    <mergeCell ref="T40:U40"/>
    <mergeCell ref="G39:I39"/>
    <mergeCell ref="J39:K39"/>
    <mergeCell ref="L39:M39"/>
    <mergeCell ref="N39:O39"/>
    <mergeCell ref="P39:Q39"/>
    <mergeCell ref="R39:S39"/>
    <mergeCell ref="W40:Y40"/>
    <mergeCell ref="G41:I41"/>
    <mergeCell ref="J41:K41"/>
    <mergeCell ref="L41:M41"/>
    <mergeCell ref="N41:O41"/>
    <mergeCell ref="P41:Q41"/>
    <mergeCell ref="R41:S41"/>
    <mergeCell ref="T41:U41"/>
    <mergeCell ref="W41:Z41"/>
    <mergeCell ref="T42:U42"/>
    <mergeCell ref="W42:Y42"/>
    <mergeCell ref="G43:I43"/>
    <mergeCell ref="J43:K43"/>
    <mergeCell ref="L43:M43"/>
    <mergeCell ref="N43:O43"/>
    <mergeCell ref="P43:Q43"/>
    <mergeCell ref="R43:S43"/>
    <mergeCell ref="T43:U43"/>
    <mergeCell ref="W43:Y43"/>
    <mergeCell ref="G42:I42"/>
    <mergeCell ref="J42:K42"/>
    <mergeCell ref="L42:M42"/>
    <mergeCell ref="N42:O42"/>
    <mergeCell ref="P42:Q42"/>
    <mergeCell ref="R42:S42"/>
    <mergeCell ref="T44:U44"/>
    <mergeCell ref="W44:Y44"/>
    <mergeCell ref="G45:I45"/>
    <mergeCell ref="J45:K45"/>
    <mergeCell ref="L45:M45"/>
    <mergeCell ref="N45:O45"/>
    <mergeCell ref="P45:Q45"/>
    <mergeCell ref="R45:S45"/>
    <mergeCell ref="T45:U45"/>
    <mergeCell ref="W45:Y45"/>
    <mergeCell ref="G44:I44"/>
    <mergeCell ref="J44:K44"/>
    <mergeCell ref="L44:M44"/>
    <mergeCell ref="N44:O44"/>
    <mergeCell ref="P44:Q44"/>
    <mergeCell ref="R44:S44"/>
    <mergeCell ref="W47:Y47"/>
    <mergeCell ref="G48:I48"/>
    <mergeCell ref="J48:K48"/>
    <mergeCell ref="L48:M48"/>
    <mergeCell ref="N48:O48"/>
    <mergeCell ref="P48:Q48"/>
    <mergeCell ref="R48:S48"/>
    <mergeCell ref="T48:U48"/>
    <mergeCell ref="T46:U46"/>
    <mergeCell ref="G47:I47"/>
    <mergeCell ref="J47:K47"/>
    <mergeCell ref="L47:M47"/>
    <mergeCell ref="N47:O47"/>
    <mergeCell ref="P47:Q47"/>
    <mergeCell ref="R47:S47"/>
    <mergeCell ref="T47:U47"/>
    <mergeCell ref="G46:I46"/>
    <mergeCell ref="J46:K46"/>
    <mergeCell ref="L46:M46"/>
    <mergeCell ref="N46:O46"/>
    <mergeCell ref="P46:Q46"/>
    <mergeCell ref="R46:S46"/>
    <mergeCell ref="T49:U49"/>
    <mergeCell ref="G50:I50"/>
    <mergeCell ref="J50:K50"/>
    <mergeCell ref="L50:M50"/>
    <mergeCell ref="N50:O50"/>
    <mergeCell ref="P50:Q50"/>
    <mergeCell ref="R50:S50"/>
    <mergeCell ref="T50:U50"/>
    <mergeCell ref="G49:I49"/>
    <mergeCell ref="J49:K49"/>
    <mergeCell ref="L49:M49"/>
    <mergeCell ref="N49:O49"/>
    <mergeCell ref="P49:Q49"/>
    <mergeCell ref="R49:S49"/>
    <mergeCell ref="R51:S51"/>
    <mergeCell ref="T51:U51"/>
    <mergeCell ref="B52:D52"/>
    <mergeCell ref="G52:I52"/>
    <mergeCell ref="J52:K52"/>
    <mergeCell ref="L52:M52"/>
    <mergeCell ref="N52:O52"/>
    <mergeCell ref="P52:Q52"/>
    <mergeCell ref="R52:S52"/>
    <mergeCell ref="T52:U52"/>
    <mergeCell ref="B51:D51"/>
    <mergeCell ref="G51:I51"/>
    <mergeCell ref="J51:K51"/>
    <mergeCell ref="L51:M51"/>
    <mergeCell ref="N51:O51"/>
    <mergeCell ref="P51:Q51"/>
    <mergeCell ref="R53:S53"/>
    <mergeCell ref="T53:U53"/>
    <mergeCell ref="B54:D54"/>
    <mergeCell ref="G54:I54"/>
    <mergeCell ref="J54:K54"/>
    <mergeCell ref="L54:M54"/>
    <mergeCell ref="N54:O54"/>
    <mergeCell ref="P54:Q54"/>
    <mergeCell ref="R54:S54"/>
    <mergeCell ref="T54:U54"/>
    <mergeCell ref="B53:D53"/>
    <mergeCell ref="G53:I53"/>
    <mergeCell ref="J53:K53"/>
    <mergeCell ref="L53:M53"/>
    <mergeCell ref="N53:O53"/>
    <mergeCell ref="P53:Q53"/>
    <mergeCell ref="T55:U55"/>
    <mergeCell ref="G56:I56"/>
    <mergeCell ref="J56:K56"/>
    <mergeCell ref="L56:M56"/>
    <mergeCell ref="N56:O56"/>
    <mergeCell ref="P56:Q56"/>
    <mergeCell ref="R56:S56"/>
    <mergeCell ref="T56:U56"/>
    <mergeCell ref="G55:I55"/>
    <mergeCell ref="J55:K55"/>
    <mergeCell ref="L55:M55"/>
    <mergeCell ref="N55:O55"/>
    <mergeCell ref="P55:Q55"/>
    <mergeCell ref="R55:S55"/>
    <mergeCell ref="T57:U57"/>
    <mergeCell ref="B58:D58"/>
    <mergeCell ref="G58:I58"/>
    <mergeCell ref="J58:K58"/>
    <mergeCell ref="L58:M58"/>
    <mergeCell ref="N58:O58"/>
    <mergeCell ref="P58:Q58"/>
    <mergeCell ref="R58:S58"/>
    <mergeCell ref="T58:U58"/>
    <mergeCell ref="G57:I57"/>
    <mergeCell ref="J57:K57"/>
    <mergeCell ref="L57:M57"/>
    <mergeCell ref="N57:O57"/>
    <mergeCell ref="P57:Q57"/>
    <mergeCell ref="R57:S57"/>
    <mergeCell ref="B60:D60"/>
    <mergeCell ref="B61:D61"/>
    <mergeCell ref="B62:D62"/>
    <mergeCell ref="B63:D63"/>
    <mergeCell ref="J63:K63"/>
    <mergeCell ref="L63:M63"/>
    <mergeCell ref="N63:O63"/>
    <mergeCell ref="P63:Q63"/>
    <mergeCell ref="B59:D59"/>
    <mergeCell ref="G59:I59"/>
    <mergeCell ref="J59:K59"/>
    <mergeCell ref="L59:M59"/>
    <mergeCell ref="N59:O59"/>
    <mergeCell ref="P59:Q59"/>
    <mergeCell ref="R63:S63"/>
    <mergeCell ref="T63:U63"/>
    <mergeCell ref="J64:K64"/>
    <mergeCell ref="L64:M64"/>
    <mergeCell ref="N64:O64"/>
    <mergeCell ref="P64:Q64"/>
    <mergeCell ref="R64:S64"/>
    <mergeCell ref="T64:U64"/>
    <mergeCell ref="R59:S59"/>
    <mergeCell ref="T59:U59"/>
    <mergeCell ref="B73:D73"/>
    <mergeCell ref="J66:K66"/>
    <mergeCell ref="L66:M66"/>
    <mergeCell ref="N66:O66"/>
    <mergeCell ref="P66:Q66"/>
    <mergeCell ref="R66:S66"/>
    <mergeCell ref="T66:U66"/>
    <mergeCell ref="J65:K65"/>
    <mergeCell ref="L65:M65"/>
    <mergeCell ref="N65:O65"/>
    <mergeCell ref="P65:Q65"/>
    <mergeCell ref="R65:S65"/>
    <mergeCell ref="T65:U65"/>
  </mergeCells>
  <pageMargins left="0.7" right="0.7" top="0.75" bottom="0.75" header="0.3" footer="0.3"/>
  <drawing r:id="rId1"/>
  <legacyDrawing r:id="rId2"/>
  <picture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DE1FE4-5524-4F52-ACCB-8CD3E8B9E8C7}">
  <dimension ref="A1:AB74"/>
  <sheetViews>
    <sheetView showGridLines="0" zoomScale="115" zoomScaleNormal="145" workbookViewId="0">
      <selection activeCell="D15" sqref="D15:D16"/>
    </sheetView>
  </sheetViews>
  <sheetFormatPr defaultColWidth="0" defaultRowHeight="14.5" customHeight="1" zeroHeight="1" x14ac:dyDescent="0.35"/>
  <cols>
    <col min="1" max="1" width="8.7265625" style="4" customWidth="1"/>
    <col min="2" max="2" width="8.7265625" style="41" customWidth="1"/>
    <col min="3" max="3" width="10.453125" style="41" customWidth="1"/>
    <col min="4" max="4" width="9.6328125" style="41" bestFit="1" customWidth="1"/>
    <col min="5" max="5" width="7.7265625" style="41" customWidth="1"/>
    <col min="6" max="22" width="8.7265625" style="41" customWidth="1"/>
    <col min="23" max="26" width="10.90625" style="41" customWidth="1"/>
    <col min="27" max="27" width="9.26953125" style="41" bestFit="1" customWidth="1"/>
    <col min="28" max="28" width="8.7265625" style="4" customWidth="1"/>
    <col min="29" max="16384" width="8.7265625" style="4" hidden="1"/>
  </cols>
  <sheetData>
    <row r="1" spans="2:27" x14ac:dyDescent="0.35">
      <c r="B1" s="4"/>
      <c r="C1" s="4"/>
      <c r="D1" s="4"/>
      <c r="E1" s="4"/>
      <c r="F1" s="4"/>
      <c r="G1" s="4"/>
      <c r="H1" s="4"/>
      <c r="I1" s="4"/>
      <c r="J1" s="4"/>
      <c r="K1" s="4"/>
      <c r="L1" s="4"/>
      <c r="M1" s="4"/>
      <c r="N1" s="4"/>
      <c r="O1" s="4"/>
      <c r="P1" s="4"/>
      <c r="Q1" s="4"/>
      <c r="R1" s="4"/>
      <c r="S1" s="4"/>
      <c r="T1" s="4"/>
      <c r="U1" s="4"/>
      <c r="V1" s="4"/>
      <c r="W1" s="4"/>
      <c r="X1" s="4"/>
      <c r="Y1" s="4"/>
      <c r="Z1" s="4"/>
      <c r="AA1" s="4"/>
    </row>
    <row r="2" spans="2:27" ht="14.5" customHeight="1" x14ac:dyDescent="0.35">
      <c r="B2" s="258" t="e" vm="2">
        <v>#VALUE!</v>
      </c>
      <c r="C2" s="258"/>
      <c r="D2" s="258"/>
      <c r="E2" s="258"/>
      <c r="F2" s="258"/>
      <c r="G2" s="258"/>
      <c r="H2" s="258"/>
      <c r="I2" s="258"/>
      <c r="J2" s="258"/>
      <c r="K2" s="258"/>
      <c r="L2" s="258"/>
      <c r="M2" s="258"/>
      <c r="N2" s="258"/>
      <c r="O2" s="258"/>
      <c r="P2" s="258"/>
      <c r="Q2" s="258"/>
      <c r="R2" s="5"/>
      <c r="S2" s="5"/>
      <c r="T2" s="5"/>
      <c r="U2" s="5"/>
      <c r="V2" s="5"/>
      <c r="W2" s="6" t="s">
        <v>36</v>
      </c>
      <c r="X2" s="5"/>
      <c r="Y2" s="5"/>
      <c r="Z2" s="5"/>
      <c r="AA2" s="5"/>
    </row>
    <row r="3" spans="2:27" ht="14.5" customHeight="1" x14ac:dyDescent="0.35">
      <c r="B3" s="258"/>
      <c r="C3" s="258"/>
      <c r="D3" s="258"/>
      <c r="E3" s="258"/>
      <c r="F3" s="258"/>
      <c r="G3" s="258"/>
      <c r="H3" s="258"/>
      <c r="I3" s="258"/>
      <c r="J3" s="258"/>
      <c r="K3" s="258"/>
      <c r="L3" s="258"/>
      <c r="M3" s="258"/>
      <c r="N3" s="258"/>
      <c r="O3" s="258"/>
      <c r="P3" s="258"/>
      <c r="Q3" s="258"/>
      <c r="R3" s="5"/>
      <c r="S3" s="5"/>
      <c r="T3" s="5"/>
      <c r="U3" s="5"/>
      <c r="V3" s="5"/>
      <c r="W3" s="260" t="str">
        <f>'Business Infos'!D7</f>
        <v>A vertically integrated regional construction materials company. Involved in quarry products, mobile crushing, civil construction, and real estate development. Active in both domestic and international markets.</v>
      </c>
      <c r="X3" s="260"/>
      <c r="Y3" s="260"/>
      <c r="Z3" s="260"/>
      <c r="AA3" s="260"/>
    </row>
    <row r="4" spans="2:27" ht="22.5" customHeight="1" x14ac:dyDescent="0.35">
      <c r="B4" s="261" t="s">
        <v>37</v>
      </c>
      <c r="C4" s="262"/>
      <c r="D4" s="262"/>
      <c r="E4" s="262"/>
      <c r="F4" s="262"/>
      <c r="G4" s="262"/>
      <c r="H4" s="262"/>
      <c r="I4" s="262"/>
      <c r="J4" s="262"/>
      <c r="K4" s="5"/>
      <c r="L4" s="5"/>
      <c r="M4" s="5"/>
      <c r="N4" s="5"/>
      <c r="O4" s="5"/>
      <c r="P4" s="5"/>
      <c r="Q4" s="5"/>
      <c r="R4" s="5"/>
      <c r="S4" s="5"/>
      <c r="T4" s="5"/>
      <c r="U4" s="5"/>
      <c r="V4" s="5"/>
      <c r="W4" s="260" t="s">
        <v>193</v>
      </c>
      <c r="X4" s="260"/>
      <c r="Y4" s="260"/>
      <c r="Z4" s="260"/>
      <c r="AA4" s="260"/>
    </row>
    <row r="5" spans="2:27" x14ac:dyDescent="0.35">
      <c r="B5" s="7" t="s">
        <v>38</v>
      </c>
      <c r="C5" s="5"/>
      <c r="D5" s="5"/>
      <c r="E5" s="5"/>
      <c r="F5" s="5"/>
      <c r="G5" s="5"/>
      <c r="H5" s="5"/>
      <c r="I5" s="5"/>
      <c r="J5" s="5"/>
      <c r="K5" s="5"/>
      <c r="L5" s="5"/>
      <c r="M5" s="5"/>
      <c r="N5" s="5"/>
      <c r="O5" s="5"/>
      <c r="P5" s="5"/>
      <c r="Q5" s="5"/>
      <c r="R5" s="5"/>
      <c r="S5" s="5"/>
      <c r="T5" s="5"/>
      <c r="U5" s="5"/>
      <c r="V5" s="5"/>
      <c r="W5" s="260"/>
      <c r="X5" s="260"/>
      <c r="Y5" s="260"/>
      <c r="Z5" s="260"/>
      <c r="AA5" s="260"/>
    </row>
    <row r="6" spans="2:27" x14ac:dyDescent="0.35">
      <c r="B6" s="4"/>
      <c r="C6" s="4"/>
      <c r="D6" s="4"/>
      <c r="E6" s="4"/>
      <c r="F6" s="4"/>
      <c r="G6" s="4"/>
      <c r="H6" s="4"/>
      <c r="I6" s="4"/>
      <c r="J6" s="4"/>
      <c r="K6" s="4"/>
      <c r="L6" s="4"/>
      <c r="M6" s="4"/>
      <c r="N6" s="4"/>
      <c r="O6" s="4"/>
      <c r="P6" s="4"/>
      <c r="Q6" s="4"/>
      <c r="R6" s="4"/>
      <c r="S6" s="4"/>
      <c r="T6" s="4"/>
      <c r="U6" s="4"/>
      <c r="V6" s="4"/>
      <c r="W6"/>
      <c r="X6"/>
      <c r="Y6"/>
      <c r="Z6"/>
      <c r="AA6"/>
    </row>
    <row r="7" spans="2:27" x14ac:dyDescent="0.35">
      <c r="B7" s="4"/>
      <c r="C7" s="4"/>
      <c r="D7" s="4"/>
      <c r="E7" s="4"/>
      <c r="F7" s="4"/>
      <c r="G7" s="4"/>
      <c r="H7" s="4"/>
      <c r="I7" s="4"/>
      <c r="J7" s="4"/>
      <c r="K7" s="4"/>
      <c r="L7" s="4"/>
      <c r="M7" s="4"/>
      <c r="N7" s="4"/>
      <c r="O7" s="4"/>
      <c r="P7" s="4"/>
      <c r="Q7" s="4"/>
      <c r="R7" s="4"/>
      <c r="S7" s="4"/>
      <c r="T7" s="4"/>
      <c r="U7" s="4"/>
      <c r="V7" s="4"/>
      <c r="W7" s="4"/>
      <c r="X7" s="4"/>
      <c r="Y7" s="4"/>
      <c r="Z7" s="4"/>
      <c r="AA7" s="4"/>
    </row>
    <row r="8" spans="2:27" ht="15" thickBot="1" x14ac:dyDescent="0.4">
      <c r="B8" s="8" t="s">
        <v>39</v>
      </c>
      <c r="C8" s="9"/>
      <c r="D8" s="9"/>
      <c r="E8" s="9"/>
      <c r="F8" s="10"/>
      <c r="G8" s="8" t="s">
        <v>40</v>
      </c>
      <c r="H8" s="9"/>
      <c r="I8" s="9"/>
      <c r="J8" s="9"/>
      <c r="K8" s="9"/>
      <c r="L8" s="9"/>
      <c r="M8" s="9"/>
      <c r="N8" s="9"/>
      <c r="O8" s="8"/>
      <c r="P8" s="9"/>
      <c r="Q8" s="9"/>
      <c r="R8" s="9"/>
      <c r="S8" s="9"/>
      <c r="T8" s="9"/>
      <c r="U8" s="9"/>
      <c r="V8" s="10"/>
      <c r="W8" s="8" t="s">
        <v>41</v>
      </c>
      <c r="X8" s="9"/>
      <c r="Y8" s="9"/>
      <c r="Z8" s="9"/>
      <c r="AA8" s="9"/>
    </row>
    <row r="9" spans="2:27" ht="4" customHeight="1" x14ac:dyDescent="0.35">
      <c r="B9" s="2"/>
      <c r="C9" s="2"/>
      <c r="D9" s="2"/>
      <c r="E9" s="2"/>
      <c r="F9" s="10"/>
      <c r="G9" s="2"/>
      <c r="H9" s="2"/>
      <c r="I9" s="2"/>
      <c r="J9" s="2"/>
      <c r="K9" s="2"/>
      <c r="L9" s="2"/>
      <c r="M9" s="2"/>
      <c r="N9" s="2"/>
      <c r="O9" s="2"/>
      <c r="P9" s="2"/>
      <c r="Q9" s="2"/>
      <c r="R9" s="2"/>
      <c r="S9" s="2"/>
      <c r="T9" s="2"/>
      <c r="U9" s="2"/>
      <c r="V9" s="10"/>
      <c r="W9" s="2"/>
      <c r="X9" s="2"/>
      <c r="Y9" s="2"/>
      <c r="Z9" s="2"/>
      <c r="AA9" s="2"/>
    </row>
    <row r="10" spans="2:27" x14ac:dyDescent="0.35">
      <c r="B10" s="263" t="s">
        <v>42</v>
      </c>
      <c r="C10" s="263"/>
      <c r="D10" s="11"/>
      <c r="E10" s="11" t="str" cm="1">
        <f t="array" aca="1" ref="E10" ca="1">_FV(B2,"Name")</f>
        <v>MAAS Group Holdings Ltd</v>
      </c>
      <c r="F10" s="10"/>
      <c r="G10" s="220"/>
      <c r="H10" s="220"/>
      <c r="I10" s="220"/>
      <c r="J10" s="257" t="s">
        <v>43</v>
      </c>
      <c r="K10" s="264"/>
      <c r="L10" s="264"/>
      <c r="M10" s="264"/>
      <c r="N10" s="264"/>
      <c r="O10" s="264"/>
      <c r="P10" s="257" t="s">
        <v>44</v>
      </c>
      <c r="Q10" s="257"/>
      <c r="R10" s="257" t="s">
        <v>45</v>
      </c>
      <c r="S10" s="257"/>
      <c r="T10" s="220"/>
      <c r="U10" s="220"/>
      <c r="V10" s="10"/>
      <c r="W10" s="220"/>
      <c r="X10" s="220"/>
      <c r="Y10" s="220"/>
      <c r="Z10" s="13" t="s">
        <v>46</v>
      </c>
      <c r="AA10" s="14">
        <v>45382</v>
      </c>
    </row>
    <row r="11" spans="2:27" x14ac:dyDescent="0.35">
      <c r="B11" s="220" t="s">
        <v>5</v>
      </c>
      <c r="C11" s="220"/>
      <c r="D11" s="12"/>
      <c r="E11" s="11" t="str" cm="1">
        <f t="array" aca="1" ref="E11" ca="1">_FV(B2,"Ticker symbol",TRUE)</f>
        <v>MGH</v>
      </c>
      <c r="F11" s="15"/>
      <c r="G11" s="220"/>
      <c r="H11" s="220"/>
      <c r="I11" s="220"/>
      <c r="J11" s="264"/>
      <c r="K11" s="264"/>
      <c r="L11" s="264"/>
      <c r="M11" s="264"/>
      <c r="N11" s="264"/>
      <c r="O11" s="264"/>
      <c r="P11" s="257" t="s">
        <v>47</v>
      </c>
      <c r="Q11" s="257"/>
      <c r="R11" s="257" t="s">
        <v>47</v>
      </c>
      <c r="S11" s="257"/>
      <c r="T11" s="257" t="s">
        <v>3</v>
      </c>
      <c r="U11" s="257"/>
      <c r="V11" s="10"/>
      <c r="W11" s="220" t="s">
        <v>48</v>
      </c>
      <c r="X11" s="220"/>
      <c r="Y11" s="220"/>
      <c r="Z11" s="16">
        <v>89.26</v>
      </c>
      <c r="AA11" s="16">
        <v>85.462000000000003</v>
      </c>
    </row>
    <row r="12" spans="2:27" ht="15" thickBot="1" x14ac:dyDescent="0.4">
      <c r="B12" s="220" t="s">
        <v>49</v>
      </c>
      <c r="C12" s="220"/>
      <c r="D12" s="12"/>
      <c r="E12" s="11" t="s">
        <v>194</v>
      </c>
      <c r="F12" s="10"/>
      <c r="G12" s="220"/>
      <c r="H12" s="220"/>
      <c r="I12" s="220"/>
      <c r="J12" s="257" t="s">
        <v>50</v>
      </c>
      <c r="K12" s="257"/>
      <c r="L12" s="257" t="s">
        <v>51</v>
      </c>
      <c r="M12" s="257"/>
      <c r="N12" s="257" t="s">
        <v>46</v>
      </c>
      <c r="O12" s="257"/>
      <c r="P12" s="250">
        <v>45291</v>
      </c>
      <c r="Q12" s="251"/>
      <c r="R12" s="250">
        <v>45657</v>
      </c>
      <c r="S12" s="251"/>
      <c r="T12" s="252">
        <f>R12</f>
        <v>45657</v>
      </c>
      <c r="U12" s="252"/>
      <c r="V12" s="10"/>
      <c r="W12" s="220" t="s">
        <v>52</v>
      </c>
      <c r="X12" s="220"/>
      <c r="Y12" s="220"/>
      <c r="Z12" s="16">
        <v>138.59299999999999</v>
      </c>
      <c r="AA12" s="16">
        <v>138.07300000000001</v>
      </c>
    </row>
    <row r="13" spans="2:27" x14ac:dyDescent="0.35">
      <c r="B13" s="220" t="s">
        <v>53</v>
      </c>
      <c r="C13" s="220"/>
      <c r="D13" s="12"/>
      <c r="E13" s="17">
        <v>45838</v>
      </c>
      <c r="F13" s="10"/>
      <c r="G13" s="229" t="s">
        <v>8</v>
      </c>
      <c r="H13" s="229"/>
      <c r="I13" s="229"/>
      <c r="J13" s="233">
        <v>517.12</v>
      </c>
      <c r="K13" s="234"/>
      <c r="L13" s="233">
        <v>799.64</v>
      </c>
      <c r="M13" s="234"/>
      <c r="N13" s="233">
        <v>908.52</v>
      </c>
      <c r="O13" s="234"/>
      <c r="P13" s="253">
        <v>472.65199999999999</v>
      </c>
      <c r="Q13" s="254"/>
      <c r="R13" s="255">
        <v>473.93799999999999</v>
      </c>
      <c r="S13" s="256"/>
      <c r="T13" s="231">
        <f>IFERROR(N13+R13-P13," -        ")</f>
        <v>909.80600000000004</v>
      </c>
      <c r="U13" s="230"/>
      <c r="V13" s="10"/>
      <c r="W13" s="220" t="s">
        <v>54</v>
      </c>
      <c r="X13" s="220"/>
      <c r="Y13" s="220"/>
      <c r="Z13" s="16">
        <v>126.828</v>
      </c>
      <c r="AA13" s="16">
        <v>142.24</v>
      </c>
    </row>
    <row r="14" spans="2:27" ht="14.5" customHeight="1" x14ac:dyDescent="0.35">
      <c r="B14" s="249" t="s">
        <v>55</v>
      </c>
      <c r="C14" s="249"/>
      <c r="D14" s="249"/>
      <c r="E14" s="42">
        <v>1.7500000000000002E-2</v>
      </c>
      <c r="F14" s="10"/>
      <c r="G14" s="220" t="s">
        <v>56</v>
      </c>
      <c r="H14" s="229"/>
      <c r="I14" s="229"/>
      <c r="J14" s="233">
        <v>273.31799999999998</v>
      </c>
      <c r="K14" s="234"/>
      <c r="L14" s="233">
        <v>424.68</v>
      </c>
      <c r="M14" s="233"/>
      <c r="N14" s="233">
        <v>449.37</v>
      </c>
      <c r="O14" s="265"/>
      <c r="P14" s="235">
        <v>244.67</v>
      </c>
      <c r="Q14" s="234"/>
      <c r="R14" s="233">
        <v>241.71</v>
      </c>
      <c r="S14" s="236"/>
      <c r="T14" s="230">
        <f t="shared" ref="T14:T23" si="0">IFERROR(N14+R14-P14," -        ")</f>
        <v>446.41000000000008</v>
      </c>
      <c r="U14" s="230"/>
      <c r="V14" s="10"/>
      <c r="W14" s="220" t="s">
        <v>57</v>
      </c>
      <c r="X14" s="220"/>
      <c r="Y14" s="220"/>
      <c r="Z14" s="16">
        <f>22.61+9.301</f>
        <v>31.911000000000001</v>
      </c>
      <c r="AA14" s="16">
        <v>29.442</v>
      </c>
    </row>
    <row r="15" spans="2:27" x14ac:dyDescent="0.35">
      <c r="B15" s="220" t="s">
        <v>58</v>
      </c>
      <c r="C15" s="220"/>
      <c r="D15" s="12"/>
      <c r="E15" s="11" t="s">
        <v>65</v>
      </c>
      <c r="F15" s="10"/>
      <c r="G15" s="220" t="s">
        <v>60</v>
      </c>
      <c r="H15" s="220"/>
      <c r="I15" s="220"/>
      <c r="J15" s="230">
        <f>IFERROR(J13-J14," -        ")</f>
        <v>243.80200000000002</v>
      </c>
      <c r="K15" s="230"/>
      <c r="L15" s="230">
        <f t="shared" ref="L15" si="1">IFERROR(L13-L14," -        ")</f>
        <v>374.96</v>
      </c>
      <c r="M15" s="230"/>
      <c r="N15" s="230">
        <f t="shared" ref="N15" si="2">IFERROR(N13-N14," -        ")</f>
        <v>459.15</v>
      </c>
      <c r="O15" s="230"/>
      <c r="P15" s="231">
        <f>IFERROR(P13-P14," -        ")</f>
        <v>227.982</v>
      </c>
      <c r="Q15" s="230"/>
      <c r="R15" s="230">
        <f t="shared" ref="R15" si="3">IFERROR(R13-R14," -        ")</f>
        <v>232.22799999999998</v>
      </c>
      <c r="S15" s="232"/>
      <c r="T15" s="230">
        <f t="shared" si="0"/>
        <v>463.39599999999996</v>
      </c>
      <c r="U15" s="230"/>
      <c r="V15" s="10"/>
      <c r="W15" s="220" t="s">
        <v>61</v>
      </c>
      <c r="X15" s="220"/>
      <c r="Y15" s="220"/>
      <c r="Z15" s="20">
        <f>IFERROR(Z11+Z12+Z13+Z14," -        ")</f>
        <v>386.59200000000004</v>
      </c>
      <c r="AA15" s="20">
        <f>IFERROR(AA11+AA12+AA13+AA14," -        ")</f>
        <v>395.21700000000004</v>
      </c>
    </row>
    <row r="16" spans="2:27" x14ac:dyDescent="0.35">
      <c r="B16" s="220" t="s">
        <v>62</v>
      </c>
      <c r="C16" s="220"/>
      <c r="D16" s="12"/>
      <c r="E16" s="21" t="s">
        <v>195</v>
      </c>
      <c r="F16" s="10"/>
      <c r="G16" s="220" t="s">
        <v>64</v>
      </c>
      <c r="H16" s="220"/>
      <c r="I16" s="220"/>
      <c r="J16" s="233">
        <v>132.672</v>
      </c>
      <c r="K16" s="234"/>
      <c r="L16" s="233">
        <v>224.75399999999999</v>
      </c>
      <c r="M16" s="234"/>
      <c r="N16" s="233">
        <v>263.87700000000001</v>
      </c>
      <c r="O16" s="234"/>
      <c r="P16" s="235">
        <v>131.92599999999999</v>
      </c>
      <c r="Q16" s="234"/>
      <c r="R16" s="233">
        <v>144.084</v>
      </c>
      <c r="S16" s="236"/>
      <c r="T16" s="230">
        <f t="shared" si="0"/>
        <v>276.03500000000003</v>
      </c>
      <c r="U16" s="230"/>
      <c r="V16" s="10"/>
      <c r="W16" s="220"/>
      <c r="X16" s="220"/>
      <c r="Y16" s="220"/>
      <c r="Z16" s="20"/>
      <c r="AA16" s="20"/>
    </row>
    <row r="17" spans="2:27" x14ac:dyDescent="0.35">
      <c r="B17" s="220" t="s">
        <v>66</v>
      </c>
      <c r="C17" s="220"/>
      <c r="D17" s="12"/>
      <c r="E17" s="22">
        <v>0.38</v>
      </c>
      <c r="F17" s="10"/>
      <c r="G17" s="220" t="s">
        <v>67</v>
      </c>
      <c r="H17" s="220"/>
      <c r="I17" s="220"/>
      <c r="J17" s="233">
        <f>175.081-J16</f>
        <v>42.408999999999992</v>
      </c>
      <c r="K17" s="234"/>
      <c r="L17" s="233">
        <f>293.356-L16</f>
        <v>68.602000000000004</v>
      </c>
      <c r="M17" s="234"/>
      <c r="N17" s="233">
        <f>345.672-N16</f>
        <v>81.795000000000016</v>
      </c>
      <c r="O17" s="234"/>
      <c r="P17" s="235">
        <f>169.635-P16</f>
        <v>37.709000000000003</v>
      </c>
      <c r="Q17" s="234"/>
      <c r="R17" s="233">
        <f>190.011-R16</f>
        <v>45.926999999999992</v>
      </c>
      <c r="S17" s="236"/>
      <c r="T17" s="230">
        <f t="shared" si="0"/>
        <v>90.013000000000005</v>
      </c>
      <c r="U17" s="230"/>
      <c r="V17" s="10"/>
      <c r="W17" s="220" t="s">
        <v>68</v>
      </c>
      <c r="X17" s="220"/>
      <c r="Y17" s="220"/>
      <c r="Z17" s="16">
        <v>621.83100000000002</v>
      </c>
      <c r="AA17" s="16">
        <v>642.72199999999998</v>
      </c>
    </row>
    <row r="18" spans="2:27" x14ac:dyDescent="0.35">
      <c r="B18" s="10"/>
      <c r="C18" s="10"/>
      <c r="D18" s="10"/>
      <c r="E18" s="10"/>
      <c r="F18" s="10"/>
      <c r="G18" s="220" t="s">
        <v>69</v>
      </c>
      <c r="H18" s="220"/>
      <c r="I18" s="220"/>
      <c r="J18" s="248">
        <f>IFERROR(J15-J16-J17," -        ")</f>
        <v>68.721000000000032</v>
      </c>
      <c r="K18" s="230"/>
      <c r="L18" s="248">
        <f>IFERROR(L15-L16-L17," -        ")</f>
        <v>81.603999999999985</v>
      </c>
      <c r="M18" s="230"/>
      <c r="N18" s="248">
        <f>IFERROR(N15-N16-N17," -        ")</f>
        <v>113.47799999999995</v>
      </c>
      <c r="O18" s="230"/>
      <c r="P18" s="231">
        <f>IFERROR(P15-P16-P17," -        ")</f>
        <v>58.347000000000008</v>
      </c>
      <c r="Q18" s="230"/>
      <c r="R18" s="230">
        <f>IFERROR(R15-R16-R17," -        ")</f>
        <v>42.216999999999985</v>
      </c>
      <c r="S18" s="232"/>
      <c r="T18" s="230">
        <f t="shared" si="0"/>
        <v>97.347999999999928</v>
      </c>
      <c r="U18" s="230"/>
      <c r="V18" s="10"/>
      <c r="W18" s="220" t="s">
        <v>70</v>
      </c>
      <c r="X18" s="220"/>
      <c r="Y18" s="220"/>
      <c r="Z18" s="16">
        <f>114.844+66.407</f>
        <v>181.25099999999998</v>
      </c>
      <c r="AA18" s="16">
        <f>195.186</f>
        <v>195.18600000000001</v>
      </c>
    </row>
    <row r="19" spans="2:27" ht="15" thickBot="1" x14ac:dyDescent="0.4">
      <c r="B19" s="8" t="s">
        <v>71</v>
      </c>
      <c r="C19" s="9"/>
      <c r="D19" s="9"/>
      <c r="E19" s="9"/>
      <c r="F19" s="10"/>
      <c r="G19" s="220" t="s">
        <v>72</v>
      </c>
      <c r="H19" s="220"/>
      <c r="I19" s="220"/>
      <c r="J19" s="233">
        <v>7.1779999999999999</v>
      </c>
      <c r="K19" s="234"/>
      <c r="L19" s="233">
        <v>21.849</v>
      </c>
      <c r="M19" s="234"/>
      <c r="N19" s="233">
        <v>34.893999999999998</v>
      </c>
      <c r="O19" s="234"/>
      <c r="P19" s="235">
        <v>17.062000000000001</v>
      </c>
      <c r="Q19" s="234"/>
      <c r="R19" s="233">
        <v>20.806000000000001</v>
      </c>
      <c r="S19" s="236"/>
      <c r="T19" s="230">
        <f t="shared" si="0"/>
        <v>38.638000000000005</v>
      </c>
      <c r="U19" s="230"/>
      <c r="V19" s="10"/>
      <c r="W19" s="220" t="s">
        <v>73</v>
      </c>
      <c r="X19" s="220"/>
      <c r="Y19" s="220"/>
      <c r="Z19" s="16">
        <f>391.226+8.515</f>
        <v>399.74099999999999</v>
      </c>
      <c r="AA19" s="16">
        <f>415.723+8.744</f>
        <v>424.46699999999998</v>
      </c>
    </row>
    <row r="20" spans="2:27" ht="3.5" customHeight="1" x14ac:dyDescent="0.35">
      <c r="B20" s="2"/>
      <c r="C20" s="2"/>
      <c r="D20" s="2"/>
      <c r="E20" s="2"/>
      <c r="F20" s="10"/>
      <c r="G20" s="220"/>
      <c r="H20" s="220"/>
      <c r="I20" s="220"/>
      <c r="J20" s="244"/>
      <c r="K20" s="244"/>
      <c r="L20" s="244"/>
      <c r="M20" s="244"/>
      <c r="N20" s="244"/>
      <c r="O20" s="244"/>
      <c r="P20" s="245"/>
      <c r="Q20" s="244"/>
      <c r="R20" s="244"/>
      <c r="S20" s="246"/>
      <c r="T20" s="230">
        <f t="shared" si="0"/>
        <v>0</v>
      </c>
      <c r="U20" s="230"/>
      <c r="V20" s="10"/>
      <c r="W20" s="220"/>
      <c r="X20" s="220"/>
      <c r="Y20" s="12"/>
      <c r="Z20" s="20"/>
      <c r="AA20" s="20"/>
    </row>
    <row r="21" spans="2:27" x14ac:dyDescent="0.35">
      <c r="B21" s="220" t="s">
        <v>74</v>
      </c>
      <c r="C21" s="220"/>
      <c r="D21" s="23" cm="1">
        <f t="array" aca="1" ref="D21" ca="1">_FV(B2,"Last trade time",TRUE)</f>
        <v>45763.187582430466</v>
      </c>
      <c r="E21" s="24" cm="1">
        <f t="array" aca="1" ref="E21" ca="1">_FV(B2,"Price")</f>
        <v>3.7650000000000001</v>
      </c>
      <c r="F21" s="10"/>
      <c r="G21" s="220" t="s">
        <v>75</v>
      </c>
      <c r="H21" s="220"/>
      <c r="I21" s="220"/>
      <c r="J21" s="230">
        <f>IFERROR(J18-J19," -        ")</f>
        <v>61.543000000000035</v>
      </c>
      <c r="K21" s="230"/>
      <c r="L21" s="230">
        <f t="shared" ref="L21" si="4">IFERROR(L18-L19," -        ")</f>
        <v>59.754999999999981</v>
      </c>
      <c r="M21" s="230"/>
      <c r="N21" s="230">
        <f t="shared" ref="N21" si="5">IFERROR(N18-N19," -        ")</f>
        <v>78.583999999999946</v>
      </c>
      <c r="O21" s="230"/>
      <c r="P21" s="231">
        <f t="shared" ref="P21" si="6">IFERROR(P18-P19," -        ")</f>
        <v>41.285000000000011</v>
      </c>
      <c r="Q21" s="230"/>
      <c r="R21" s="230">
        <f t="shared" ref="R21" si="7">IFERROR(R18-R19," -        ")</f>
        <v>21.410999999999984</v>
      </c>
      <c r="S21" s="232"/>
      <c r="T21" s="230">
        <f t="shared" si="0"/>
        <v>58.709999999999923</v>
      </c>
      <c r="U21" s="230"/>
      <c r="V21" s="10"/>
      <c r="W21" s="220" t="s">
        <v>76</v>
      </c>
      <c r="X21" s="220"/>
      <c r="Y21" s="220"/>
      <c r="Z21" s="20">
        <f>IFERROR(Z17+Z18+Z19+Z15," -       ")</f>
        <v>1589.415</v>
      </c>
      <c r="AA21" s="20">
        <f>IFERROR(AA17+AA18+AA19+AA15," -       ")</f>
        <v>1657.5920000000001</v>
      </c>
    </row>
    <row r="22" spans="2:27" x14ac:dyDescent="0.35">
      <c r="B22" s="220" t="s">
        <v>77</v>
      </c>
      <c r="C22" s="220"/>
      <c r="D22" s="25"/>
      <c r="E22" s="26">
        <f ca="1">IFERROR(E21/E23,"NA")</f>
        <v>0.74554455445544554</v>
      </c>
      <c r="F22" s="10"/>
      <c r="G22" s="220" t="s">
        <v>78</v>
      </c>
      <c r="H22" s="220"/>
      <c r="I22" s="220"/>
      <c r="J22" s="233">
        <v>26.009</v>
      </c>
      <c r="K22" s="234"/>
      <c r="L22" s="233">
        <v>28.44</v>
      </c>
      <c r="M22" s="234"/>
      <c r="N22" s="233">
        <v>35.789000000000001</v>
      </c>
      <c r="O22" s="234"/>
      <c r="P22" s="235">
        <v>14.401</v>
      </c>
      <c r="Q22" s="234"/>
      <c r="R22" s="233">
        <v>12.26</v>
      </c>
      <c r="S22" s="236"/>
      <c r="T22" s="230">
        <f t="shared" si="0"/>
        <v>33.647999999999996</v>
      </c>
      <c r="U22" s="230"/>
      <c r="V22" s="10"/>
      <c r="W22" s="220"/>
      <c r="X22" s="220"/>
      <c r="Y22" s="220"/>
      <c r="Z22" s="20"/>
      <c r="AA22" s="20"/>
    </row>
    <row r="23" spans="2:27" x14ac:dyDescent="0.35">
      <c r="B23" s="220" t="s">
        <v>79</v>
      </c>
      <c r="C23" s="220"/>
      <c r="D23" s="23" cm="1">
        <f t="array" aca="1" ref="D23" ca="1">_FV(B2,"Last trade time",TRUE)</f>
        <v>45763.187582430466</v>
      </c>
      <c r="E23" s="24" cm="1">
        <f t="array" aca="1" ref="E23" ca="1">_FV(B2,"52 week high",TRUE)</f>
        <v>5.05</v>
      </c>
      <c r="F23" s="10"/>
      <c r="G23" s="220" t="s">
        <v>80</v>
      </c>
      <c r="H23" s="220"/>
      <c r="I23" s="220"/>
      <c r="J23" s="233">
        <v>0</v>
      </c>
      <c r="K23" s="234"/>
      <c r="L23" s="233">
        <v>0.44800000000000001</v>
      </c>
      <c r="M23" s="234"/>
      <c r="N23" s="233">
        <v>2.6440000000000001</v>
      </c>
      <c r="O23" s="234"/>
      <c r="P23" s="235">
        <v>0.82</v>
      </c>
      <c r="Q23" s="234"/>
      <c r="R23" s="233">
        <v>1.1539999999999999</v>
      </c>
      <c r="S23" s="236"/>
      <c r="T23" s="230">
        <f t="shared" si="0"/>
        <v>2.9780000000000002</v>
      </c>
      <c r="U23" s="230"/>
      <c r="V23" s="10"/>
      <c r="W23" s="220" t="s">
        <v>81</v>
      </c>
      <c r="X23" s="220"/>
      <c r="Y23" s="220"/>
      <c r="Z23" s="16">
        <v>109.25</v>
      </c>
      <c r="AA23" s="16">
        <v>103.66</v>
      </c>
    </row>
    <row r="24" spans="2:27" x14ac:dyDescent="0.35">
      <c r="B24" s="220" t="s">
        <v>82</v>
      </c>
      <c r="C24" s="220"/>
      <c r="D24" s="23" cm="1">
        <f t="array" aca="1" ref="D24" ca="1">_FV(B2,"Last trade time",TRUE)</f>
        <v>45763.187582430466</v>
      </c>
      <c r="E24" s="24" cm="1">
        <f t="array" aca="1" ref="E24" ca="1">_FV(B2,"52 week low",TRUE)</f>
        <v>3.3</v>
      </c>
      <c r="F24" s="10"/>
      <c r="G24" s="220" t="s">
        <v>83</v>
      </c>
      <c r="H24" s="220"/>
      <c r="I24" s="220"/>
      <c r="J24" s="233">
        <v>0</v>
      </c>
      <c r="K24" s="234"/>
      <c r="L24" s="233">
        <v>0</v>
      </c>
      <c r="M24" s="234"/>
      <c r="N24" s="233">
        <v>0</v>
      </c>
      <c r="O24" s="234"/>
      <c r="P24" s="235">
        <v>0</v>
      </c>
      <c r="Q24" s="234"/>
      <c r="R24" s="233">
        <v>0</v>
      </c>
      <c r="S24" s="236"/>
      <c r="T24" s="230">
        <v>0</v>
      </c>
      <c r="U24" s="230"/>
      <c r="V24" s="10"/>
      <c r="W24" s="220" t="s">
        <v>84</v>
      </c>
      <c r="X24" s="220"/>
      <c r="Y24" s="220"/>
      <c r="Z24" s="16">
        <v>74.94</v>
      </c>
      <c r="AA24" s="16">
        <v>59.16</v>
      </c>
    </row>
    <row r="25" spans="2:27" x14ac:dyDescent="0.35">
      <c r="B25" s="220" t="s">
        <v>85</v>
      </c>
      <c r="C25" s="220"/>
      <c r="D25" s="25"/>
      <c r="E25" s="43">
        <f>E14</f>
        <v>1.7500000000000002E-2</v>
      </c>
      <c r="F25" s="10"/>
      <c r="G25" s="220" t="s">
        <v>86</v>
      </c>
      <c r="H25" s="220"/>
      <c r="I25" s="220"/>
      <c r="J25" s="230">
        <f>IFERROR(J21-J22-J23-J24," -        ")</f>
        <v>35.534000000000034</v>
      </c>
      <c r="K25" s="230"/>
      <c r="L25" s="230">
        <f t="shared" ref="L25" si="8">IFERROR(L21-L22-L23-L24," -        ")</f>
        <v>30.86699999999998</v>
      </c>
      <c r="M25" s="230"/>
      <c r="N25" s="230">
        <f t="shared" ref="N25" si="9">IFERROR(N21-N22-N23-N24," -        ")</f>
        <v>40.150999999999947</v>
      </c>
      <c r="O25" s="230"/>
      <c r="P25" s="231">
        <f t="shared" ref="P25" si="10">IFERROR(P21-P22-P23-P24," -        ")</f>
        <v>26.064000000000011</v>
      </c>
      <c r="Q25" s="230"/>
      <c r="R25" s="230">
        <f t="shared" ref="R25" si="11">IFERROR(R21-R22-R23-R24," -        ")</f>
        <v>7.9969999999999839</v>
      </c>
      <c r="S25" s="232"/>
      <c r="T25" s="230">
        <f t="shared" ref="T25:T29" si="12">IFERROR(N25+R25-P25," -        ")</f>
        <v>22.083999999999921</v>
      </c>
      <c r="U25" s="230"/>
      <c r="V25" s="10"/>
      <c r="W25" s="220" t="s">
        <v>87</v>
      </c>
      <c r="X25" s="220"/>
      <c r="Y25" s="220"/>
      <c r="Z25" s="44">
        <f>261.261-Z23-Z24</f>
        <v>77.071000000000026</v>
      </c>
      <c r="AA25" s="16">
        <f>210.355-AA23-AA24</f>
        <v>47.534999999999997</v>
      </c>
    </row>
    <row r="26" spans="2:27" x14ac:dyDescent="0.35">
      <c r="B26" s="220"/>
      <c r="C26" s="220"/>
      <c r="D26" s="25"/>
      <c r="E26" s="25"/>
      <c r="F26" s="10"/>
      <c r="G26" s="220" t="s">
        <v>88</v>
      </c>
      <c r="H26" s="220"/>
      <c r="I26" s="220"/>
      <c r="J26" s="205">
        <f>IFERROR(J22/J21," -        ")</f>
        <v>0.42261508213769211</v>
      </c>
      <c r="K26" s="205"/>
      <c r="L26" s="205">
        <f t="shared" ref="L26" si="13">IFERROR(L22/L21," -        ")</f>
        <v>0.47594343569575787</v>
      </c>
      <c r="M26" s="205"/>
      <c r="N26" s="205">
        <f t="shared" ref="N26" si="14">IFERROR(N22/N21," -        ")</f>
        <v>0.45542349587702363</v>
      </c>
      <c r="O26" s="205"/>
      <c r="P26" s="216">
        <f t="shared" ref="P26" si="15">IFERROR(P22/P21," -        ")</f>
        <v>0.34881918372290166</v>
      </c>
      <c r="Q26" s="205"/>
      <c r="R26" s="205">
        <f t="shared" ref="R26" si="16">IFERROR(R22/R21," -        ")</f>
        <v>0.57260286768483537</v>
      </c>
      <c r="S26" s="217"/>
      <c r="T26" s="205">
        <f t="shared" si="12"/>
        <v>0.67920717983895729</v>
      </c>
      <c r="U26" s="205"/>
      <c r="V26" s="28"/>
      <c r="W26" s="247" t="s">
        <v>89</v>
      </c>
      <c r="X26" s="247"/>
      <c r="Y26" s="247"/>
      <c r="Z26" s="20">
        <f>IFERROR(Z23+Z24+Z25," -       ")</f>
        <v>261.26100000000002</v>
      </c>
      <c r="AA26" s="20">
        <f>IFERROR(AA23+AA24+AA25," -       ")</f>
        <v>210.35499999999999</v>
      </c>
    </row>
    <row r="27" spans="2:27" x14ac:dyDescent="0.35">
      <c r="B27" s="29" t="s">
        <v>90</v>
      </c>
      <c r="C27" s="29"/>
      <c r="D27" s="25"/>
      <c r="E27" s="30">
        <f>T28</f>
        <v>334.51701300000002</v>
      </c>
      <c r="F27" s="10"/>
      <c r="G27" s="220"/>
      <c r="H27" s="220"/>
      <c r="I27" s="220"/>
      <c r="J27" s="244"/>
      <c r="K27" s="244"/>
      <c r="L27" s="244"/>
      <c r="M27" s="244"/>
      <c r="N27" s="244"/>
      <c r="O27" s="244"/>
      <c r="P27" s="245"/>
      <c r="Q27" s="244"/>
      <c r="R27" s="244"/>
      <c r="S27" s="246"/>
      <c r="T27" s="230"/>
      <c r="U27" s="230"/>
      <c r="V27" s="10"/>
      <c r="W27" s="220"/>
      <c r="X27" s="220"/>
      <c r="Y27" s="220"/>
      <c r="Z27" s="20"/>
      <c r="AA27" s="20"/>
    </row>
    <row r="28" spans="2:27" x14ac:dyDescent="0.35">
      <c r="B28" s="229" t="s">
        <v>91</v>
      </c>
      <c r="C28" s="229"/>
      <c r="D28" s="25"/>
      <c r="E28" s="30">
        <f ca="1">IFERROR(E27*E21," -       ")</f>
        <v>1259.4565539450002</v>
      </c>
      <c r="F28" s="10"/>
      <c r="G28" s="220" t="s">
        <v>92</v>
      </c>
      <c r="H28" s="220"/>
      <c r="I28" s="220"/>
      <c r="J28" s="233">
        <v>289.51831499999997</v>
      </c>
      <c r="K28" s="234"/>
      <c r="L28" s="233">
        <v>321.23407700000001</v>
      </c>
      <c r="M28" s="234"/>
      <c r="N28" s="233">
        <v>332.27531299999998</v>
      </c>
      <c r="O28" s="234"/>
      <c r="P28" s="235">
        <v>332.03871900000001</v>
      </c>
      <c r="Q28" s="234"/>
      <c r="R28" s="233">
        <v>336.52211799999998</v>
      </c>
      <c r="S28" s="236"/>
      <c r="T28" s="230">
        <v>334.51701300000002</v>
      </c>
      <c r="U28" s="230"/>
      <c r="V28" s="10"/>
      <c r="W28" s="220" t="s">
        <v>93</v>
      </c>
      <c r="X28" s="220"/>
      <c r="Y28" s="220"/>
      <c r="Z28" s="16">
        <v>515.84799999999996</v>
      </c>
      <c r="AA28" s="16">
        <v>470.33100000000002</v>
      </c>
    </row>
    <row r="29" spans="2:27" ht="15" thickBot="1" x14ac:dyDescent="0.4">
      <c r="B29" s="220"/>
      <c r="C29" s="220"/>
      <c r="D29" s="25"/>
      <c r="E29" s="30"/>
      <c r="F29" s="10"/>
      <c r="G29" s="220" t="s">
        <v>94</v>
      </c>
      <c r="H29" s="220"/>
      <c r="I29" s="220"/>
      <c r="J29" s="230">
        <f>IFERROR(J25/J28," -        ")</f>
        <v>0.12273489502728019</v>
      </c>
      <c r="K29" s="230"/>
      <c r="L29" s="230">
        <f t="shared" ref="L29" si="17">IFERROR(L25/L28," -        ")</f>
        <v>9.6088809407353065E-2</v>
      </c>
      <c r="M29" s="230"/>
      <c r="N29" s="230">
        <f>IFERROR(N25/N28," -        ")</f>
        <v>0.1208365425571052</v>
      </c>
      <c r="O29" s="230"/>
      <c r="P29" s="241">
        <f t="shared" ref="P29" si="18">IFERROR(P25/P28," -        ")</f>
        <v>7.849686951719631E-2</v>
      </c>
      <c r="Q29" s="242"/>
      <c r="R29" s="242">
        <f t="shared" ref="R29" si="19">IFERROR(R25/R28," -        ")</f>
        <v>2.3763668336355782E-2</v>
      </c>
      <c r="S29" s="243"/>
      <c r="T29" s="230">
        <f t="shared" si="12"/>
        <v>6.6103341376264668E-2</v>
      </c>
      <c r="U29" s="230"/>
      <c r="V29" s="10"/>
      <c r="W29" s="220" t="s">
        <v>95</v>
      </c>
      <c r="X29" s="220"/>
      <c r="Y29" s="220"/>
      <c r="Z29" s="16">
        <f>905.73-Z28-Z26</f>
        <v>128.62100000000004</v>
      </c>
      <c r="AA29" s="16">
        <f>818.812-AA28-AA26</f>
        <v>138.126</v>
      </c>
    </row>
    <row r="30" spans="2:27" x14ac:dyDescent="0.35">
      <c r="B30" s="220" t="s">
        <v>96</v>
      </c>
      <c r="C30" s="220"/>
      <c r="D30" s="25"/>
      <c r="E30" s="30">
        <f>IF(SUM(AA24,AA28)=0," -       ",SUM(AA24,AA28))</f>
        <v>529.49099999999999</v>
      </c>
      <c r="F30" s="10"/>
      <c r="G30" s="10"/>
      <c r="H30" s="10"/>
      <c r="I30" s="10"/>
      <c r="J30" s="10"/>
      <c r="K30" s="10"/>
      <c r="L30" s="10"/>
      <c r="M30" s="10"/>
      <c r="N30" s="10"/>
      <c r="O30" s="10"/>
      <c r="P30" s="10"/>
      <c r="Q30" s="10"/>
      <c r="R30" s="10"/>
      <c r="S30" s="10"/>
      <c r="T30" s="10"/>
      <c r="U30" s="10"/>
      <c r="V30" s="10"/>
      <c r="W30" s="229" t="s">
        <v>97</v>
      </c>
      <c r="X30" s="229"/>
      <c r="Y30" s="229"/>
      <c r="Z30" s="20">
        <f>IFERROR(Z26+Z28+Z29," -       ")</f>
        <v>905.73</v>
      </c>
      <c r="AA30" s="20">
        <f>IFERROR(AA26+AA28+AA29," -       ")</f>
        <v>818.81200000000001</v>
      </c>
    </row>
    <row r="31" spans="2:27" x14ac:dyDescent="0.35">
      <c r="B31" s="220" t="s">
        <v>98</v>
      </c>
      <c r="C31" s="220"/>
      <c r="D31" s="25"/>
      <c r="E31" s="30">
        <f>AA33</f>
        <v>0</v>
      </c>
      <c r="F31" s="10"/>
      <c r="G31" s="10"/>
      <c r="H31" s="10"/>
      <c r="I31" s="10"/>
      <c r="J31" s="10"/>
      <c r="K31" s="10"/>
      <c r="L31" s="10"/>
      <c r="M31" s="10"/>
      <c r="N31" s="10"/>
      <c r="O31" s="10"/>
      <c r="P31" s="10"/>
      <c r="Q31" s="10"/>
      <c r="R31" s="10"/>
      <c r="S31" s="10"/>
      <c r="T31" s="10"/>
      <c r="U31" s="10"/>
      <c r="V31" s="10"/>
      <c r="W31" s="220"/>
      <c r="X31" s="220"/>
      <c r="Y31" s="220"/>
      <c r="Z31" s="20"/>
      <c r="AA31" s="20"/>
    </row>
    <row r="32" spans="2:27" ht="15" thickBot="1" x14ac:dyDescent="0.4">
      <c r="B32" s="220" t="s">
        <v>99</v>
      </c>
      <c r="C32" s="220"/>
      <c r="D32" s="25"/>
      <c r="E32" s="30">
        <f>AA32</f>
        <v>10.021000000000001</v>
      </c>
      <c r="F32" s="10"/>
      <c r="G32" s="1" t="s">
        <v>100</v>
      </c>
      <c r="H32" s="2"/>
      <c r="I32" s="2"/>
      <c r="J32" s="2"/>
      <c r="K32" s="2"/>
      <c r="L32" s="2"/>
      <c r="M32" s="2"/>
      <c r="N32" s="2"/>
      <c r="O32" s="2"/>
      <c r="P32" s="2"/>
      <c r="Q32" s="2"/>
      <c r="R32" s="2"/>
      <c r="S32" s="2"/>
      <c r="T32" s="2"/>
      <c r="U32" s="2"/>
      <c r="V32" s="10"/>
      <c r="W32" s="220" t="s">
        <v>101</v>
      </c>
      <c r="X32" s="220"/>
      <c r="Y32" s="220"/>
      <c r="Z32" s="16">
        <v>5.0570000000000004</v>
      </c>
      <c r="AA32" s="16">
        <v>10.021000000000001</v>
      </c>
    </row>
    <row r="33" spans="2:27" x14ac:dyDescent="0.35">
      <c r="B33" s="29" t="s">
        <v>102</v>
      </c>
      <c r="C33" s="29"/>
      <c r="D33" s="25"/>
      <c r="E33" s="30">
        <f>AA11</f>
        <v>85.462000000000003</v>
      </c>
      <c r="F33" s="10"/>
      <c r="G33" s="220" t="s">
        <v>103</v>
      </c>
      <c r="H33" s="220"/>
      <c r="I33" s="220"/>
      <c r="J33" s="230">
        <f>J15</f>
        <v>243.80200000000002</v>
      </c>
      <c r="K33" s="230"/>
      <c r="L33" s="230">
        <f t="shared" ref="L33" si="20">L15</f>
        <v>374.96</v>
      </c>
      <c r="M33" s="230"/>
      <c r="N33" s="230">
        <f t="shared" ref="N33" si="21">N15</f>
        <v>459.15</v>
      </c>
      <c r="O33" s="230"/>
      <c r="P33" s="238">
        <f t="shared" ref="P33" si="22">P15</f>
        <v>227.982</v>
      </c>
      <c r="Q33" s="239"/>
      <c r="R33" s="239">
        <f t="shared" ref="R33" si="23">R15</f>
        <v>232.22799999999998</v>
      </c>
      <c r="S33" s="240"/>
      <c r="T33" s="230">
        <f t="shared" ref="T33:T57" si="24">IFERROR(N33+R33-P33," -        ")</f>
        <v>463.39599999999996</v>
      </c>
      <c r="U33" s="230"/>
      <c r="V33" s="10"/>
      <c r="W33" s="220" t="s">
        <v>104</v>
      </c>
      <c r="X33" s="220"/>
      <c r="Y33" s="220"/>
      <c r="Z33" s="16">
        <v>0</v>
      </c>
      <c r="AA33" s="16">
        <v>0</v>
      </c>
    </row>
    <row r="34" spans="2:27" x14ac:dyDescent="0.35">
      <c r="B34" s="229" t="s">
        <v>105</v>
      </c>
      <c r="C34" s="229"/>
      <c r="D34" s="25"/>
      <c r="E34" s="30">
        <f ca="1">IFERROR(E28+E30+E31+E32-E33,"-       ")</f>
        <v>1713.5065539450002</v>
      </c>
      <c r="F34" s="10"/>
      <c r="G34" s="220" t="s">
        <v>106</v>
      </c>
      <c r="H34" s="220"/>
      <c r="I34" s="220"/>
      <c r="J34" s="233">
        <v>0</v>
      </c>
      <c r="K34" s="234"/>
      <c r="L34" s="233">
        <v>0</v>
      </c>
      <c r="M34" s="234"/>
      <c r="N34" s="233">
        <v>0</v>
      </c>
      <c r="O34" s="234"/>
      <c r="P34" s="235">
        <v>0</v>
      </c>
      <c r="Q34" s="234"/>
      <c r="R34" s="233">
        <v>0</v>
      </c>
      <c r="S34" s="236"/>
      <c r="T34" s="230"/>
      <c r="U34" s="230"/>
      <c r="V34" s="10"/>
      <c r="W34" s="220" t="s">
        <v>107</v>
      </c>
      <c r="X34" s="220"/>
      <c r="Y34" s="220"/>
      <c r="Z34" s="16">
        <v>678.62800000000004</v>
      </c>
      <c r="AA34" s="16">
        <v>828.75900000000001</v>
      </c>
    </row>
    <row r="35" spans="2:27" x14ac:dyDescent="0.35">
      <c r="B35" s="10"/>
      <c r="C35" s="10"/>
      <c r="D35" s="10"/>
      <c r="E35" s="10"/>
      <c r="F35" s="10"/>
      <c r="G35" s="220" t="s">
        <v>108</v>
      </c>
      <c r="H35" s="220"/>
      <c r="I35" s="220"/>
      <c r="J35" s="230">
        <f>IFERROR(J33+J34," -        ")</f>
        <v>243.80200000000002</v>
      </c>
      <c r="K35" s="230"/>
      <c r="L35" s="230">
        <f t="shared" ref="L35" si="25">IFERROR(L33+L34," -        ")</f>
        <v>374.96</v>
      </c>
      <c r="M35" s="230"/>
      <c r="N35" s="230">
        <f t="shared" ref="N35" si="26">IFERROR(N33+N34," -        ")</f>
        <v>459.15</v>
      </c>
      <c r="O35" s="230"/>
      <c r="P35" s="231">
        <f t="shared" ref="P35" si="27">IFERROR(P33+P34," -        ")</f>
        <v>227.982</v>
      </c>
      <c r="Q35" s="230"/>
      <c r="R35" s="230">
        <f t="shared" ref="R35" si="28">IFERROR(R33+R34," -        ")</f>
        <v>232.22799999999998</v>
      </c>
      <c r="S35" s="232"/>
      <c r="T35" s="230">
        <f t="shared" si="24"/>
        <v>463.39599999999996</v>
      </c>
      <c r="U35" s="230"/>
      <c r="V35" s="10"/>
      <c r="W35" s="220" t="s">
        <v>109</v>
      </c>
      <c r="X35" s="220"/>
      <c r="Y35" s="220"/>
      <c r="Z35" s="20">
        <f>IFERROR(Z30+Z32+Z33+Z34," -       ")</f>
        <v>1589.415</v>
      </c>
      <c r="AA35" s="20">
        <f>IFERROR(AA30+AA32+AA33+AA34," -       ")</f>
        <v>1657.5920000000001</v>
      </c>
    </row>
    <row r="36" spans="2:27" ht="15" thickBot="1" x14ac:dyDescent="0.4">
      <c r="B36" s="8" t="s">
        <v>110</v>
      </c>
      <c r="C36" s="9"/>
      <c r="D36" s="9"/>
      <c r="E36" s="9"/>
      <c r="F36" s="10"/>
      <c r="G36" s="220" t="s">
        <v>111</v>
      </c>
      <c r="H36" s="220"/>
      <c r="I36" s="220"/>
      <c r="J36" s="205">
        <f>IFERROR(J35/J13," -        ")</f>
        <v>0.47146116955445549</v>
      </c>
      <c r="K36" s="205"/>
      <c r="L36" s="205">
        <f t="shared" ref="L36" si="29">IFERROR(L35/L13," -        ")</f>
        <v>0.46891100995447949</v>
      </c>
      <c r="M36" s="205"/>
      <c r="N36" s="205">
        <f t="shared" ref="N36" si="30">IFERROR(N35/N13," -        ")</f>
        <v>0.50538238013472458</v>
      </c>
      <c r="O36" s="205"/>
      <c r="P36" s="216">
        <f t="shared" ref="P36" si="31">IFERROR(P35/P13," -        ")</f>
        <v>0.48234641977607207</v>
      </c>
      <c r="Q36" s="205"/>
      <c r="R36" s="205">
        <f t="shared" ref="R36" si="32">IFERROR(R35/R13," -        ")</f>
        <v>0.48999658183137879</v>
      </c>
      <c r="S36" s="217"/>
      <c r="T36" s="205">
        <f t="shared" si="24"/>
        <v>0.51303254219003125</v>
      </c>
      <c r="U36" s="205"/>
      <c r="V36" s="10"/>
      <c r="W36" s="237" t="s">
        <v>112</v>
      </c>
      <c r="X36" s="237"/>
      <c r="Y36" s="237"/>
      <c r="Z36" s="20">
        <f>IFERROR(Z21-Z35," -       ")</f>
        <v>0</v>
      </c>
      <c r="AA36" s="20">
        <f>IFERROR(AA21-AA35," -       ")</f>
        <v>0</v>
      </c>
    </row>
    <row r="37" spans="2:27" ht="3" customHeight="1" x14ac:dyDescent="0.35">
      <c r="B37" s="2"/>
      <c r="C37" s="2"/>
      <c r="D37" s="2"/>
      <c r="E37" s="2"/>
      <c r="F37" s="10"/>
      <c r="G37" s="220"/>
      <c r="H37" s="220"/>
      <c r="I37" s="220"/>
      <c r="J37" s="224"/>
      <c r="K37" s="224"/>
      <c r="L37" s="224"/>
      <c r="M37" s="224"/>
      <c r="N37" s="224"/>
      <c r="O37" s="224"/>
      <c r="P37" s="227"/>
      <c r="Q37" s="224"/>
      <c r="R37" s="224"/>
      <c r="S37" s="228"/>
      <c r="T37" s="224">
        <f t="shared" si="24"/>
        <v>0</v>
      </c>
      <c r="U37" s="224"/>
      <c r="V37" s="10"/>
      <c r="W37" s="10"/>
      <c r="X37" s="10"/>
      <c r="Y37" s="10"/>
      <c r="Z37" s="10"/>
      <c r="AA37" s="10"/>
    </row>
    <row r="38" spans="2:27" x14ac:dyDescent="0.35">
      <c r="B38" s="12"/>
      <c r="C38" s="13" t="s">
        <v>3</v>
      </c>
      <c r="D38" s="13" t="s">
        <v>113</v>
      </c>
      <c r="E38" s="13" t="s">
        <v>114</v>
      </c>
      <c r="F38" s="10"/>
      <c r="G38" s="220"/>
      <c r="H38" s="220"/>
      <c r="I38" s="220"/>
      <c r="J38" s="213"/>
      <c r="K38" s="213"/>
      <c r="L38" s="213"/>
      <c r="M38" s="213"/>
      <c r="N38" s="213"/>
      <c r="O38" s="213"/>
      <c r="P38" s="225"/>
      <c r="Q38" s="213"/>
      <c r="R38" s="213"/>
      <c r="S38" s="226"/>
      <c r="T38" s="213"/>
      <c r="U38" s="213"/>
      <c r="V38" s="10"/>
      <c r="W38" s="10"/>
      <c r="X38" s="10"/>
      <c r="Y38" s="10"/>
      <c r="Z38" s="10"/>
      <c r="AA38" s="10"/>
    </row>
    <row r="39" spans="2:27" x14ac:dyDescent="0.35">
      <c r="B39" s="12"/>
      <c r="C39" s="14">
        <v>45747</v>
      </c>
      <c r="D39" s="13" t="s">
        <v>115</v>
      </c>
      <c r="E39" s="13" t="s">
        <v>116</v>
      </c>
      <c r="F39" s="10"/>
      <c r="G39" s="220" t="s">
        <v>117</v>
      </c>
      <c r="H39" s="220"/>
      <c r="I39" s="220"/>
      <c r="J39" s="230">
        <f>J18</f>
        <v>68.721000000000032</v>
      </c>
      <c r="K39" s="230"/>
      <c r="L39" s="230">
        <f t="shared" ref="L39" si="33">L18</f>
        <v>81.603999999999985</v>
      </c>
      <c r="M39" s="230"/>
      <c r="N39" s="230">
        <f t="shared" ref="N39" si="34">N18</f>
        <v>113.47799999999995</v>
      </c>
      <c r="O39" s="230"/>
      <c r="P39" s="231">
        <f t="shared" ref="P39" si="35">P18</f>
        <v>58.347000000000008</v>
      </c>
      <c r="Q39" s="230"/>
      <c r="R39" s="230">
        <f t="shared" ref="R39" si="36">R18</f>
        <v>42.216999999999985</v>
      </c>
      <c r="S39" s="232"/>
      <c r="T39" s="230">
        <f t="shared" si="24"/>
        <v>97.347999999999928</v>
      </c>
      <c r="U39" s="230"/>
      <c r="V39" s="10"/>
      <c r="W39" s="1" t="s">
        <v>196</v>
      </c>
      <c r="X39" s="2"/>
      <c r="Y39" s="2"/>
      <c r="Z39" s="2"/>
      <c r="AA39" s="2"/>
    </row>
    <row r="40" spans="2:27" x14ac:dyDescent="0.35">
      <c r="B40" s="12" t="s">
        <v>119</v>
      </c>
      <c r="C40" s="20">
        <f ca="1">IFERROR($E$34/C41,"NA")</f>
        <v>1.8833757459777141</v>
      </c>
      <c r="D40" s="20">
        <f t="shared" ref="D40:E40" ca="1" si="37">IFERROR($E$34/D41,"NA")</f>
        <v>1.2692704651551128</v>
      </c>
      <c r="E40" s="20">
        <f t="shared" ca="1" si="37"/>
        <v>0.85419509122426274</v>
      </c>
      <c r="F40" s="10"/>
      <c r="G40" s="220" t="s">
        <v>106</v>
      </c>
      <c r="H40" s="220"/>
      <c r="I40" s="220"/>
      <c r="J40" s="230">
        <f>J34</f>
        <v>0</v>
      </c>
      <c r="K40" s="230"/>
      <c r="L40" s="230">
        <f t="shared" ref="L40" si="38">L34</f>
        <v>0</v>
      </c>
      <c r="M40" s="230"/>
      <c r="N40" s="230">
        <f t="shared" ref="N40" si="39">N34</f>
        <v>0</v>
      </c>
      <c r="O40" s="230"/>
      <c r="P40" s="231">
        <f t="shared" ref="P40" si="40">P34</f>
        <v>0</v>
      </c>
      <c r="Q40" s="230"/>
      <c r="R40" s="230">
        <f t="shared" ref="R40" si="41">R34</f>
        <v>0</v>
      </c>
      <c r="S40" s="232"/>
      <c r="T40" s="230">
        <f t="shared" si="24"/>
        <v>0</v>
      </c>
      <c r="U40" s="230"/>
      <c r="V40" s="10"/>
      <c r="W40" s="220" t="s">
        <v>120</v>
      </c>
      <c r="X40" s="220"/>
      <c r="Y40" s="220"/>
      <c r="Z40" s="12"/>
      <c r="AA40" s="16" t="s">
        <v>197</v>
      </c>
    </row>
    <row r="41" spans="2:27" x14ac:dyDescent="0.35">
      <c r="B41" s="12" t="s">
        <v>121</v>
      </c>
      <c r="C41" s="20">
        <f>IF(T13=0," -       ",T13)</f>
        <v>909.80600000000004</v>
      </c>
      <c r="D41" s="16">
        <f>IFERROR($N$13*(1+0.485925730778843)," -        ")</f>
        <v>1349.9932449271944</v>
      </c>
      <c r="E41" s="16">
        <f>IFERROR($N$13*(1+0.485925730778843)^2," -        ")</f>
        <v>2005.9896990149425</v>
      </c>
      <c r="F41" s="10"/>
      <c r="G41" s="220" t="s">
        <v>122</v>
      </c>
      <c r="H41" s="220"/>
      <c r="I41" s="220"/>
      <c r="J41" s="233">
        <f>0.045+0.761</f>
        <v>0.80600000000000005</v>
      </c>
      <c r="K41" s="234"/>
      <c r="L41" s="233">
        <f>0.521-0.011</f>
        <v>0.51</v>
      </c>
      <c r="M41" s="234"/>
      <c r="N41" s="233">
        <f>0.948-0.235</f>
        <v>0.71299999999999997</v>
      </c>
      <c r="O41" s="234"/>
      <c r="P41" s="235">
        <f>0.359-0.991</f>
        <v>-0.63200000000000001</v>
      </c>
      <c r="Q41" s="234"/>
      <c r="R41" s="233">
        <f>0.173+3.744</f>
        <v>3.9170000000000003</v>
      </c>
      <c r="S41" s="236"/>
      <c r="T41" s="230">
        <f t="shared" si="24"/>
        <v>5.2619999999999996</v>
      </c>
      <c r="U41" s="230"/>
      <c r="V41" s="10"/>
      <c r="W41" s="220" t="s">
        <v>123</v>
      </c>
      <c r="X41" s="220"/>
      <c r="Y41" s="220"/>
      <c r="Z41" s="220"/>
      <c r="AA41" s="20" t="str">
        <f ca="1">Z56</f>
        <v xml:space="preserve">-       </v>
      </c>
    </row>
    <row r="42" spans="2:27" x14ac:dyDescent="0.35">
      <c r="B42" s="12" t="s">
        <v>124</v>
      </c>
      <c r="C42" s="20">
        <f ca="1">IFERROR($E$34/C43,"NA")</f>
        <v>11.101579249131838</v>
      </c>
      <c r="D42" s="20">
        <f ca="1">IFERROR($E$34/D43,"NA")</f>
        <v>7.3768881016463386</v>
      </c>
      <c r="E42" s="20">
        <f ca="1">IFERROR($E$34/E43,"NA")</f>
        <v>5.1401843146562234</v>
      </c>
      <c r="F42" s="10"/>
      <c r="G42" s="220" t="s">
        <v>125</v>
      </c>
      <c r="H42" s="220"/>
      <c r="I42" s="220"/>
      <c r="J42" s="213">
        <f>IFERROR(J39+J40+J41," -        ")</f>
        <v>69.527000000000029</v>
      </c>
      <c r="K42" s="213"/>
      <c r="L42" s="213">
        <f t="shared" ref="L42" si="42">IFERROR(L39+L40+L41," -        ")</f>
        <v>82.11399999999999</v>
      </c>
      <c r="M42" s="213"/>
      <c r="N42" s="213">
        <f t="shared" ref="N42" si="43">IFERROR(N39+N40+N41," -        ")</f>
        <v>114.19099999999995</v>
      </c>
      <c r="O42" s="213"/>
      <c r="P42" s="225">
        <f t="shared" ref="P42" si="44">IFERROR(P39+P40+P41," -        ")</f>
        <v>57.715000000000011</v>
      </c>
      <c r="Q42" s="213"/>
      <c r="R42" s="213">
        <f t="shared" ref="R42" si="45">IFERROR(R39+R40+R41," -        ")</f>
        <v>46.133999999999986</v>
      </c>
      <c r="S42" s="226"/>
      <c r="T42" s="213">
        <f t="shared" si="24"/>
        <v>102.60999999999993</v>
      </c>
      <c r="U42" s="213"/>
      <c r="V42" s="10"/>
      <c r="W42" s="220" t="s">
        <v>126</v>
      </c>
      <c r="X42" s="220"/>
      <c r="Y42" s="220"/>
      <c r="Z42" s="12"/>
      <c r="AA42" s="20" t="str">
        <f ca="1">IFERROR(AA56/E21,"-       ")</f>
        <v xml:space="preserve">-       </v>
      </c>
    </row>
    <row r="43" spans="2:27" x14ac:dyDescent="0.35">
      <c r="B43" s="12" t="s">
        <v>121</v>
      </c>
      <c r="C43" s="20">
        <f>IF(T46=0," -       ",T46)</f>
        <v>154.34799999999993</v>
      </c>
      <c r="D43" s="16">
        <f>IFERROR($N$46*(1+0.43514077512991)," -        ")</f>
        <v>232.28040473632615</v>
      </c>
      <c r="E43" s="16">
        <f>IFERROR($N$46*(1+0.43514077512991)^2," -        ")</f>
        <v>333.35508010078036</v>
      </c>
      <c r="F43" s="10"/>
      <c r="G43" s="220" t="s">
        <v>111</v>
      </c>
      <c r="H43" s="220"/>
      <c r="I43" s="220"/>
      <c r="J43" s="205">
        <f>IFERROR(J42/J13," -        ")</f>
        <v>0.13445041769801985</v>
      </c>
      <c r="K43" s="205"/>
      <c r="L43" s="205">
        <f t="shared" ref="L43" si="46">IFERROR(L42/L13," -        ")</f>
        <v>0.10268870991946374</v>
      </c>
      <c r="M43" s="205"/>
      <c r="N43" s="205">
        <f t="shared" ref="N43" si="47">IFERROR(N42/N13," -        ")</f>
        <v>0.12568903271254342</v>
      </c>
      <c r="O43" s="205"/>
      <c r="P43" s="216">
        <f t="shared" ref="P43" si="48">IFERROR(P42/P13," -        ")</f>
        <v>0.12210886656567625</v>
      </c>
      <c r="Q43" s="205"/>
      <c r="R43" s="205">
        <f t="shared" ref="R43" si="49">IFERROR(R42/R13," -        ")</f>
        <v>9.7341846401850007E-2</v>
      </c>
      <c r="S43" s="217"/>
      <c r="T43" s="205">
        <f t="shared" si="24"/>
        <v>0.10092201254871717</v>
      </c>
      <c r="U43" s="205"/>
      <c r="V43" s="10"/>
      <c r="W43" s="220" t="s">
        <v>127</v>
      </c>
      <c r="X43" s="220"/>
      <c r="Y43" s="220"/>
      <c r="Z43" s="12"/>
      <c r="AA43" s="20" t="str">
        <f ca="1">IFERROR(AA40+AA41-AA42,"-       ")</f>
        <v xml:space="preserve">-       </v>
      </c>
    </row>
    <row r="44" spans="2:27" x14ac:dyDescent="0.35">
      <c r="B44" s="12" t="s">
        <v>128</v>
      </c>
      <c r="C44" s="20">
        <f ca="1">IFERROR($E$34/C45,"NA")</f>
        <v>16.699216001802956</v>
      </c>
      <c r="D44" s="20">
        <f t="shared" ref="D44:E44" ca="1" si="50">IFERROR($E$34/D45,"NA")</f>
        <v>10.611254196611911</v>
      </c>
      <c r="E44" s="20">
        <f t="shared" ca="1" si="50"/>
        <v>7.5037705028585977</v>
      </c>
      <c r="F44" s="10"/>
      <c r="G44" s="220"/>
      <c r="H44" s="220"/>
      <c r="I44" s="220"/>
      <c r="J44" s="213"/>
      <c r="K44" s="213"/>
      <c r="L44" s="213"/>
      <c r="M44" s="213"/>
      <c r="N44" s="213"/>
      <c r="O44" s="213"/>
      <c r="P44" s="225"/>
      <c r="Q44" s="213"/>
      <c r="R44" s="213"/>
      <c r="S44" s="226"/>
      <c r="T44" s="213"/>
      <c r="U44" s="213"/>
      <c r="V44" s="10"/>
      <c r="W44" s="220" t="s">
        <v>129</v>
      </c>
      <c r="X44" s="220"/>
      <c r="Y44" s="220"/>
      <c r="Z44" s="12"/>
      <c r="AA44" s="20" t="str">
        <f>AA66</f>
        <v xml:space="preserve">-       </v>
      </c>
    </row>
    <row r="45" spans="2:27" x14ac:dyDescent="0.35">
      <c r="B45" s="12" t="s">
        <v>121</v>
      </c>
      <c r="C45" s="20">
        <f>IF(T42=0," -       ",T42)</f>
        <v>102.60999999999993</v>
      </c>
      <c r="D45" s="16">
        <f>IFERROR($N$42*(1+0.414122965590366)," -        ")</f>
        <v>161.48011556372941</v>
      </c>
      <c r="E45" s="16">
        <f>IFERROR($N$42*(1+0.414122965590366)^2," -        ")</f>
        <v>228.35273990485604</v>
      </c>
      <c r="F45" s="10"/>
      <c r="G45" s="220" t="s">
        <v>130</v>
      </c>
      <c r="H45" s="220"/>
      <c r="I45" s="220"/>
      <c r="J45" s="230">
        <f>J63</f>
        <v>24.012</v>
      </c>
      <c r="K45" s="230"/>
      <c r="L45" s="230">
        <f t="shared" ref="L45" si="51">L63</f>
        <v>35.79</v>
      </c>
      <c r="M45" s="230"/>
      <c r="N45" s="230">
        <f t="shared" ref="N45" si="52">N63</f>
        <v>47.661000000000001</v>
      </c>
      <c r="O45" s="230"/>
      <c r="P45" s="231">
        <f t="shared" ref="P45" si="53">P63</f>
        <v>26.158000000000001</v>
      </c>
      <c r="Q45" s="230"/>
      <c r="R45" s="230">
        <f t="shared" ref="R45" si="54">R63</f>
        <v>30.234999999999999</v>
      </c>
      <c r="S45" s="232"/>
      <c r="T45" s="230">
        <f t="shared" si="24"/>
        <v>51.738</v>
      </c>
      <c r="U45" s="230"/>
      <c r="V45" s="10"/>
      <c r="W45" s="229" t="s">
        <v>131</v>
      </c>
      <c r="X45" s="229"/>
      <c r="Y45" s="229"/>
      <c r="Z45" s="12"/>
      <c r="AA45" s="32" t="str">
        <f ca="1">IFERROR(AA43+AA44,"-       ")</f>
        <v xml:space="preserve">-       </v>
      </c>
    </row>
    <row r="46" spans="2:27" x14ac:dyDescent="0.35">
      <c r="B46" s="12" t="s">
        <v>132</v>
      </c>
      <c r="C46" s="20">
        <f ca="1">IFERROR($E$21/C47,"NA")</f>
        <v>17.993176844451739</v>
      </c>
      <c r="D46" s="20">
        <f t="shared" ref="D46:E46" ca="1" si="55">IFERROR($E$21/D47,"NA")</f>
        <v>14.894267858387494</v>
      </c>
      <c r="E46" s="20">
        <f t="shared" ca="1" si="55"/>
        <v>12.911013338056339</v>
      </c>
      <c r="F46" s="10"/>
      <c r="G46" s="220" t="s">
        <v>133</v>
      </c>
      <c r="H46" s="220"/>
      <c r="I46" s="220"/>
      <c r="J46" s="230">
        <f>IFERROR(J42+J45," -        ")</f>
        <v>93.53900000000003</v>
      </c>
      <c r="K46" s="230"/>
      <c r="L46" s="230">
        <f t="shared" ref="L46" si="56">IFERROR(L42+L45," -        ")</f>
        <v>117.904</v>
      </c>
      <c r="M46" s="230"/>
      <c r="N46" s="230">
        <f t="shared" ref="N46" si="57">IFERROR(N42+N45," -        ")</f>
        <v>161.85199999999995</v>
      </c>
      <c r="O46" s="230"/>
      <c r="P46" s="231">
        <f t="shared" ref="P46" si="58">IFERROR(P42+P45," -        ")</f>
        <v>83.873000000000019</v>
      </c>
      <c r="Q46" s="230"/>
      <c r="R46" s="230">
        <f t="shared" ref="R46" si="59">IFERROR(R42+R45," -        ")</f>
        <v>76.368999999999986</v>
      </c>
      <c r="S46" s="232"/>
      <c r="T46" s="230">
        <f t="shared" si="24"/>
        <v>154.34799999999993</v>
      </c>
      <c r="U46" s="230"/>
      <c r="V46" s="10"/>
      <c r="W46" s="12"/>
      <c r="X46" s="12"/>
      <c r="Y46" s="12"/>
      <c r="Z46" s="12"/>
      <c r="AA46" s="25"/>
    </row>
    <row r="47" spans="2:27" x14ac:dyDescent="0.35">
      <c r="B47" s="12" t="s">
        <v>121</v>
      </c>
      <c r="C47" s="20">
        <f>IF(T59=0," -       ",T59)</f>
        <v>0.20924598432771763</v>
      </c>
      <c r="D47" s="16">
        <f>IFERROR($N$59*(1+0.153609516805729)," -        ")</f>
        <v>0.2527818108145406</v>
      </c>
      <c r="E47" s="16">
        <f>IFERROR($N$59*(1+0.153609516805729)^2," -        ")</f>
        <v>0.29161150263103935</v>
      </c>
      <c r="F47" s="10"/>
      <c r="G47" s="220" t="s">
        <v>111</v>
      </c>
      <c r="H47" s="220"/>
      <c r="I47" s="220"/>
      <c r="J47" s="205">
        <f>IFERROR(J46/J13," -        ")</f>
        <v>0.18088451423267332</v>
      </c>
      <c r="K47" s="205"/>
      <c r="L47" s="205">
        <f t="shared" ref="L47" si="60">IFERROR(L46/L13," -        ")</f>
        <v>0.14744635085788604</v>
      </c>
      <c r="M47" s="205"/>
      <c r="N47" s="205">
        <f t="shared" ref="N47" si="61">IFERROR(N46/N13," -        ")</f>
        <v>0.17814907762074578</v>
      </c>
      <c r="O47" s="205"/>
      <c r="P47" s="216">
        <f t="shared" ref="P47" si="62">IFERROR(P46/P13," -        ")</f>
        <v>0.17745190965022897</v>
      </c>
      <c r="Q47" s="205"/>
      <c r="R47" s="205">
        <f t="shared" ref="R47" si="63">IFERROR(R46/R13," -        ")</f>
        <v>0.16113711076132317</v>
      </c>
      <c r="S47" s="217"/>
      <c r="T47" s="205">
        <f t="shared" si="24"/>
        <v>0.16183427873183995</v>
      </c>
      <c r="U47" s="205"/>
      <c r="V47" s="10"/>
      <c r="W47" s="229" t="s">
        <v>134</v>
      </c>
      <c r="X47" s="229"/>
      <c r="Y47" s="229"/>
      <c r="Z47" s="12"/>
      <c r="AA47" s="25"/>
    </row>
    <row r="48" spans="2:27" x14ac:dyDescent="0.35">
      <c r="B48" s="10"/>
      <c r="C48" s="10"/>
      <c r="D48" s="10"/>
      <c r="E48" s="10"/>
      <c r="F48" s="10"/>
      <c r="G48" s="220"/>
      <c r="H48" s="220"/>
      <c r="I48" s="220"/>
      <c r="J48" s="213"/>
      <c r="K48" s="213"/>
      <c r="L48" s="213"/>
      <c r="M48" s="213"/>
      <c r="N48" s="213"/>
      <c r="O48" s="213"/>
      <c r="P48" s="225"/>
      <c r="Q48" s="213"/>
      <c r="R48" s="213"/>
      <c r="S48" s="226"/>
      <c r="T48" s="213"/>
      <c r="U48" s="213"/>
      <c r="V48" s="10"/>
      <c r="W48" s="33"/>
      <c r="X48" s="33" t="s">
        <v>135</v>
      </c>
      <c r="Y48" s="33" t="s">
        <v>136</v>
      </c>
      <c r="Z48" s="33" t="s">
        <v>137</v>
      </c>
      <c r="AA48" s="33"/>
    </row>
    <row r="49" spans="2:27" ht="15" thickBot="1" x14ac:dyDescent="0.4">
      <c r="B49" s="8" t="s">
        <v>138</v>
      </c>
      <c r="C49" s="9"/>
      <c r="D49" s="9"/>
      <c r="E49" s="9"/>
      <c r="F49" s="10"/>
      <c r="G49" s="220" t="s">
        <v>139</v>
      </c>
      <c r="H49" s="220"/>
      <c r="I49" s="220"/>
      <c r="J49" s="213">
        <f>J25</f>
        <v>35.534000000000034</v>
      </c>
      <c r="K49" s="213"/>
      <c r="L49" s="213">
        <f t="shared" ref="L49" si="64">L25</f>
        <v>30.86699999999998</v>
      </c>
      <c r="M49" s="213"/>
      <c r="N49" s="213">
        <f t="shared" ref="N49" si="65">N25</f>
        <v>40.150999999999947</v>
      </c>
      <c r="O49" s="213"/>
      <c r="P49" s="225">
        <f t="shared" ref="P49" si="66">P25</f>
        <v>26.064000000000011</v>
      </c>
      <c r="Q49" s="213"/>
      <c r="R49" s="213">
        <f t="shared" ref="R49" si="67">R25</f>
        <v>7.9969999999999839</v>
      </c>
      <c r="S49" s="226"/>
      <c r="T49" s="213">
        <f t="shared" si="24"/>
        <v>22.083999999999921</v>
      </c>
      <c r="U49" s="213"/>
      <c r="V49" s="10"/>
      <c r="W49" s="33" t="s">
        <v>140</v>
      </c>
      <c r="X49" s="33" t="s">
        <v>141</v>
      </c>
      <c r="Y49" s="33" t="s">
        <v>142</v>
      </c>
      <c r="Z49" s="33" t="s">
        <v>141</v>
      </c>
      <c r="AA49" s="33" t="s">
        <v>143</v>
      </c>
    </row>
    <row r="50" spans="2:27" ht="2" customHeight="1" x14ac:dyDescent="0.35">
      <c r="B50" s="2"/>
      <c r="C50" s="2"/>
      <c r="D50" s="2"/>
      <c r="E50" s="2"/>
      <c r="F50" s="10"/>
      <c r="G50" s="220"/>
      <c r="H50" s="220"/>
      <c r="I50" s="220"/>
      <c r="J50" s="213"/>
      <c r="K50" s="213"/>
      <c r="L50" s="213"/>
      <c r="M50" s="213"/>
      <c r="N50" s="213"/>
      <c r="O50" s="213"/>
      <c r="P50" s="225"/>
      <c r="Q50" s="213"/>
      <c r="R50" s="213"/>
      <c r="S50" s="226"/>
      <c r="T50" s="213">
        <f t="shared" si="24"/>
        <v>0</v>
      </c>
      <c r="U50" s="213"/>
      <c r="V50" s="10"/>
      <c r="W50" s="12"/>
      <c r="X50" s="34"/>
      <c r="Y50" s="34"/>
      <c r="Z50" s="12"/>
      <c r="AA50" s="12"/>
    </row>
    <row r="51" spans="2:27" x14ac:dyDescent="0.35">
      <c r="B51" s="220" t="s">
        <v>144</v>
      </c>
      <c r="C51" s="220"/>
      <c r="D51" s="220"/>
      <c r="E51" s="26">
        <f>IFERROR((T42*(1-T26))/(AA15-AA26+AA17+AA18),"-       ")</f>
        <v>3.2183727794836144E-2</v>
      </c>
      <c r="F51" s="10"/>
      <c r="G51" s="220" t="s">
        <v>145</v>
      </c>
      <c r="H51" s="220"/>
      <c r="I51" s="220"/>
      <c r="J51" s="213">
        <f>J34</f>
        <v>0</v>
      </c>
      <c r="K51" s="213"/>
      <c r="L51" s="213">
        <f t="shared" ref="L51" si="68">L34</f>
        <v>0</v>
      </c>
      <c r="M51" s="213"/>
      <c r="N51" s="213">
        <f t="shared" ref="N51" si="69">N34</f>
        <v>0</v>
      </c>
      <c r="O51" s="213"/>
      <c r="P51" s="225">
        <f t="shared" ref="P51" si="70">P34</f>
        <v>0</v>
      </c>
      <c r="Q51" s="213"/>
      <c r="R51" s="213">
        <f t="shared" ref="R51" si="71">R34</f>
        <v>0</v>
      </c>
      <c r="S51" s="226"/>
      <c r="T51" s="213">
        <f t="shared" si="24"/>
        <v>0</v>
      </c>
      <c r="U51" s="213"/>
      <c r="V51" s="10"/>
      <c r="W51" s="12" t="s">
        <v>146</v>
      </c>
      <c r="X51" s="38" t="s">
        <v>197</v>
      </c>
      <c r="Y51" s="16" t="s">
        <v>197</v>
      </c>
      <c r="Z51" s="30" t="str">
        <f ca="1">IF($E$21&gt;Y51,X51,"-       ")</f>
        <v xml:space="preserve">-       </v>
      </c>
      <c r="AA51" s="30" t="str">
        <f ca="1">IFERROR(Z51*Y51,"-       ")</f>
        <v xml:space="preserve">-       </v>
      </c>
    </row>
    <row r="52" spans="2:27" x14ac:dyDescent="0.35">
      <c r="B52" s="220" t="s">
        <v>147</v>
      </c>
      <c r="C52" s="220"/>
      <c r="D52" s="220"/>
      <c r="E52" s="26">
        <f>IFERROR(T55/AA34,"-       ")</f>
        <v>8.4399686760566001E-2</v>
      </c>
      <c r="F52" s="10"/>
      <c r="G52" s="220" t="s">
        <v>122</v>
      </c>
      <c r="H52" s="220"/>
      <c r="I52" s="220"/>
      <c r="J52" s="213">
        <f>J41</f>
        <v>0.80600000000000005</v>
      </c>
      <c r="K52" s="213"/>
      <c r="L52" s="213">
        <f t="shared" ref="L52" si="72">L41</f>
        <v>0.51</v>
      </c>
      <c r="M52" s="213"/>
      <c r="N52" s="213">
        <f t="shared" ref="N52" si="73">N41</f>
        <v>0.71299999999999997</v>
      </c>
      <c r="O52" s="213"/>
      <c r="P52" s="225">
        <f t="shared" ref="P52" si="74">P41</f>
        <v>-0.63200000000000001</v>
      </c>
      <c r="Q52" s="213"/>
      <c r="R52" s="213">
        <f t="shared" ref="R52" si="75">R41</f>
        <v>3.9170000000000003</v>
      </c>
      <c r="S52" s="226"/>
      <c r="T52" s="213">
        <f t="shared" si="24"/>
        <v>5.2619999999999996</v>
      </c>
      <c r="U52" s="213"/>
      <c r="V52" s="10"/>
      <c r="W52" s="12" t="s">
        <v>148</v>
      </c>
      <c r="X52" s="38" t="s">
        <v>197</v>
      </c>
      <c r="Y52" s="16" t="s">
        <v>197</v>
      </c>
      <c r="Z52" s="30" t="str">
        <f t="shared" ref="Z52:Z55" ca="1" si="76">IF($E$21&gt;Y52,X52,"-       ")</f>
        <v xml:space="preserve">-       </v>
      </c>
      <c r="AA52" s="30" t="str">
        <f t="shared" ref="AA52:AA55" ca="1" si="77">IFERROR(Z52*Y52,"-       ")</f>
        <v xml:space="preserve">-       </v>
      </c>
    </row>
    <row r="53" spans="2:27" x14ac:dyDescent="0.35">
      <c r="B53" s="220" t="s">
        <v>149</v>
      </c>
      <c r="C53" s="220"/>
      <c r="D53" s="220"/>
      <c r="E53" s="26">
        <f>IFERROR(T55/AA21,"-       ")</f>
        <v>4.2197959449611189E-2</v>
      </c>
      <c r="F53" s="10"/>
      <c r="G53" s="220" t="s">
        <v>150</v>
      </c>
      <c r="H53" s="220"/>
      <c r="I53" s="220"/>
      <c r="J53" s="209">
        <f>-3.122+2.649+18.843+6.546</f>
        <v>24.916</v>
      </c>
      <c r="K53" s="210"/>
      <c r="L53" s="209">
        <f>-3.317+5.873+30.494+0.698</f>
        <v>33.747999999999998</v>
      </c>
      <c r="M53" s="210"/>
      <c r="N53" s="209">
        <f>-1.667+8.391+31.798-6.577</f>
        <v>31.945</v>
      </c>
      <c r="O53" s="210"/>
      <c r="P53" s="211">
        <v>8.7590000000000003</v>
      </c>
      <c r="Q53" s="210"/>
      <c r="R53" s="209">
        <f>21.059-1.644</f>
        <v>19.415000000000003</v>
      </c>
      <c r="S53" s="212"/>
      <c r="T53" s="213">
        <f t="shared" si="24"/>
        <v>42.600999999999999</v>
      </c>
      <c r="U53" s="213"/>
      <c r="V53" s="10"/>
      <c r="W53" s="12" t="s">
        <v>151</v>
      </c>
      <c r="X53" s="38" t="s">
        <v>197</v>
      </c>
      <c r="Y53" s="16" t="s">
        <v>197</v>
      </c>
      <c r="Z53" s="30" t="str">
        <f t="shared" ca="1" si="76"/>
        <v xml:space="preserve">-       </v>
      </c>
      <c r="AA53" s="30" t="str">
        <f t="shared" ca="1" si="77"/>
        <v xml:space="preserve">-       </v>
      </c>
    </row>
    <row r="54" spans="2:27" x14ac:dyDescent="0.35">
      <c r="B54" s="220" t="s">
        <v>152</v>
      </c>
      <c r="C54" s="220"/>
      <c r="D54" s="220"/>
      <c r="E54" s="26">
        <f ca="1">IFERROR(E14*4/E21,"NA")</f>
        <v>1.8592297476759629E-2</v>
      </c>
      <c r="F54" s="10"/>
      <c r="G54" s="220" t="s">
        <v>153</v>
      </c>
      <c r="H54" s="220"/>
      <c r="I54" s="220"/>
      <c r="J54" s="213" t="s">
        <v>65</v>
      </c>
      <c r="K54" s="213"/>
      <c r="L54" s="213" t="s">
        <v>65</v>
      </c>
      <c r="M54" s="213"/>
      <c r="N54" s="213" t="s">
        <v>65</v>
      </c>
      <c r="O54" s="213"/>
      <c r="P54" s="225" t="s">
        <v>65</v>
      </c>
      <c r="Q54" s="213"/>
      <c r="R54" s="213" t="s">
        <v>65</v>
      </c>
      <c r="S54" s="226"/>
      <c r="T54" s="213" t="s">
        <v>65</v>
      </c>
      <c r="U54" s="213"/>
      <c r="V54" s="10"/>
      <c r="W54" s="12" t="s">
        <v>154</v>
      </c>
      <c r="X54" s="38" t="s">
        <v>197</v>
      </c>
      <c r="Y54" s="16" t="s">
        <v>197</v>
      </c>
      <c r="Z54" s="30" t="str">
        <f t="shared" ca="1" si="76"/>
        <v xml:space="preserve">-       </v>
      </c>
      <c r="AA54" s="30" t="str">
        <f ca="1">IFERROR(Z54*Y54,"-       ")</f>
        <v xml:space="preserve">-       </v>
      </c>
    </row>
    <row r="55" spans="2:27" x14ac:dyDescent="0.35">
      <c r="B55" s="10"/>
      <c r="C55" s="10"/>
      <c r="D55" s="10"/>
      <c r="E55" s="10"/>
      <c r="F55" s="10"/>
      <c r="G55" s="220" t="s">
        <v>155</v>
      </c>
      <c r="H55" s="220"/>
      <c r="I55" s="220"/>
      <c r="J55" s="213">
        <f>IFERROR(J49+J51+J52+J53+IF(J54="NA",0,J54)," -        ")</f>
        <v>61.256000000000029</v>
      </c>
      <c r="K55" s="213"/>
      <c r="L55" s="213">
        <f t="shared" ref="L55" si="78">IFERROR(L49+L51+L52+L53+IF(L54="NA",0,L54)," -        ")</f>
        <v>65.124999999999972</v>
      </c>
      <c r="M55" s="213"/>
      <c r="N55" s="213">
        <f t="shared" ref="N55" si="79">IFERROR(N49+N51+N52+N53+IF(N54="NA",0,N54)," -        ")</f>
        <v>72.808999999999941</v>
      </c>
      <c r="O55" s="213"/>
      <c r="P55" s="225">
        <f t="shared" ref="P55" si="80">IFERROR(P49+P51+P52+P53+IF(P54="NA",0,P54)," -        ")</f>
        <v>34.19100000000001</v>
      </c>
      <c r="Q55" s="213"/>
      <c r="R55" s="213">
        <f t="shared" ref="R55" si="81">IFERROR(R49+R51+R52+R53+IF(R54="NA",0,R54)," -        ")</f>
        <v>31.328999999999986</v>
      </c>
      <c r="S55" s="226"/>
      <c r="T55" s="213">
        <f t="shared" ref="T55" si="82">IFERROR(T49+T51+T52+T53+IF(T54="NA",0,T54)," -        ")</f>
        <v>69.946999999999917</v>
      </c>
      <c r="U55" s="213"/>
      <c r="V55" s="10"/>
      <c r="W55" s="12" t="s">
        <v>156</v>
      </c>
      <c r="X55" s="38" t="s">
        <v>197</v>
      </c>
      <c r="Y55" s="16" t="s">
        <v>197</v>
      </c>
      <c r="Z55" s="30" t="str">
        <f t="shared" ca="1" si="76"/>
        <v xml:space="preserve">-       </v>
      </c>
      <c r="AA55" s="30" t="str">
        <f t="shared" ca="1" si="77"/>
        <v xml:space="preserve">-       </v>
      </c>
    </row>
    <row r="56" spans="2:27" ht="15" thickBot="1" x14ac:dyDescent="0.4">
      <c r="B56" s="8" t="s">
        <v>157</v>
      </c>
      <c r="C56" s="9"/>
      <c r="D56" s="9"/>
      <c r="E56" s="9"/>
      <c r="F56" s="10"/>
      <c r="G56" s="220" t="s">
        <v>111</v>
      </c>
      <c r="H56" s="220"/>
      <c r="I56" s="220"/>
      <c r="J56" s="205">
        <f>IFERROR(J55/J13," -        ")</f>
        <v>0.1184560643564357</v>
      </c>
      <c r="K56" s="205"/>
      <c r="L56" s="205">
        <f t="shared" ref="L56" si="83">IFERROR(L55/L13," -        ")</f>
        <v>8.144289930468708E-2</v>
      </c>
      <c r="M56" s="205"/>
      <c r="N56" s="205">
        <f t="shared" ref="N56" si="84">IFERROR(N55/N13," -        ")</f>
        <v>8.0140228063223642E-2</v>
      </c>
      <c r="O56" s="205"/>
      <c r="P56" s="216">
        <f t="shared" ref="P56" si="85">IFERROR(P55/P13," -        ")</f>
        <v>7.2338633920939741E-2</v>
      </c>
      <c r="Q56" s="205"/>
      <c r="R56" s="205">
        <f t="shared" ref="R56" si="86">IFERROR(R55/R13," -        ")</f>
        <v>6.6103583169106486E-2</v>
      </c>
      <c r="S56" s="217"/>
      <c r="T56" s="205">
        <f t="shared" si="24"/>
        <v>7.3905177311390388E-2</v>
      </c>
      <c r="U56" s="205"/>
      <c r="V56" s="10"/>
      <c r="W56" s="18" t="s">
        <v>158</v>
      </c>
      <c r="X56" s="45" t="str">
        <f>IFERROR(X51+X52+X53+X54+X55,"-       ")</f>
        <v xml:space="preserve">-       </v>
      </c>
      <c r="Y56" s="45"/>
      <c r="Z56" s="45" t="str">
        <f ca="1">IFERROR(Z51+Z52+Z53+Z54+Z55,"-       ")</f>
        <v xml:space="preserve">-       </v>
      </c>
      <c r="AA56" s="45" t="str">
        <f ca="1">IF(SUM(AA51:AA55)=0,"-       ",SUM(AA51:AA55))</f>
        <v xml:space="preserve">-       </v>
      </c>
    </row>
    <row r="57" spans="2:27" ht="3.5" customHeight="1" x14ac:dyDescent="0.35">
      <c r="B57" s="2"/>
      <c r="C57" s="2"/>
      <c r="D57" s="2"/>
      <c r="E57" s="2"/>
      <c r="F57" s="10"/>
      <c r="G57" s="220"/>
      <c r="H57" s="220"/>
      <c r="I57" s="220"/>
      <c r="J57" s="224"/>
      <c r="K57" s="224"/>
      <c r="L57" s="224"/>
      <c r="M57" s="224"/>
      <c r="N57" s="224"/>
      <c r="O57" s="224"/>
      <c r="P57" s="227"/>
      <c r="Q57" s="224"/>
      <c r="R57" s="224"/>
      <c r="S57" s="228"/>
      <c r="T57" s="224">
        <f t="shared" si="24"/>
        <v>0</v>
      </c>
      <c r="U57" s="224"/>
      <c r="V57" s="10"/>
      <c r="W57" s="12"/>
      <c r="X57" s="12"/>
      <c r="Y57" s="12"/>
      <c r="Z57" s="12"/>
      <c r="AA57" s="12"/>
    </row>
    <row r="58" spans="2:27" x14ac:dyDescent="0.35">
      <c r="B58" s="220" t="s">
        <v>198</v>
      </c>
      <c r="C58" s="220"/>
      <c r="D58" s="220"/>
      <c r="E58" s="26">
        <f ca="1">IFERROR(AA28/(E27*E21),"-       ")</f>
        <v>0.37343963833193022</v>
      </c>
      <c r="F58" s="10"/>
      <c r="G58" s="220"/>
      <c r="H58" s="220"/>
      <c r="I58" s="220"/>
      <c r="J58" s="213"/>
      <c r="K58" s="213"/>
      <c r="L58" s="213"/>
      <c r="M58" s="213"/>
      <c r="N58" s="213"/>
      <c r="O58" s="213"/>
      <c r="P58" s="225"/>
      <c r="Q58" s="213"/>
      <c r="R58" s="213"/>
      <c r="S58" s="226"/>
      <c r="T58" s="213"/>
      <c r="U58" s="213"/>
      <c r="V58" s="10"/>
      <c r="W58" s="18" t="s">
        <v>160</v>
      </c>
      <c r="X58" s="12"/>
      <c r="Y58" s="12"/>
      <c r="Z58" s="12"/>
      <c r="AA58" s="12"/>
    </row>
    <row r="59" spans="2:27" ht="15" thickBot="1" x14ac:dyDescent="0.4">
      <c r="B59" s="220" t="s">
        <v>161</v>
      </c>
      <c r="C59" s="220"/>
      <c r="D59" s="220"/>
      <c r="E59" s="37">
        <f>IFERROR((AA28+AA24)/T46,"-       ")</f>
        <v>3.4305012050690662</v>
      </c>
      <c r="F59" s="10"/>
      <c r="G59" s="220" t="s">
        <v>162</v>
      </c>
      <c r="H59" s="220"/>
      <c r="I59" s="220"/>
      <c r="J59" s="213">
        <f>IFERROR(J55/J28," -        ")</f>
        <v>0.21157901530340156</v>
      </c>
      <c r="K59" s="213"/>
      <c r="L59" s="213">
        <f>IFERROR(L55/L28," -        ")</f>
        <v>0.20273378406239251</v>
      </c>
      <c r="M59" s="213"/>
      <c r="N59" s="213">
        <f>IFERROR(N55/N28," -        ")</f>
        <v>0.21912250820752352</v>
      </c>
      <c r="O59" s="213"/>
      <c r="P59" s="223">
        <f>IFERROR(P55/P28," -        ")</f>
        <v>0.10297293069607345</v>
      </c>
      <c r="Q59" s="218"/>
      <c r="R59" s="218">
        <f>IFERROR(R55/R28," -        ")</f>
        <v>9.3096406816267532E-2</v>
      </c>
      <c r="S59" s="219"/>
      <c r="T59" s="213">
        <f>IFERROR(N59+R59-P59," -        ")</f>
        <v>0.20924598432771763</v>
      </c>
      <c r="U59" s="213"/>
      <c r="V59" s="10"/>
      <c r="W59" s="12"/>
      <c r="X59" s="33"/>
      <c r="Y59" s="33" t="s">
        <v>163</v>
      </c>
      <c r="Z59" s="33" t="s">
        <v>163</v>
      </c>
      <c r="AA59" s="33" t="s">
        <v>164</v>
      </c>
    </row>
    <row r="60" spans="2:27" x14ac:dyDescent="0.35">
      <c r="B60" s="220" t="s">
        <v>165</v>
      </c>
      <c r="C60" s="220"/>
      <c r="D60" s="220"/>
      <c r="E60" s="37">
        <f>IFERROR((AA28+AA24-AA11)/T46,"-       ")</f>
        <v>2.8768043641640979</v>
      </c>
      <c r="F60" s="10"/>
      <c r="G60" s="10"/>
      <c r="H60" s="10"/>
      <c r="I60" s="10"/>
      <c r="J60" s="10"/>
      <c r="K60" s="10"/>
      <c r="L60" s="10"/>
      <c r="M60" s="10"/>
      <c r="N60" s="10"/>
      <c r="O60" s="10"/>
      <c r="P60" s="10"/>
      <c r="Q60" s="10"/>
      <c r="R60" s="10"/>
      <c r="S60" s="10"/>
      <c r="T60" s="10"/>
      <c r="U60" s="10"/>
      <c r="V60" s="10"/>
      <c r="W60" s="12"/>
      <c r="X60" s="33" t="s">
        <v>166</v>
      </c>
      <c r="Y60" s="33" t="s">
        <v>142</v>
      </c>
      <c r="Z60" s="33" t="s">
        <v>167</v>
      </c>
      <c r="AA60" s="33" t="s">
        <v>141</v>
      </c>
    </row>
    <row r="61" spans="2:27" x14ac:dyDescent="0.35">
      <c r="B61" s="220" t="s">
        <v>168</v>
      </c>
      <c r="C61" s="220"/>
      <c r="D61" s="220"/>
      <c r="E61" s="37">
        <f>IFERROR(T46/T19,"-       ")</f>
        <v>3.9947202236140562</v>
      </c>
      <c r="F61" s="10"/>
      <c r="G61" s="10"/>
      <c r="H61" s="10"/>
      <c r="I61" s="10"/>
      <c r="J61" s="10"/>
      <c r="K61" s="10"/>
      <c r="L61" s="10"/>
      <c r="M61" s="10"/>
      <c r="N61" s="10"/>
      <c r="O61" s="10"/>
      <c r="P61" s="10"/>
      <c r="Q61" s="10"/>
      <c r="R61" s="10"/>
      <c r="S61" s="10"/>
      <c r="T61" s="10"/>
      <c r="U61" s="10"/>
      <c r="V61" s="10"/>
      <c r="W61" s="12" t="s">
        <v>169</v>
      </c>
      <c r="X61" s="38" t="s">
        <v>197</v>
      </c>
      <c r="Y61" s="38" t="s">
        <v>197</v>
      </c>
      <c r="Z61" s="38" t="s">
        <v>197</v>
      </c>
      <c r="AA61" s="30" t="str">
        <f>IFERROR(X61/Y61*Z61,"-       ")</f>
        <v xml:space="preserve">-       </v>
      </c>
    </row>
    <row r="62" spans="2:27" ht="15" thickBot="1" x14ac:dyDescent="0.4">
      <c r="B62" s="220" t="s">
        <v>170</v>
      </c>
      <c r="C62" s="220"/>
      <c r="D62" s="220"/>
      <c r="E62" s="37">
        <f>IFERROR((T46-T65)/T19,"-       ")</f>
        <v>2.9898804285936103</v>
      </c>
      <c r="F62" s="10"/>
      <c r="G62" s="1" t="s">
        <v>171</v>
      </c>
      <c r="H62" s="2"/>
      <c r="I62" s="2"/>
      <c r="J62" s="2"/>
      <c r="K62" s="2"/>
      <c r="L62" s="2"/>
      <c r="M62" s="2"/>
      <c r="N62" s="2"/>
      <c r="O62" s="2"/>
      <c r="P62" s="2"/>
      <c r="Q62" s="2"/>
      <c r="R62" s="2"/>
      <c r="S62" s="2"/>
      <c r="T62" s="2"/>
      <c r="U62" s="2"/>
      <c r="V62" s="10"/>
      <c r="W62" s="12" t="s">
        <v>172</v>
      </c>
      <c r="X62" s="38" t="s">
        <v>197</v>
      </c>
      <c r="Y62" s="38" t="s">
        <v>197</v>
      </c>
      <c r="Z62" s="38" t="s">
        <v>197</v>
      </c>
      <c r="AA62" s="30" t="str">
        <f t="shared" ref="AA62:AA65" si="87">IFERROR(X62/Y62*Z62,"-       ")</f>
        <v xml:space="preserve">-       </v>
      </c>
    </row>
    <row r="63" spans="2:27" x14ac:dyDescent="0.35">
      <c r="B63" s="220" t="s">
        <v>173</v>
      </c>
      <c r="C63" s="220"/>
      <c r="D63" s="220"/>
      <c r="E63" s="37">
        <f>IFERROR(T42/T19,"-       ")</f>
        <v>2.6556757596148848</v>
      </c>
      <c r="F63" s="10"/>
      <c r="G63" s="12" t="s">
        <v>130</v>
      </c>
      <c r="H63" s="12"/>
      <c r="I63" s="12"/>
      <c r="J63" s="209">
        <v>24.012</v>
      </c>
      <c r="K63" s="210"/>
      <c r="L63" s="209">
        <v>35.79</v>
      </c>
      <c r="M63" s="210"/>
      <c r="N63" s="209">
        <v>47.661000000000001</v>
      </c>
      <c r="O63" s="210"/>
      <c r="P63" s="221">
        <v>26.158000000000001</v>
      </c>
      <c r="Q63" s="222"/>
      <c r="R63" s="214">
        <v>30.234999999999999</v>
      </c>
      <c r="S63" s="215"/>
      <c r="T63" s="213">
        <f t="shared" ref="T63:T66" si="88">IFERROR(N63+R63-P63," -        ")</f>
        <v>51.738</v>
      </c>
      <c r="U63" s="213"/>
      <c r="V63" s="10"/>
      <c r="W63" s="12" t="s">
        <v>174</v>
      </c>
      <c r="X63" s="38" t="s">
        <v>197</v>
      </c>
      <c r="Y63" s="38" t="s">
        <v>197</v>
      </c>
      <c r="Z63" s="38" t="s">
        <v>197</v>
      </c>
      <c r="AA63" s="30" t="str">
        <f t="shared" si="87"/>
        <v xml:space="preserve">-       </v>
      </c>
    </row>
    <row r="64" spans="2:27" x14ac:dyDescent="0.35">
      <c r="B64" s="10"/>
      <c r="C64" s="10"/>
      <c r="D64" s="10"/>
      <c r="E64" s="10"/>
      <c r="F64" s="10"/>
      <c r="G64" s="12" t="s">
        <v>175</v>
      </c>
      <c r="H64" s="12"/>
      <c r="I64" s="12"/>
      <c r="J64" s="205">
        <f>IFERROR(J63/J13," -        ")</f>
        <v>4.6434096534653468E-2</v>
      </c>
      <c r="K64" s="205"/>
      <c r="L64" s="205">
        <f t="shared" ref="L64" si="89">IFERROR(L63/L13," -        ")</f>
        <v>4.4757640938422293E-2</v>
      </c>
      <c r="M64" s="205"/>
      <c r="N64" s="205">
        <f t="shared" ref="N64" si="90">IFERROR(N63/N13," -        ")</f>
        <v>5.2460044908202351E-2</v>
      </c>
      <c r="O64" s="205"/>
      <c r="P64" s="216">
        <f t="shared" ref="P64" si="91">IFERROR(P63/P13," -        ")</f>
        <v>5.53430430845527E-2</v>
      </c>
      <c r="Q64" s="205"/>
      <c r="R64" s="205">
        <f t="shared" ref="R64" si="92">IFERROR(R63/R13," -        ")</f>
        <v>6.3795264359473178E-2</v>
      </c>
      <c r="S64" s="217"/>
      <c r="T64" s="205">
        <f t="shared" si="88"/>
        <v>6.0912266183122822E-2</v>
      </c>
      <c r="U64" s="205"/>
      <c r="V64" s="10"/>
      <c r="W64" s="12" t="s">
        <v>176</v>
      </c>
      <c r="X64" s="38" t="s">
        <v>197</v>
      </c>
      <c r="Y64" s="38" t="s">
        <v>197</v>
      </c>
      <c r="Z64" s="38" t="s">
        <v>197</v>
      </c>
      <c r="AA64" s="30" t="str">
        <f t="shared" si="87"/>
        <v xml:space="preserve">-       </v>
      </c>
    </row>
    <row r="65" spans="2:27" x14ac:dyDescent="0.35">
      <c r="B65" s="1" t="s">
        <v>177</v>
      </c>
      <c r="C65" s="2"/>
      <c r="D65" s="2"/>
      <c r="E65" s="2"/>
      <c r="F65" s="10"/>
      <c r="G65" s="12" t="s">
        <v>178</v>
      </c>
      <c r="H65" s="12"/>
      <c r="I65" s="12"/>
      <c r="J65" s="209">
        <v>59.103999999999999</v>
      </c>
      <c r="K65" s="210"/>
      <c r="L65" s="209">
        <v>82.158000000000001</v>
      </c>
      <c r="M65" s="210"/>
      <c r="N65" s="209">
        <v>55.851999999999997</v>
      </c>
      <c r="O65" s="210"/>
      <c r="P65" s="211">
        <v>33.204999999999998</v>
      </c>
      <c r="Q65" s="210"/>
      <c r="R65" s="209">
        <v>16.178000000000001</v>
      </c>
      <c r="S65" s="212"/>
      <c r="T65" s="213">
        <f t="shared" si="88"/>
        <v>38.825000000000003</v>
      </c>
      <c r="U65" s="213"/>
      <c r="V65" s="10"/>
      <c r="W65" s="12" t="s">
        <v>179</v>
      </c>
      <c r="X65" s="38" t="s">
        <v>197</v>
      </c>
      <c r="Y65" s="38" t="s">
        <v>197</v>
      </c>
      <c r="Z65" s="38" t="s">
        <v>197</v>
      </c>
      <c r="AA65" s="30" t="str">
        <f t="shared" si="87"/>
        <v xml:space="preserve">-       </v>
      </c>
    </row>
    <row r="66" spans="2:27" ht="15" thickBot="1" x14ac:dyDescent="0.4">
      <c r="B66" s="12"/>
      <c r="C66" s="13" t="s">
        <v>8</v>
      </c>
      <c r="D66" s="13" t="s">
        <v>180</v>
      </c>
      <c r="E66" s="13" t="s">
        <v>181</v>
      </c>
      <c r="F66" s="10"/>
      <c r="G66" s="12" t="s">
        <v>175</v>
      </c>
      <c r="H66" s="12"/>
      <c r="I66" s="12"/>
      <c r="J66" s="205">
        <f>IFERROR(J65/J13," -        ")</f>
        <v>0.11429455445544555</v>
      </c>
      <c r="K66" s="205"/>
      <c r="L66" s="205">
        <f>IFERROR(L65/L13," -        ")</f>
        <v>0.10274373468060628</v>
      </c>
      <c r="M66" s="205"/>
      <c r="N66" s="205">
        <f t="shared" ref="N66" si="93">IFERROR(N65/N13," -        ")</f>
        <v>6.1475806806674589E-2</v>
      </c>
      <c r="O66" s="205"/>
      <c r="P66" s="206">
        <f t="shared" ref="P66" si="94">IFERROR(P65/P13," -        ")</f>
        <v>7.0252532518639499E-2</v>
      </c>
      <c r="Q66" s="207"/>
      <c r="R66" s="207">
        <f t="shared" ref="R66" si="95">IFERROR(R65/R13," -        ")</f>
        <v>3.4135266638252261E-2</v>
      </c>
      <c r="S66" s="208"/>
      <c r="T66" s="205">
        <f t="shared" si="88"/>
        <v>2.5358540926287351E-2</v>
      </c>
      <c r="U66" s="205"/>
      <c r="V66" s="10"/>
      <c r="W66" s="12" t="s">
        <v>182</v>
      </c>
      <c r="X66" s="30"/>
      <c r="Y66" s="30"/>
      <c r="Z66" s="30"/>
      <c r="AA66" s="30" t="str">
        <f>IFERROR(AA61+AA62+AA65+AA64+AA63,"-       ")</f>
        <v xml:space="preserve">-       </v>
      </c>
    </row>
    <row r="67" spans="2:27" x14ac:dyDescent="0.35">
      <c r="B67" s="18" t="s">
        <v>183</v>
      </c>
      <c r="C67" s="25"/>
      <c r="D67" s="25"/>
      <c r="E67" s="25"/>
      <c r="F67" s="10"/>
      <c r="G67" s="12"/>
      <c r="H67" s="12"/>
      <c r="I67" s="12"/>
      <c r="J67" s="25"/>
      <c r="K67" s="25"/>
      <c r="L67" s="25"/>
      <c r="M67" s="25"/>
      <c r="N67" s="25"/>
      <c r="O67" s="25"/>
      <c r="P67" s="39"/>
      <c r="Q67" s="39"/>
      <c r="R67" s="39"/>
      <c r="S67" s="39"/>
      <c r="T67" s="25"/>
      <c r="U67" s="25"/>
      <c r="V67" s="10"/>
      <c r="W67" s="12"/>
      <c r="X67" s="12"/>
      <c r="Y67" s="12"/>
      <c r="Z67" s="12"/>
      <c r="AA67" s="12"/>
    </row>
    <row r="68" spans="2:27" x14ac:dyDescent="0.35">
      <c r="B68" s="12" t="s">
        <v>184</v>
      </c>
      <c r="C68" s="26">
        <f>IFERROR(N13/L13-1,"-       ")</f>
        <v>0.13616127257265775</v>
      </c>
      <c r="D68" s="26">
        <f>IFERROR(N46/L46-1,"-       ")</f>
        <v>0.37274392726285743</v>
      </c>
      <c r="E68" s="26">
        <f>IFERROR(N59/L59-1,"-       ")</f>
        <v>8.0838643746161676E-2</v>
      </c>
      <c r="F68" s="10"/>
      <c r="G68" s="10"/>
      <c r="H68" s="10"/>
      <c r="I68" s="10"/>
      <c r="J68" s="10"/>
      <c r="K68" s="10"/>
      <c r="L68" s="10"/>
      <c r="M68" s="10"/>
      <c r="N68" s="10"/>
      <c r="O68" s="10"/>
      <c r="P68" s="10"/>
      <c r="Q68" s="10"/>
      <c r="R68" s="10"/>
      <c r="S68" s="10"/>
      <c r="T68" s="10"/>
      <c r="U68" s="10"/>
      <c r="V68" s="10"/>
      <c r="W68" s="10"/>
      <c r="X68" s="10"/>
      <c r="Y68" s="10"/>
      <c r="Z68" s="10"/>
      <c r="AA68" s="10"/>
    </row>
    <row r="69" spans="2:27" x14ac:dyDescent="0.35">
      <c r="B69" s="12" t="s">
        <v>185</v>
      </c>
      <c r="C69" s="26">
        <f>IFERROR((N13/J13)^0.5-1,"-       ")</f>
        <v>0.325475115638999</v>
      </c>
      <c r="D69" s="26">
        <f>IFERROR((N46/J46)^0.5-1,"-       ")</f>
        <v>0.31541464838879651</v>
      </c>
      <c r="E69" s="26">
        <f>IFERROR((N59/J59)^0.5-1,"-       ")</f>
        <v>1.7670532747928736E-2</v>
      </c>
      <c r="F69" s="10"/>
      <c r="G69" s="1" t="s">
        <v>186</v>
      </c>
      <c r="H69" s="2"/>
      <c r="I69" s="2"/>
      <c r="J69" s="2"/>
      <c r="K69" s="2"/>
      <c r="L69" s="2"/>
      <c r="M69" s="2"/>
      <c r="N69" s="2"/>
      <c r="O69" s="2"/>
      <c r="P69" s="2"/>
      <c r="Q69" s="2"/>
      <c r="R69" s="2"/>
      <c r="S69" s="2"/>
      <c r="T69" s="2"/>
      <c r="U69" s="2"/>
      <c r="V69" s="2"/>
      <c r="W69" s="2"/>
      <c r="X69" s="2"/>
      <c r="Y69" s="2"/>
      <c r="Z69" s="2"/>
      <c r="AA69" s="2"/>
    </row>
    <row r="70" spans="2:27" x14ac:dyDescent="0.35">
      <c r="B70" s="18" t="s">
        <v>187</v>
      </c>
      <c r="C70" s="26"/>
      <c r="D70" s="26"/>
      <c r="E70" s="26"/>
      <c r="F70" s="10"/>
      <c r="G70" s="34" t="s">
        <v>199</v>
      </c>
      <c r="H70" s="34"/>
      <c r="I70" s="34"/>
      <c r="J70" s="34"/>
      <c r="K70" s="34"/>
      <c r="L70" s="34"/>
      <c r="M70" s="34"/>
      <c r="N70" s="34"/>
      <c r="O70" s="34"/>
      <c r="P70" s="34"/>
      <c r="Q70" s="34"/>
      <c r="R70" s="34"/>
      <c r="S70" s="34"/>
      <c r="T70" s="34"/>
      <c r="U70" s="34"/>
      <c r="V70" s="34"/>
      <c r="W70" s="34"/>
      <c r="X70" s="34"/>
      <c r="Y70" s="34"/>
      <c r="Z70" s="34"/>
      <c r="AA70" s="34"/>
    </row>
    <row r="71" spans="2:27" x14ac:dyDescent="0.35">
      <c r="B71" s="12" t="s">
        <v>184</v>
      </c>
      <c r="C71" s="26">
        <f>IFERROR(D41/$N$13-1,"-       ")</f>
        <v>0.48592573077884293</v>
      </c>
      <c r="D71" s="26">
        <f>IFERROR(D43/N46-1,"-       ")</f>
        <v>0.43514077512991012</v>
      </c>
      <c r="E71" s="26">
        <f>IFERROR(D47/N59-1,"-       ")</f>
        <v>0.15360951680572899</v>
      </c>
      <c r="F71" s="10"/>
      <c r="G71" s="34" t="s">
        <v>200</v>
      </c>
      <c r="H71" s="34"/>
      <c r="I71" s="34"/>
      <c r="J71" s="34"/>
      <c r="K71" s="34"/>
      <c r="L71" s="34"/>
      <c r="M71" s="34"/>
      <c r="N71" s="34"/>
      <c r="O71" s="34"/>
      <c r="P71" s="34"/>
      <c r="Q71" s="34"/>
      <c r="R71" s="34"/>
      <c r="S71" s="34"/>
      <c r="T71" s="34"/>
      <c r="U71" s="34"/>
      <c r="V71" s="34"/>
      <c r="W71" s="34"/>
      <c r="X71" s="34"/>
      <c r="Y71" s="34"/>
      <c r="Z71" s="34"/>
      <c r="AA71" s="34"/>
    </row>
    <row r="72" spans="2:27" x14ac:dyDescent="0.35">
      <c r="B72" s="12" t="s">
        <v>185</v>
      </c>
      <c r="C72" s="26">
        <f>IFERROR((E41/$N$13)^0.5-1,"-       ")</f>
        <v>0.48592573077884293</v>
      </c>
      <c r="D72" s="26">
        <f>IFERROR((E43/$N$46)^0.5-1,"-       ")</f>
        <v>0.43514077512991012</v>
      </c>
      <c r="E72" s="26">
        <f>IFERROR((E47/$N$59)^0.5-1,"-       ")</f>
        <v>0.15360951680572899</v>
      </c>
      <c r="F72" s="10"/>
      <c r="G72" s="34" t="s">
        <v>201</v>
      </c>
      <c r="H72" s="34"/>
      <c r="I72" s="34"/>
      <c r="J72" s="34"/>
      <c r="K72" s="34"/>
      <c r="L72" s="34"/>
      <c r="M72" s="34"/>
      <c r="N72" s="34"/>
      <c r="O72" s="34"/>
      <c r="P72" s="34"/>
      <c r="Q72" s="34"/>
      <c r="R72" s="34"/>
      <c r="S72" s="34"/>
      <c r="T72" s="34"/>
      <c r="U72" s="34"/>
      <c r="V72" s="34"/>
      <c r="W72" s="34"/>
      <c r="X72" s="34"/>
      <c r="Y72" s="34"/>
      <c r="Z72" s="34"/>
      <c r="AA72" s="34"/>
    </row>
    <row r="73" spans="2:27" x14ac:dyDescent="0.35">
      <c r="B73" s="204" t="s">
        <v>191</v>
      </c>
      <c r="C73" s="204"/>
      <c r="D73" s="204"/>
      <c r="E73" s="40">
        <v>0.189</v>
      </c>
      <c r="F73" s="10"/>
      <c r="G73" s="34" t="s">
        <v>202</v>
      </c>
      <c r="H73" s="34"/>
      <c r="I73" s="34"/>
      <c r="J73" s="34"/>
      <c r="K73" s="34"/>
      <c r="L73" s="34"/>
      <c r="M73" s="34"/>
      <c r="N73" s="34"/>
      <c r="O73" s="34"/>
      <c r="P73" s="34"/>
      <c r="Q73" s="34"/>
      <c r="R73" s="34"/>
      <c r="S73" s="34"/>
      <c r="T73" s="34"/>
      <c r="U73" s="34"/>
      <c r="V73" s="34"/>
      <c r="W73" s="34"/>
      <c r="X73" s="34"/>
      <c r="Y73" s="34"/>
      <c r="Z73" s="34"/>
      <c r="AA73" s="34"/>
    </row>
    <row r="74" spans="2:27" x14ac:dyDescent="0.35"/>
  </sheetData>
  <mergeCells count="416">
    <mergeCell ref="B11:C11"/>
    <mergeCell ref="G11:I11"/>
    <mergeCell ref="P11:Q11"/>
    <mergeCell ref="R11:S11"/>
    <mergeCell ref="T11:U11"/>
    <mergeCell ref="W11:Y11"/>
    <mergeCell ref="B2:Q3"/>
    <mergeCell ref="W3:AA5"/>
    <mergeCell ref="B4:J4"/>
    <mergeCell ref="B10:C10"/>
    <mergeCell ref="G10:I10"/>
    <mergeCell ref="J10:O11"/>
    <mergeCell ref="P10:Q10"/>
    <mergeCell ref="R10:S10"/>
    <mergeCell ref="T10:U10"/>
    <mergeCell ref="W10:Y10"/>
    <mergeCell ref="R12:S12"/>
    <mergeCell ref="T12:U12"/>
    <mergeCell ref="W12:Y12"/>
    <mergeCell ref="B13:C13"/>
    <mergeCell ref="G13:I13"/>
    <mergeCell ref="J13:K13"/>
    <mergeCell ref="L13:M13"/>
    <mergeCell ref="N13:O13"/>
    <mergeCell ref="P13:Q13"/>
    <mergeCell ref="R13:S13"/>
    <mergeCell ref="B12:C12"/>
    <mergeCell ref="G12:I12"/>
    <mergeCell ref="J12:K12"/>
    <mergeCell ref="L12:M12"/>
    <mergeCell ref="N12:O12"/>
    <mergeCell ref="P12:Q12"/>
    <mergeCell ref="T13:U13"/>
    <mergeCell ref="W13:Y13"/>
    <mergeCell ref="B14:D14"/>
    <mergeCell ref="G14:I14"/>
    <mergeCell ref="J14:K14"/>
    <mergeCell ref="L14:M14"/>
    <mergeCell ref="N14:O14"/>
    <mergeCell ref="P14:Q14"/>
    <mergeCell ref="R14:S14"/>
    <mergeCell ref="T14:U14"/>
    <mergeCell ref="W14:Y14"/>
    <mergeCell ref="B15:C15"/>
    <mergeCell ref="G15:I15"/>
    <mergeCell ref="J15:K15"/>
    <mergeCell ref="L15:M15"/>
    <mergeCell ref="N15:O15"/>
    <mergeCell ref="P15:Q15"/>
    <mergeCell ref="R15:S15"/>
    <mergeCell ref="T15:U15"/>
    <mergeCell ref="W15:Y15"/>
    <mergeCell ref="R16:S16"/>
    <mergeCell ref="T16:U16"/>
    <mergeCell ref="W16:Y16"/>
    <mergeCell ref="B17:C17"/>
    <mergeCell ref="G17:I17"/>
    <mergeCell ref="J17:K17"/>
    <mergeCell ref="L17:M17"/>
    <mergeCell ref="N17:O17"/>
    <mergeCell ref="P17:Q17"/>
    <mergeCell ref="R17:S17"/>
    <mergeCell ref="B16:C16"/>
    <mergeCell ref="G16:I16"/>
    <mergeCell ref="J16:K16"/>
    <mergeCell ref="L16:M16"/>
    <mergeCell ref="N16:O16"/>
    <mergeCell ref="P16:Q16"/>
    <mergeCell ref="T17:U17"/>
    <mergeCell ref="W17:Y17"/>
    <mergeCell ref="G18:I18"/>
    <mergeCell ref="J18:K18"/>
    <mergeCell ref="L18:M18"/>
    <mergeCell ref="N18:O18"/>
    <mergeCell ref="P18:Q18"/>
    <mergeCell ref="R18:S18"/>
    <mergeCell ref="T18:U18"/>
    <mergeCell ref="W18:Y18"/>
    <mergeCell ref="T19:U19"/>
    <mergeCell ref="W19:Y19"/>
    <mergeCell ref="G20:I20"/>
    <mergeCell ref="J20:K20"/>
    <mergeCell ref="L20:M20"/>
    <mergeCell ref="N20:O20"/>
    <mergeCell ref="P20:Q20"/>
    <mergeCell ref="R20:S20"/>
    <mergeCell ref="T20:U20"/>
    <mergeCell ref="W20:X20"/>
    <mergeCell ref="G19:I19"/>
    <mergeCell ref="J19:K19"/>
    <mergeCell ref="L19:M19"/>
    <mergeCell ref="N19:O19"/>
    <mergeCell ref="P19:Q19"/>
    <mergeCell ref="R19:S19"/>
    <mergeCell ref="R21:S21"/>
    <mergeCell ref="T21:U21"/>
    <mergeCell ref="W21:Y21"/>
    <mergeCell ref="B22:C22"/>
    <mergeCell ref="G22:I22"/>
    <mergeCell ref="J22:K22"/>
    <mergeCell ref="L22:M22"/>
    <mergeCell ref="N22:O22"/>
    <mergeCell ref="P22:Q22"/>
    <mergeCell ref="R22:S22"/>
    <mergeCell ref="B21:C21"/>
    <mergeCell ref="G21:I21"/>
    <mergeCell ref="J21:K21"/>
    <mergeCell ref="L21:M21"/>
    <mergeCell ref="N21:O21"/>
    <mergeCell ref="P21:Q21"/>
    <mergeCell ref="T22:U22"/>
    <mergeCell ref="W22:Y22"/>
    <mergeCell ref="B23:C23"/>
    <mergeCell ref="G23:I23"/>
    <mergeCell ref="J23:K23"/>
    <mergeCell ref="L23:M23"/>
    <mergeCell ref="N23:O23"/>
    <mergeCell ref="P23:Q23"/>
    <mergeCell ref="R23:S23"/>
    <mergeCell ref="T23:U23"/>
    <mergeCell ref="W23:Y23"/>
    <mergeCell ref="B24:C24"/>
    <mergeCell ref="G24:I24"/>
    <mergeCell ref="J24:K24"/>
    <mergeCell ref="L24:M24"/>
    <mergeCell ref="N24:O24"/>
    <mergeCell ref="P24:Q24"/>
    <mergeCell ref="R24:S24"/>
    <mergeCell ref="T24:U24"/>
    <mergeCell ref="W24:Y24"/>
    <mergeCell ref="R25:S25"/>
    <mergeCell ref="T25:U25"/>
    <mergeCell ref="W25:Y25"/>
    <mergeCell ref="B26:C26"/>
    <mergeCell ref="G26:I26"/>
    <mergeCell ref="J26:K26"/>
    <mergeCell ref="L26:M26"/>
    <mergeCell ref="N26:O26"/>
    <mergeCell ref="P26:Q26"/>
    <mergeCell ref="R26:S26"/>
    <mergeCell ref="B25:C25"/>
    <mergeCell ref="G25:I25"/>
    <mergeCell ref="J25:K25"/>
    <mergeCell ref="L25:M25"/>
    <mergeCell ref="N25:O25"/>
    <mergeCell ref="P25:Q25"/>
    <mergeCell ref="T26:U26"/>
    <mergeCell ref="W26:Y26"/>
    <mergeCell ref="G27:I27"/>
    <mergeCell ref="J27:K27"/>
    <mergeCell ref="L27:M27"/>
    <mergeCell ref="N27:O27"/>
    <mergeCell ref="P27:Q27"/>
    <mergeCell ref="R27:S27"/>
    <mergeCell ref="T27:U27"/>
    <mergeCell ref="W27:Y27"/>
    <mergeCell ref="T29:U29"/>
    <mergeCell ref="W29:Y29"/>
    <mergeCell ref="B30:C30"/>
    <mergeCell ref="W30:Y30"/>
    <mergeCell ref="B31:C31"/>
    <mergeCell ref="W31:Y31"/>
    <mergeCell ref="R28:S28"/>
    <mergeCell ref="T28:U28"/>
    <mergeCell ref="W28:Y28"/>
    <mergeCell ref="B29:C29"/>
    <mergeCell ref="G29:I29"/>
    <mergeCell ref="J29:K29"/>
    <mergeCell ref="L29:M29"/>
    <mergeCell ref="N29:O29"/>
    <mergeCell ref="P29:Q29"/>
    <mergeCell ref="R29:S29"/>
    <mergeCell ref="B28:C28"/>
    <mergeCell ref="G28:I28"/>
    <mergeCell ref="J28:K28"/>
    <mergeCell ref="L28:M28"/>
    <mergeCell ref="N28:O28"/>
    <mergeCell ref="P28:Q28"/>
    <mergeCell ref="B34:C34"/>
    <mergeCell ref="G34:I34"/>
    <mergeCell ref="J34:K34"/>
    <mergeCell ref="L34:M34"/>
    <mergeCell ref="N34:O34"/>
    <mergeCell ref="P34:Q34"/>
    <mergeCell ref="B32:C32"/>
    <mergeCell ref="W32:Y32"/>
    <mergeCell ref="G33:I33"/>
    <mergeCell ref="J33:K33"/>
    <mergeCell ref="L33:M33"/>
    <mergeCell ref="N33:O33"/>
    <mergeCell ref="P33:Q33"/>
    <mergeCell ref="R33:S33"/>
    <mergeCell ref="T33:U33"/>
    <mergeCell ref="W33:Y33"/>
    <mergeCell ref="R34:S34"/>
    <mergeCell ref="T34:U34"/>
    <mergeCell ref="W34:Y34"/>
    <mergeCell ref="G35:I35"/>
    <mergeCell ref="J35:K35"/>
    <mergeCell ref="L35:M35"/>
    <mergeCell ref="N35:O35"/>
    <mergeCell ref="P35:Q35"/>
    <mergeCell ref="R35:S35"/>
    <mergeCell ref="T35:U35"/>
    <mergeCell ref="W35:Y35"/>
    <mergeCell ref="G36:I36"/>
    <mergeCell ref="J36:K36"/>
    <mergeCell ref="L36:M36"/>
    <mergeCell ref="N36:O36"/>
    <mergeCell ref="P36:Q36"/>
    <mergeCell ref="R36:S36"/>
    <mergeCell ref="T36:U36"/>
    <mergeCell ref="W36:Y36"/>
    <mergeCell ref="T37:U37"/>
    <mergeCell ref="G38:I38"/>
    <mergeCell ref="J38:K38"/>
    <mergeCell ref="L38:M38"/>
    <mergeCell ref="N38:O38"/>
    <mergeCell ref="P38:Q38"/>
    <mergeCell ref="R38:S38"/>
    <mergeCell ref="T38:U38"/>
    <mergeCell ref="G37:I37"/>
    <mergeCell ref="J37:K37"/>
    <mergeCell ref="L37:M37"/>
    <mergeCell ref="N37:O37"/>
    <mergeCell ref="P37:Q37"/>
    <mergeCell ref="R37:S37"/>
    <mergeCell ref="T39:U39"/>
    <mergeCell ref="G40:I40"/>
    <mergeCell ref="J40:K40"/>
    <mergeCell ref="L40:M40"/>
    <mergeCell ref="N40:O40"/>
    <mergeCell ref="P40:Q40"/>
    <mergeCell ref="R40:S40"/>
    <mergeCell ref="T40:U40"/>
    <mergeCell ref="G39:I39"/>
    <mergeCell ref="J39:K39"/>
    <mergeCell ref="L39:M39"/>
    <mergeCell ref="N39:O39"/>
    <mergeCell ref="P39:Q39"/>
    <mergeCell ref="R39:S39"/>
    <mergeCell ref="W40:Y40"/>
    <mergeCell ref="G41:I41"/>
    <mergeCell ref="J41:K41"/>
    <mergeCell ref="L41:M41"/>
    <mergeCell ref="N41:O41"/>
    <mergeCell ref="P41:Q41"/>
    <mergeCell ref="R41:S41"/>
    <mergeCell ref="T41:U41"/>
    <mergeCell ref="W41:Z41"/>
    <mergeCell ref="T42:U42"/>
    <mergeCell ref="W42:Y42"/>
    <mergeCell ref="G43:I43"/>
    <mergeCell ref="J43:K43"/>
    <mergeCell ref="L43:M43"/>
    <mergeCell ref="N43:O43"/>
    <mergeCell ref="P43:Q43"/>
    <mergeCell ref="R43:S43"/>
    <mergeCell ref="T43:U43"/>
    <mergeCell ref="W43:Y43"/>
    <mergeCell ref="G42:I42"/>
    <mergeCell ref="J42:K42"/>
    <mergeCell ref="L42:M42"/>
    <mergeCell ref="N42:O42"/>
    <mergeCell ref="P42:Q42"/>
    <mergeCell ref="R42:S42"/>
    <mergeCell ref="T44:U44"/>
    <mergeCell ref="W44:Y44"/>
    <mergeCell ref="G45:I45"/>
    <mergeCell ref="J45:K45"/>
    <mergeCell ref="L45:M45"/>
    <mergeCell ref="N45:O45"/>
    <mergeCell ref="P45:Q45"/>
    <mergeCell ref="R45:S45"/>
    <mergeCell ref="T45:U45"/>
    <mergeCell ref="W45:Y45"/>
    <mergeCell ref="G44:I44"/>
    <mergeCell ref="J44:K44"/>
    <mergeCell ref="L44:M44"/>
    <mergeCell ref="N44:O44"/>
    <mergeCell ref="P44:Q44"/>
    <mergeCell ref="R44:S44"/>
    <mergeCell ref="W47:Y47"/>
    <mergeCell ref="G48:I48"/>
    <mergeCell ref="J48:K48"/>
    <mergeCell ref="L48:M48"/>
    <mergeCell ref="N48:O48"/>
    <mergeCell ref="P48:Q48"/>
    <mergeCell ref="R48:S48"/>
    <mergeCell ref="T48:U48"/>
    <mergeCell ref="T46:U46"/>
    <mergeCell ref="G47:I47"/>
    <mergeCell ref="J47:K47"/>
    <mergeCell ref="L47:M47"/>
    <mergeCell ref="N47:O47"/>
    <mergeCell ref="P47:Q47"/>
    <mergeCell ref="R47:S47"/>
    <mergeCell ref="T47:U47"/>
    <mergeCell ref="G46:I46"/>
    <mergeCell ref="J46:K46"/>
    <mergeCell ref="L46:M46"/>
    <mergeCell ref="N46:O46"/>
    <mergeCell ref="P46:Q46"/>
    <mergeCell ref="R46:S46"/>
    <mergeCell ref="T49:U49"/>
    <mergeCell ref="G50:I50"/>
    <mergeCell ref="J50:K50"/>
    <mergeCell ref="L50:M50"/>
    <mergeCell ref="N50:O50"/>
    <mergeCell ref="P50:Q50"/>
    <mergeCell ref="R50:S50"/>
    <mergeCell ref="T50:U50"/>
    <mergeCell ref="G49:I49"/>
    <mergeCell ref="J49:K49"/>
    <mergeCell ref="L49:M49"/>
    <mergeCell ref="N49:O49"/>
    <mergeCell ref="P49:Q49"/>
    <mergeCell ref="R49:S49"/>
    <mergeCell ref="R51:S51"/>
    <mergeCell ref="T51:U51"/>
    <mergeCell ref="B52:D52"/>
    <mergeCell ref="G52:I52"/>
    <mergeCell ref="J52:K52"/>
    <mergeCell ref="L52:M52"/>
    <mergeCell ref="N52:O52"/>
    <mergeCell ref="P52:Q52"/>
    <mergeCell ref="R52:S52"/>
    <mergeCell ref="T52:U52"/>
    <mergeCell ref="B51:D51"/>
    <mergeCell ref="G51:I51"/>
    <mergeCell ref="J51:K51"/>
    <mergeCell ref="L51:M51"/>
    <mergeCell ref="N51:O51"/>
    <mergeCell ref="P51:Q51"/>
    <mergeCell ref="R53:S53"/>
    <mergeCell ref="T53:U53"/>
    <mergeCell ref="B54:D54"/>
    <mergeCell ref="G54:I54"/>
    <mergeCell ref="J54:K54"/>
    <mergeCell ref="L54:M54"/>
    <mergeCell ref="N54:O54"/>
    <mergeCell ref="P54:Q54"/>
    <mergeCell ref="R54:S54"/>
    <mergeCell ref="T54:U54"/>
    <mergeCell ref="B53:D53"/>
    <mergeCell ref="G53:I53"/>
    <mergeCell ref="J53:K53"/>
    <mergeCell ref="L53:M53"/>
    <mergeCell ref="N53:O53"/>
    <mergeCell ref="P53:Q53"/>
    <mergeCell ref="T55:U55"/>
    <mergeCell ref="G56:I56"/>
    <mergeCell ref="J56:K56"/>
    <mergeCell ref="L56:M56"/>
    <mergeCell ref="N56:O56"/>
    <mergeCell ref="P56:Q56"/>
    <mergeCell ref="R56:S56"/>
    <mergeCell ref="T56:U56"/>
    <mergeCell ref="G55:I55"/>
    <mergeCell ref="J55:K55"/>
    <mergeCell ref="L55:M55"/>
    <mergeCell ref="N55:O55"/>
    <mergeCell ref="P55:Q55"/>
    <mergeCell ref="R55:S55"/>
    <mergeCell ref="T57:U57"/>
    <mergeCell ref="B58:D58"/>
    <mergeCell ref="G58:I58"/>
    <mergeCell ref="J58:K58"/>
    <mergeCell ref="L58:M58"/>
    <mergeCell ref="N58:O58"/>
    <mergeCell ref="P58:Q58"/>
    <mergeCell ref="R58:S58"/>
    <mergeCell ref="T58:U58"/>
    <mergeCell ref="G57:I57"/>
    <mergeCell ref="J57:K57"/>
    <mergeCell ref="L57:M57"/>
    <mergeCell ref="N57:O57"/>
    <mergeCell ref="P57:Q57"/>
    <mergeCell ref="R57:S57"/>
    <mergeCell ref="B60:D60"/>
    <mergeCell ref="B61:D61"/>
    <mergeCell ref="B62:D62"/>
    <mergeCell ref="B63:D63"/>
    <mergeCell ref="J63:K63"/>
    <mergeCell ref="L63:M63"/>
    <mergeCell ref="N63:O63"/>
    <mergeCell ref="P63:Q63"/>
    <mergeCell ref="B59:D59"/>
    <mergeCell ref="G59:I59"/>
    <mergeCell ref="J59:K59"/>
    <mergeCell ref="L59:M59"/>
    <mergeCell ref="N59:O59"/>
    <mergeCell ref="P59:Q59"/>
    <mergeCell ref="R63:S63"/>
    <mergeCell ref="T63:U63"/>
    <mergeCell ref="J64:K64"/>
    <mergeCell ref="L64:M64"/>
    <mergeCell ref="N64:O64"/>
    <mergeCell ref="P64:Q64"/>
    <mergeCell ref="R64:S64"/>
    <mergeCell ref="T64:U64"/>
    <mergeCell ref="R59:S59"/>
    <mergeCell ref="T59:U59"/>
    <mergeCell ref="B73:D73"/>
    <mergeCell ref="J66:K66"/>
    <mergeCell ref="L66:M66"/>
    <mergeCell ref="N66:O66"/>
    <mergeCell ref="P66:Q66"/>
    <mergeCell ref="R66:S66"/>
    <mergeCell ref="T66:U66"/>
    <mergeCell ref="J65:K65"/>
    <mergeCell ref="L65:M65"/>
    <mergeCell ref="N65:O65"/>
    <mergeCell ref="P65:Q65"/>
    <mergeCell ref="R65:S65"/>
    <mergeCell ref="T65:U65"/>
  </mergeCells>
  <pageMargins left="0.7" right="0.7" top="0.75" bottom="0.75" header="0.3" footer="0.3"/>
  <drawing r:id="rId1"/>
  <picture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14435F-3333-4AE4-955D-869E9F4BACE7}">
  <dimension ref="A1:AB74"/>
  <sheetViews>
    <sheetView showGridLines="0" topLeftCell="A36" zoomScale="124" zoomScaleNormal="70" workbookViewId="0">
      <selection activeCell="T46" sqref="T46:U46"/>
    </sheetView>
  </sheetViews>
  <sheetFormatPr defaultColWidth="0" defaultRowHeight="14.5" customHeight="1" zeroHeight="1" x14ac:dyDescent="0.35"/>
  <cols>
    <col min="1" max="1" width="8.7265625" style="4" customWidth="1"/>
    <col min="2" max="2" width="8.7265625" style="41" customWidth="1"/>
    <col min="3" max="3" width="10.453125" style="41" customWidth="1"/>
    <col min="4" max="4" width="9.6328125" style="41" bestFit="1" customWidth="1"/>
    <col min="5" max="5" width="7.7265625" style="41" customWidth="1"/>
    <col min="6" max="22" width="8.7265625" style="41" customWidth="1"/>
    <col min="23" max="26" width="10.90625" style="41" customWidth="1"/>
    <col min="27" max="27" width="9.26953125" style="41" bestFit="1" customWidth="1"/>
    <col min="28" max="28" width="8.7265625" style="4" customWidth="1"/>
    <col min="29" max="16384" width="8.7265625" style="4" hidden="1"/>
  </cols>
  <sheetData>
    <row r="1" spans="2:27" x14ac:dyDescent="0.35">
      <c r="B1" s="4"/>
      <c r="C1" s="4"/>
      <c r="D1" s="4"/>
      <c r="E1" s="4"/>
      <c r="F1" s="4"/>
      <c r="G1" s="4"/>
      <c r="H1" s="4"/>
      <c r="I1" s="4"/>
      <c r="J1" s="4"/>
      <c r="K1" s="4"/>
      <c r="L1" s="4"/>
      <c r="M1" s="4"/>
      <c r="N1" s="4"/>
      <c r="O1" s="4"/>
      <c r="P1" s="4"/>
      <c r="Q1" s="4"/>
      <c r="R1" s="4"/>
      <c r="S1" s="4"/>
      <c r="T1" s="4"/>
      <c r="U1" s="4"/>
      <c r="V1" s="4"/>
      <c r="W1" s="4"/>
      <c r="X1" s="4"/>
      <c r="Y1" s="4"/>
      <c r="Z1" s="4"/>
      <c r="AA1" s="4"/>
    </row>
    <row r="2" spans="2:27" ht="14.5" customHeight="1" x14ac:dyDescent="0.35">
      <c r="B2" s="258" t="e" vm="3">
        <v>#VALUE!</v>
      </c>
      <c r="C2" s="258"/>
      <c r="D2" s="258"/>
      <c r="E2" s="258"/>
      <c r="F2" s="258"/>
      <c r="G2" s="258"/>
      <c r="H2" s="258"/>
      <c r="I2" s="258"/>
      <c r="J2" s="258"/>
      <c r="K2" s="258"/>
      <c r="L2" s="258"/>
      <c r="M2" s="258"/>
      <c r="N2" s="258"/>
      <c r="O2" s="258"/>
      <c r="P2" s="258"/>
      <c r="Q2" s="258"/>
      <c r="R2" s="5"/>
      <c r="S2" s="5"/>
      <c r="T2" s="5"/>
      <c r="U2" s="5"/>
      <c r="V2" s="5"/>
      <c r="W2" s="46" t="s">
        <v>36</v>
      </c>
      <c r="X2" s="5"/>
      <c r="Y2" s="5"/>
      <c r="Z2" s="5"/>
      <c r="AA2" s="5"/>
    </row>
    <row r="3" spans="2:27" ht="14.5" customHeight="1" x14ac:dyDescent="0.35">
      <c r="B3" s="258"/>
      <c r="C3" s="258"/>
      <c r="D3" s="258"/>
      <c r="E3" s="258"/>
      <c r="F3" s="258"/>
      <c r="G3" s="258"/>
      <c r="H3" s="258"/>
      <c r="I3" s="258"/>
      <c r="J3" s="258"/>
      <c r="K3" s="258"/>
      <c r="L3" s="258"/>
      <c r="M3" s="258"/>
      <c r="N3" s="258"/>
      <c r="O3" s="258"/>
      <c r="P3" s="258"/>
      <c r="Q3" s="258"/>
      <c r="R3" s="5"/>
      <c r="S3" s="5"/>
      <c r="T3" s="5"/>
      <c r="U3" s="5"/>
      <c r="V3" s="5"/>
      <c r="W3" s="260" t="str">
        <f>'Business Infos'!D9</f>
        <v>A NZ-headquartered building materials giant with operations across Australia and NZ. Owns cement (Golden Bay), aggregates, and concrete plants. Vertically integrated from raw materials to building products.</v>
      </c>
      <c r="X3" s="260"/>
      <c r="Y3" s="260"/>
      <c r="Z3" s="260"/>
      <c r="AA3" s="260"/>
    </row>
    <row r="4" spans="2:27" ht="22.5" customHeight="1" x14ac:dyDescent="0.35">
      <c r="B4" s="261" t="s">
        <v>37</v>
      </c>
      <c r="C4" s="262"/>
      <c r="D4" s="262"/>
      <c r="E4" s="262"/>
      <c r="F4" s="262"/>
      <c r="G4" s="262"/>
      <c r="H4" s="262"/>
      <c r="I4" s="262"/>
      <c r="J4" s="262"/>
      <c r="K4" s="5"/>
      <c r="L4" s="5"/>
      <c r="M4" s="5"/>
      <c r="N4" s="5"/>
      <c r="O4" s="5"/>
      <c r="P4" s="5"/>
      <c r="Q4" s="5"/>
      <c r="R4" s="5"/>
      <c r="S4" s="5"/>
      <c r="T4" s="5"/>
      <c r="U4" s="5"/>
      <c r="V4" s="5"/>
      <c r="W4" s="260" t="s">
        <v>193</v>
      </c>
      <c r="X4" s="260"/>
      <c r="Y4" s="260"/>
      <c r="Z4" s="260"/>
      <c r="AA4" s="260"/>
    </row>
    <row r="5" spans="2:27" x14ac:dyDescent="0.35">
      <c r="B5" s="7" t="s">
        <v>38</v>
      </c>
      <c r="C5" s="5"/>
      <c r="D5" s="5"/>
      <c r="E5" s="5"/>
      <c r="F5" s="5"/>
      <c r="G5" s="5"/>
      <c r="H5" s="5"/>
      <c r="I5" s="5"/>
      <c r="J5" s="5"/>
      <c r="K5" s="5"/>
      <c r="L5" s="5"/>
      <c r="M5" s="5"/>
      <c r="N5" s="5"/>
      <c r="O5" s="5"/>
      <c r="P5" s="5"/>
      <c r="Q5" s="5"/>
      <c r="R5" s="5"/>
      <c r="S5" s="5"/>
      <c r="T5" s="5"/>
      <c r="U5" s="5"/>
      <c r="V5" s="5"/>
      <c r="W5" s="260"/>
      <c r="X5" s="260"/>
      <c r="Y5" s="260"/>
      <c r="Z5" s="260"/>
      <c r="AA5" s="260"/>
    </row>
    <row r="6" spans="2:27" x14ac:dyDescent="0.35">
      <c r="B6" s="4"/>
      <c r="C6" s="4"/>
      <c r="D6" s="4"/>
      <c r="E6" s="4"/>
      <c r="F6" s="4"/>
      <c r="G6" s="4"/>
      <c r="H6" s="4"/>
      <c r="I6" s="4"/>
      <c r="J6" s="4"/>
      <c r="K6" s="4"/>
      <c r="L6" s="4"/>
      <c r="M6" s="4"/>
      <c r="N6" s="4"/>
      <c r="O6" s="4"/>
      <c r="P6" s="4"/>
      <c r="Q6" s="4"/>
      <c r="R6" s="4"/>
      <c r="S6" s="4"/>
      <c r="T6" s="4"/>
      <c r="U6" s="4"/>
      <c r="V6" s="4"/>
      <c r="W6"/>
      <c r="X6"/>
      <c r="Y6"/>
      <c r="Z6"/>
      <c r="AA6"/>
    </row>
    <row r="7" spans="2:27" x14ac:dyDescent="0.35">
      <c r="B7" s="4"/>
      <c r="C7" s="4"/>
      <c r="D7" s="4"/>
      <c r="E7" s="4"/>
      <c r="F7" s="4"/>
      <c r="G7" s="4"/>
      <c r="H7" s="4"/>
      <c r="I7" s="4"/>
      <c r="J7" s="4"/>
      <c r="K7" s="4"/>
      <c r="L7" s="4"/>
      <c r="M7" s="4"/>
      <c r="N7" s="4"/>
      <c r="O7" s="4"/>
      <c r="P7" s="4"/>
      <c r="Q7" s="4"/>
      <c r="R7" s="4"/>
      <c r="S7" s="4"/>
      <c r="T7" s="4"/>
      <c r="U7" s="4"/>
      <c r="V7" s="4"/>
      <c r="W7" s="4"/>
      <c r="X7" s="4"/>
      <c r="Y7" s="4"/>
      <c r="Z7" s="4"/>
      <c r="AA7" s="4"/>
    </row>
    <row r="8" spans="2:27" ht="15" thickBot="1" x14ac:dyDescent="0.4">
      <c r="B8" s="8" t="s">
        <v>39</v>
      </c>
      <c r="C8" s="9"/>
      <c r="D8" s="9"/>
      <c r="E8" s="9"/>
      <c r="F8" s="10"/>
      <c r="G8" s="8" t="s">
        <v>40</v>
      </c>
      <c r="H8" s="9"/>
      <c r="I8" s="9"/>
      <c r="J8" s="9"/>
      <c r="K8" s="9"/>
      <c r="L8" s="9"/>
      <c r="M8" s="9"/>
      <c r="N8" s="9"/>
      <c r="O8" s="8"/>
      <c r="P8" s="9"/>
      <c r="Q8" s="9"/>
      <c r="R8" s="9"/>
      <c r="S8" s="9"/>
      <c r="T8" s="9"/>
      <c r="U8" s="9"/>
      <c r="V8" s="10"/>
      <c r="W8" s="8" t="s">
        <v>41</v>
      </c>
      <c r="X8" s="9"/>
      <c r="Y8" s="9"/>
      <c r="Z8" s="9"/>
      <c r="AA8" s="9"/>
    </row>
    <row r="9" spans="2:27" ht="4" customHeight="1" x14ac:dyDescent="0.35">
      <c r="B9" s="2"/>
      <c r="C9" s="2"/>
      <c r="D9" s="2"/>
      <c r="E9" s="2"/>
      <c r="F9" s="10"/>
      <c r="G9" s="2"/>
      <c r="H9" s="2"/>
      <c r="I9" s="2"/>
      <c r="J9" s="2"/>
      <c r="K9" s="2"/>
      <c r="L9" s="2"/>
      <c r="M9" s="2"/>
      <c r="N9" s="2"/>
      <c r="O9" s="2"/>
      <c r="P9" s="2"/>
      <c r="Q9" s="2"/>
      <c r="R9" s="2"/>
      <c r="S9" s="2"/>
      <c r="T9" s="2"/>
      <c r="U9" s="2"/>
      <c r="V9" s="10"/>
      <c r="W9" s="2"/>
      <c r="X9" s="2"/>
      <c r="Y9" s="2"/>
      <c r="Z9" s="2"/>
      <c r="AA9" s="2"/>
    </row>
    <row r="10" spans="2:27" x14ac:dyDescent="0.35">
      <c r="B10" s="263" t="s">
        <v>42</v>
      </c>
      <c r="C10" s="263"/>
      <c r="D10" s="11"/>
      <c r="E10" s="11" t="s">
        <v>203</v>
      </c>
      <c r="F10" s="10"/>
      <c r="G10" s="220"/>
      <c r="H10" s="220"/>
      <c r="I10" s="220"/>
      <c r="J10" s="257" t="s">
        <v>43</v>
      </c>
      <c r="K10" s="264"/>
      <c r="L10" s="264"/>
      <c r="M10" s="264"/>
      <c r="N10" s="264"/>
      <c r="O10" s="264"/>
      <c r="P10" s="257" t="s">
        <v>44</v>
      </c>
      <c r="Q10" s="257"/>
      <c r="R10" s="257" t="s">
        <v>45</v>
      </c>
      <c r="S10" s="257"/>
      <c r="T10" s="220"/>
      <c r="U10" s="220"/>
      <c r="V10" s="10"/>
      <c r="W10" s="220"/>
      <c r="X10" s="220"/>
      <c r="Y10" s="220"/>
      <c r="Z10" s="13" t="s">
        <v>46</v>
      </c>
      <c r="AA10" s="14">
        <v>45657</v>
      </c>
    </row>
    <row r="11" spans="2:27" x14ac:dyDescent="0.35">
      <c r="B11" s="220" t="s">
        <v>5</v>
      </c>
      <c r="C11" s="220"/>
      <c r="D11" s="12"/>
      <c r="E11" s="11" t="str" cm="1">
        <f t="array" aca="1" ref="E11" ca="1">_FV(B2,"Ticker symbol",TRUE)</f>
        <v>FBU</v>
      </c>
      <c r="F11" s="15"/>
      <c r="G11" s="220"/>
      <c r="H11" s="220"/>
      <c r="I11" s="220"/>
      <c r="J11" s="264"/>
      <c r="K11" s="264"/>
      <c r="L11" s="264"/>
      <c r="M11" s="264"/>
      <c r="N11" s="264"/>
      <c r="O11" s="264"/>
      <c r="P11" s="257" t="s">
        <v>47</v>
      </c>
      <c r="Q11" s="257"/>
      <c r="R11" s="257" t="s">
        <v>47</v>
      </c>
      <c r="S11" s="257"/>
      <c r="T11" s="257" t="s">
        <v>3</v>
      </c>
      <c r="U11" s="257"/>
      <c r="V11" s="10"/>
      <c r="W11" s="220" t="s">
        <v>48</v>
      </c>
      <c r="X11" s="220"/>
      <c r="Y11" s="220"/>
      <c r="Z11" s="16">
        <f ca="1">311*E14</f>
        <v>289.69650000000001</v>
      </c>
      <c r="AA11" s="16">
        <f ca="1">202*E14</f>
        <v>188.16300000000001</v>
      </c>
    </row>
    <row r="12" spans="2:27" ht="15" thickBot="1" x14ac:dyDescent="0.4">
      <c r="B12" s="220" t="s">
        <v>49</v>
      </c>
      <c r="C12" s="220"/>
      <c r="D12" s="12"/>
      <c r="E12" s="11" t="s">
        <v>194</v>
      </c>
      <c r="F12" s="10"/>
      <c r="G12" s="220"/>
      <c r="H12" s="220"/>
      <c r="I12" s="220"/>
      <c r="J12" s="257" t="s">
        <v>50</v>
      </c>
      <c r="K12" s="257"/>
      <c r="L12" s="257" t="s">
        <v>51</v>
      </c>
      <c r="M12" s="257"/>
      <c r="N12" s="257" t="s">
        <v>46</v>
      </c>
      <c r="O12" s="257"/>
      <c r="P12" s="250">
        <v>45291</v>
      </c>
      <c r="Q12" s="251"/>
      <c r="R12" s="250">
        <v>45657</v>
      </c>
      <c r="S12" s="251"/>
      <c r="T12" s="252">
        <f>R12</f>
        <v>45657</v>
      </c>
      <c r="U12" s="252"/>
      <c r="V12" s="10"/>
      <c r="W12" s="220" t="s">
        <v>52</v>
      </c>
      <c r="X12" s="220"/>
      <c r="Y12" s="220"/>
      <c r="Z12" s="16">
        <f ca="1">1084*E14</f>
        <v>1009.746</v>
      </c>
      <c r="AA12" s="16">
        <f ca="1">947*E14</f>
        <v>882.13049999999998</v>
      </c>
    </row>
    <row r="13" spans="2:27" x14ac:dyDescent="0.35">
      <c r="B13" s="220" t="s">
        <v>53</v>
      </c>
      <c r="C13" s="220"/>
      <c r="D13" s="12"/>
      <c r="E13" s="17">
        <v>45838</v>
      </c>
      <c r="F13" s="10"/>
      <c r="G13" s="229" t="s">
        <v>8</v>
      </c>
      <c r="H13" s="229"/>
      <c r="I13" s="229"/>
      <c r="J13" s="233">
        <f ca="1">8498*E14</f>
        <v>7915.8869999999997</v>
      </c>
      <c r="K13" s="234"/>
      <c r="L13" s="233">
        <f ca="1">7679*E14</f>
        <v>7152.9885000000004</v>
      </c>
      <c r="M13" s="234"/>
      <c r="N13" s="233">
        <f ca="1">7683*E14</f>
        <v>7156.7145</v>
      </c>
      <c r="O13" s="234"/>
      <c r="P13" s="253">
        <f ca="1">3860*E14</f>
        <v>3595.59</v>
      </c>
      <c r="Q13" s="254"/>
      <c r="R13" s="255">
        <f ca="1">3583*E14</f>
        <v>3337.5645</v>
      </c>
      <c r="S13" s="256"/>
      <c r="T13" s="231">
        <f ca="1">IFERROR(N13+R13-P13," -        ")</f>
        <v>6898.6890000000003</v>
      </c>
      <c r="U13" s="230"/>
      <c r="V13" s="10"/>
      <c r="W13" s="220" t="s">
        <v>54</v>
      </c>
      <c r="X13" s="220"/>
      <c r="Y13" s="220"/>
      <c r="Z13" s="16">
        <f ca="1">1276*E14</f>
        <v>1188.5940000000001</v>
      </c>
      <c r="AA13" s="16">
        <f ca="1">1352*E14</f>
        <v>1259.3879999999999</v>
      </c>
    </row>
    <row r="14" spans="2:27" ht="14.5" customHeight="1" x14ac:dyDescent="0.35">
      <c r="B14" s="249" t="s">
        <v>204</v>
      </c>
      <c r="C14" s="249"/>
      <c r="D14" s="47"/>
      <c r="E14" s="48" cm="1">
        <f t="array" aca="1" ref="E14" ca="1">_FV(B20,"Price")</f>
        <v>0.93149999999999999</v>
      </c>
      <c r="F14" s="10"/>
      <c r="G14" s="220" t="s">
        <v>56</v>
      </c>
      <c r="H14" s="229"/>
      <c r="I14" s="229"/>
      <c r="J14" s="233">
        <f ca="1">5989*E14</f>
        <v>5578.7534999999998</v>
      </c>
      <c r="K14" s="234"/>
      <c r="L14" s="233">
        <f ca="1">5282*E14</f>
        <v>4920.183</v>
      </c>
      <c r="M14" s="233"/>
      <c r="N14" s="233">
        <f ca="1">5521*E14</f>
        <v>5142.8114999999998</v>
      </c>
      <c r="O14" s="265"/>
      <c r="P14" s="235">
        <f ca="1">2750*E14</f>
        <v>2561.625</v>
      </c>
      <c r="Q14" s="234"/>
      <c r="R14" s="233">
        <f ca="1">2584*E14</f>
        <v>2406.9960000000001</v>
      </c>
      <c r="S14" s="236"/>
      <c r="T14" s="230">
        <f t="shared" ref="T14:T23" ca="1" si="0">IFERROR(N14+R14-P14," -        ")</f>
        <v>4988.1824999999999</v>
      </c>
      <c r="U14" s="230"/>
      <c r="V14" s="10"/>
      <c r="W14" s="220" t="s">
        <v>57</v>
      </c>
      <c r="X14" s="220"/>
      <c r="Y14" s="220"/>
      <c r="Z14" s="16">
        <f ca="1">(517)*E14</f>
        <v>481.58550000000002</v>
      </c>
      <c r="AA14" s="16">
        <f ca="1">18*E14</f>
        <v>16.766999999999999</v>
      </c>
    </row>
    <row r="15" spans="2:27" x14ac:dyDescent="0.35">
      <c r="B15" s="220" t="s">
        <v>58</v>
      </c>
      <c r="C15" s="220"/>
      <c r="D15" s="12"/>
      <c r="E15" s="11" t="s">
        <v>205</v>
      </c>
      <c r="F15" s="10"/>
      <c r="G15" s="220" t="s">
        <v>60</v>
      </c>
      <c r="H15" s="220"/>
      <c r="I15" s="220"/>
      <c r="J15" s="230">
        <f ca="1">IFERROR(J13-J14," -        ")</f>
        <v>2337.1334999999999</v>
      </c>
      <c r="K15" s="230"/>
      <c r="L15" s="230">
        <f t="shared" ref="L15" ca="1" si="1">IFERROR(L13-L14," -        ")</f>
        <v>2232.8055000000004</v>
      </c>
      <c r="M15" s="230"/>
      <c r="N15" s="230">
        <f t="shared" ref="N15" ca="1" si="2">IFERROR(N13-N14," -        ")</f>
        <v>2013.9030000000002</v>
      </c>
      <c r="O15" s="230"/>
      <c r="P15" s="231">
        <f ca="1">IFERROR(P13-P14," -        ")</f>
        <v>1033.9650000000001</v>
      </c>
      <c r="Q15" s="230"/>
      <c r="R15" s="230">
        <f t="shared" ref="R15" ca="1" si="3">IFERROR(R13-R14," -        ")</f>
        <v>930.56849999999986</v>
      </c>
      <c r="S15" s="232"/>
      <c r="T15" s="230">
        <f t="shared" ca="1" si="0"/>
        <v>1910.5065</v>
      </c>
      <c r="U15" s="230"/>
      <c r="V15" s="10"/>
      <c r="W15" s="220" t="s">
        <v>61</v>
      </c>
      <c r="X15" s="220"/>
      <c r="Y15" s="220"/>
      <c r="Z15" s="20">
        <f ca="1">IFERROR(Z11+Z12+Z13+Z14," -        ")</f>
        <v>2969.6220000000003</v>
      </c>
      <c r="AA15" s="20">
        <f ca="1">IFERROR(AA11+AA12+AA13+AA14," -        ")</f>
        <v>2346.4484999999995</v>
      </c>
    </row>
    <row r="16" spans="2:27" x14ac:dyDescent="0.35">
      <c r="B16" s="220" t="s">
        <v>62</v>
      </c>
      <c r="C16" s="220"/>
      <c r="D16" s="12"/>
      <c r="E16" s="21" t="s">
        <v>206</v>
      </c>
      <c r="F16" s="10"/>
      <c r="G16" s="220" t="s">
        <v>64</v>
      </c>
      <c r="H16" s="220"/>
      <c r="I16" s="220"/>
      <c r="J16" s="233">
        <f ca="1">1786*E14</f>
        <v>1663.6589999999999</v>
      </c>
      <c r="K16" s="234"/>
      <c r="L16" s="233">
        <f ca="1">1662*E14</f>
        <v>1548.153</v>
      </c>
      <c r="M16" s="234"/>
      <c r="N16" s="233">
        <f ca="1">1665*E14</f>
        <v>1550.9475</v>
      </c>
      <c r="O16" s="234"/>
      <c r="P16" s="235">
        <f ca="1">853*E14</f>
        <v>794.56949999999995</v>
      </c>
      <c r="Q16" s="234"/>
      <c r="R16" s="233">
        <f ca="1">836*E14</f>
        <v>778.73400000000004</v>
      </c>
      <c r="S16" s="236"/>
      <c r="T16" s="230">
        <f t="shared" ca="1" si="0"/>
        <v>1535.1120000000001</v>
      </c>
      <c r="U16" s="230"/>
      <c r="V16" s="10"/>
      <c r="W16" s="220"/>
      <c r="X16" s="220"/>
      <c r="Y16" s="220"/>
      <c r="Z16" s="20"/>
      <c r="AA16" s="20"/>
    </row>
    <row r="17" spans="2:27" x14ac:dyDescent="0.35">
      <c r="B17" s="220" t="s">
        <v>66</v>
      </c>
      <c r="C17" s="220"/>
      <c r="D17" s="12"/>
      <c r="E17" s="22">
        <v>0.38</v>
      </c>
      <c r="F17" s="10"/>
      <c r="G17" s="220" t="s">
        <v>67</v>
      </c>
      <c r="H17" s="220"/>
      <c r="I17" s="220"/>
      <c r="J17" s="233">
        <v>0</v>
      </c>
      <c r="K17" s="234"/>
      <c r="L17" s="233">
        <v>0</v>
      </c>
      <c r="M17" s="234"/>
      <c r="N17" s="233">
        <v>0</v>
      </c>
      <c r="O17" s="234"/>
      <c r="P17" s="235">
        <v>0</v>
      </c>
      <c r="Q17" s="234"/>
      <c r="R17" s="233">
        <v>0</v>
      </c>
      <c r="S17" s="236"/>
      <c r="T17" s="230">
        <f t="shared" si="0"/>
        <v>0</v>
      </c>
      <c r="U17" s="230"/>
      <c r="V17" s="10"/>
      <c r="W17" s="220" t="s">
        <v>68</v>
      </c>
      <c r="X17" s="220"/>
      <c r="Y17" s="220"/>
      <c r="Z17" s="16">
        <f ca="1">3382*E14</f>
        <v>3150.3330000000001</v>
      </c>
      <c r="AA17" s="16">
        <f ca="1">3530*E14</f>
        <v>3288.1950000000002</v>
      </c>
    </row>
    <row r="18" spans="2:27" x14ac:dyDescent="0.35">
      <c r="B18" s="10"/>
      <c r="C18" s="10"/>
      <c r="D18" s="10"/>
      <c r="E18" s="10"/>
      <c r="F18" s="10"/>
      <c r="G18" s="220" t="s">
        <v>69</v>
      </c>
      <c r="H18" s="220"/>
      <c r="I18" s="220"/>
      <c r="J18" s="248">
        <f ca="1">IFERROR(J15-J16-J17," -        ")</f>
        <v>673.47450000000003</v>
      </c>
      <c r="K18" s="230"/>
      <c r="L18" s="248">
        <f ca="1">IFERROR(L15-L16-L17," -        ")</f>
        <v>684.65250000000037</v>
      </c>
      <c r="M18" s="230"/>
      <c r="N18" s="248">
        <f ca="1">IFERROR(N15-N16-N17," -        ")</f>
        <v>462.95550000000026</v>
      </c>
      <c r="O18" s="230"/>
      <c r="P18" s="231">
        <f ca="1">IFERROR(P15-P16-P17," -        ")</f>
        <v>239.3955000000002</v>
      </c>
      <c r="Q18" s="230"/>
      <c r="R18" s="230">
        <f ca="1">IFERROR(R15-R16-R17," -        ")</f>
        <v>151.83449999999982</v>
      </c>
      <c r="S18" s="232"/>
      <c r="T18" s="230">
        <f t="shared" ca="1" si="0"/>
        <v>375.39449999999988</v>
      </c>
      <c r="U18" s="230"/>
      <c r="V18" s="10"/>
      <c r="W18" s="220" t="s">
        <v>70</v>
      </c>
      <c r="X18" s="220"/>
      <c r="Y18" s="220"/>
      <c r="Z18" s="16">
        <f ca="1">(643+412)*E14</f>
        <v>982.73249999999996</v>
      </c>
      <c r="AA18" s="16">
        <f ca="1">1026*E14</f>
        <v>955.71900000000005</v>
      </c>
    </row>
    <row r="19" spans="2:27" ht="15" thickBot="1" x14ac:dyDescent="0.4">
      <c r="B19" s="8" t="s">
        <v>71</v>
      </c>
      <c r="C19" s="9"/>
      <c r="D19" s="9"/>
      <c r="E19" s="9"/>
      <c r="F19" s="10"/>
      <c r="G19" s="220" t="s">
        <v>72</v>
      </c>
      <c r="H19" s="220"/>
      <c r="I19" s="220"/>
      <c r="J19" s="233">
        <f ca="1">117*E14</f>
        <v>108.9855</v>
      </c>
      <c r="K19" s="234"/>
      <c r="L19" s="233">
        <f ca="1">174*E14</f>
        <v>162.08099999999999</v>
      </c>
      <c r="M19" s="234"/>
      <c r="N19" s="233">
        <f ca="1">232*E14</f>
        <v>216.108</v>
      </c>
      <c r="O19" s="234"/>
      <c r="P19" s="235">
        <f ca="1">90*E14</f>
        <v>83.834999999999994</v>
      </c>
      <c r="Q19" s="234"/>
      <c r="R19" s="233">
        <f ca="1">97*E14</f>
        <v>90.355500000000006</v>
      </c>
      <c r="S19" s="236"/>
      <c r="T19" s="230">
        <f t="shared" ca="1" si="0"/>
        <v>222.62850000000003</v>
      </c>
      <c r="U19" s="230"/>
      <c r="V19" s="10"/>
      <c r="W19" s="220" t="s">
        <v>73</v>
      </c>
      <c r="X19" s="220"/>
      <c r="Y19" s="220"/>
      <c r="Z19" s="16">
        <f ca="1">(136+892+221)*E14</f>
        <v>1163.4435000000001</v>
      </c>
      <c r="AA19" s="16">
        <f ca="1">(182+911+240)*E14</f>
        <v>1241.6895</v>
      </c>
    </row>
    <row r="20" spans="2:27" ht="3.5" customHeight="1" x14ac:dyDescent="0.35">
      <c r="B20" s="49" t="e" vm="4">
        <v>#VALUE!</v>
      </c>
      <c r="C20" s="2"/>
      <c r="D20" s="2"/>
      <c r="E20" s="2"/>
      <c r="F20" s="10"/>
      <c r="G20" s="220"/>
      <c r="H20" s="220"/>
      <c r="I20" s="220"/>
      <c r="J20" s="244"/>
      <c r="K20" s="244"/>
      <c r="L20" s="244"/>
      <c r="M20" s="244"/>
      <c r="N20" s="244"/>
      <c r="O20" s="244"/>
      <c r="P20" s="245"/>
      <c r="Q20" s="244"/>
      <c r="R20" s="244"/>
      <c r="S20" s="246"/>
      <c r="T20" s="230">
        <f t="shared" si="0"/>
        <v>0</v>
      </c>
      <c r="U20" s="230"/>
      <c r="V20" s="10"/>
      <c r="W20" s="220"/>
      <c r="X20" s="220"/>
      <c r="Y20" s="12"/>
      <c r="Z20" s="20"/>
      <c r="AA20" s="20"/>
    </row>
    <row r="21" spans="2:27" x14ac:dyDescent="0.35">
      <c r="B21" s="220" t="s">
        <v>74</v>
      </c>
      <c r="C21" s="220"/>
      <c r="D21" s="23" cm="1">
        <f t="array" aca="1" ref="D21" ca="1">_FV(B2,"Last trade time",TRUE)</f>
        <v>45763.187627314815</v>
      </c>
      <c r="E21" s="24" cm="1">
        <f t="array" aca="1" ref="E21" ca="1">_FV(B2,"Price")</f>
        <v>2.9950000000000001</v>
      </c>
      <c r="F21" s="10"/>
      <c r="G21" s="220" t="s">
        <v>75</v>
      </c>
      <c r="H21" s="220"/>
      <c r="I21" s="220"/>
      <c r="J21" s="230">
        <f ca="1">IFERROR(J18-J19," -        ")</f>
        <v>564.48900000000003</v>
      </c>
      <c r="K21" s="230"/>
      <c r="L21" s="230">
        <f t="shared" ref="L21" ca="1" si="4">IFERROR(L18-L19," -        ")</f>
        <v>522.57150000000036</v>
      </c>
      <c r="M21" s="230"/>
      <c r="N21" s="230">
        <f t="shared" ref="N21" ca="1" si="5">IFERROR(N18-N19," -        ")</f>
        <v>246.84750000000025</v>
      </c>
      <c r="O21" s="230"/>
      <c r="P21" s="231">
        <f t="shared" ref="P21" ca="1" si="6">IFERROR(P18-P19," -        ")</f>
        <v>155.56050000000022</v>
      </c>
      <c r="Q21" s="230"/>
      <c r="R21" s="230">
        <f t="shared" ref="R21" ca="1" si="7">IFERROR(R18-R19," -        ")</f>
        <v>61.478999999999814</v>
      </c>
      <c r="S21" s="232"/>
      <c r="T21" s="230">
        <f t="shared" ca="1" si="0"/>
        <v>152.76599999999985</v>
      </c>
      <c r="U21" s="230"/>
      <c r="V21" s="10"/>
      <c r="W21" s="220" t="s">
        <v>76</v>
      </c>
      <c r="X21" s="220"/>
      <c r="Y21" s="220"/>
      <c r="Z21" s="20">
        <f ca="1">IFERROR(Z17+Z18+Z19+Z15," -       ")</f>
        <v>8266.1310000000012</v>
      </c>
      <c r="AA21" s="20">
        <f ca="1">IFERROR(AA17+AA18+AA19+AA15," -       ")</f>
        <v>7832.0520000000006</v>
      </c>
    </row>
    <row r="22" spans="2:27" x14ac:dyDescent="0.35">
      <c r="B22" s="220" t="s">
        <v>77</v>
      </c>
      <c r="C22" s="220"/>
      <c r="D22" s="25"/>
      <c r="E22" s="26">
        <f ca="1">IFERROR(E21/E23,"NA")</f>
        <v>0.83870064407728928</v>
      </c>
      <c r="F22" s="10"/>
      <c r="G22" s="220" t="s">
        <v>78</v>
      </c>
      <c r="H22" s="220"/>
      <c r="I22" s="220"/>
      <c r="J22" s="233">
        <f ca="1">159*E14</f>
        <v>148.10849999999999</v>
      </c>
      <c r="K22" s="234"/>
      <c r="L22" s="233">
        <f ca="1">88*E14</f>
        <v>81.971999999999994</v>
      </c>
      <c r="M22" s="234"/>
      <c r="N22" s="233">
        <f ca="1">55*E14</f>
        <v>51.232500000000002</v>
      </c>
      <c r="O22" s="234"/>
      <c r="P22" s="235">
        <f ca="1">2*E14</f>
        <v>1.863</v>
      </c>
      <c r="Q22" s="234"/>
      <c r="R22" s="233">
        <f ca="1">41*E14</f>
        <v>38.191499999999998</v>
      </c>
      <c r="S22" s="236"/>
      <c r="T22" s="230">
        <f t="shared" ca="1" si="0"/>
        <v>87.561000000000007</v>
      </c>
      <c r="U22" s="230"/>
      <c r="V22" s="10"/>
      <c r="W22" s="220"/>
      <c r="X22" s="220"/>
      <c r="Y22" s="220"/>
      <c r="Z22" s="20"/>
      <c r="AA22" s="20"/>
    </row>
    <row r="23" spans="2:27" x14ac:dyDescent="0.35">
      <c r="B23" s="220" t="s">
        <v>79</v>
      </c>
      <c r="C23" s="220"/>
      <c r="D23" s="23" cm="1">
        <f t="array" aca="1" ref="D23" ca="1">_FV(B2,"Last trade time",TRUE)</f>
        <v>45763.187627314815</v>
      </c>
      <c r="E23" s="24" cm="1">
        <f t="array" aca="1" ref="E23" ca="1">_FV(B2,"52 week high",TRUE)</f>
        <v>3.5710000000000002</v>
      </c>
      <c r="F23" s="10"/>
      <c r="G23" s="220" t="s">
        <v>80</v>
      </c>
      <c r="H23" s="220"/>
      <c r="I23" s="220"/>
      <c r="J23" s="233">
        <f ca="1">7*E14</f>
        <v>6.5205000000000002</v>
      </c>
      <c r="K23" s="234"/>
      <c r="L23" s="233">
        <f ca="1">19*E14</f>
        <v>17.698499999999999</v>
      </c>
      <c r="M23" s="234"/>
      <c r="N23" s="233">
        <f ca="1">7*E14</f>
        <v>6.5205000000000002</v>
      </c>
      <c r="O23" s="234"/>
      <c r="P23" s="235">
        <f ca="1">3*E14</f>
        <v>2.7945000000000002</v>
      </c>
      <c r="Q23" s="234"/>
      <c r="R23" s="233">
        <v>0</v>
      </c>
      <c r="S23" s="236"/>
      <c r="T23" s="230">
        <f t="shared" ca="1" si="0"/>
        <v>3.726</v>
      </c>
      <c r="U23" s="230"/>
      <c r="V23" s="10"/>
      <c r="W23" s="220" t="s">
        <v>81</v>
      </c>
      <c r="X23" s="220"/>
      <c r="Y23" s="220"/>
      <c r="Z23" s="16">
        <v>0</v>
      </c>
      <c r="AA23" s="16">
        <v>0</v>
      </c>
    </row>
    <row r="24" spans="2:27" x14ac:dyDescent="0.35">
      <c r="B24" s="220" t="s">
        <v>82</v>
      </c>
      <c r="C24" s="220"/>
      <c r="D24" s="23" cm="1">
        <f t="array" aca="1" ref="D24" ca="1">_FV(B2,"Last trade time",TRUE)</f>
        <v>45763.187627314815</v>
      </c>
      <c r="E24" s="24" cm="1">
        <f t="array" aca="1" ref="E24" ca="1">_FV(B2,"52 week low",TRUE)</f>
        <v>2.42</v>
      </c>
      <c r="F24" s="10"/>
      <c r="G24" s="220" t="s">
        <v>83</v>
      </c>
      <c r="H24" s="220"/>
      <c r="I24" s="220"/>
      <c r="J24" s="233">
        <v>0</v>
      </c>
      <c r="K24" s="234"/>
      <c r="L24" s="233">
        <v>0</v>
      </c>
      <c r="M24" s="234"/>
      <c r="N24" s="233">
        <v>0</v>
      </c>
      <c r="O24" s="234"/>
      <c r="P24" s="235">
        <v>0</v>
      </c>
      <c r="Q24" s="234"/>
      <c r="R24" s="233">
        <v>0</v>
      </c>
      <c r="S24" s="236"/>
      <c r="T24" s="230">
        <v>0</v>
      </c>
      <c r="U24" s="230"/>
      <c r="V24" s="10"/>
      <c r="W24" s="220" t="s">
        <v>84</v>
      </c>
      <c r="X24" s="220"/>
      <c r="Y24" s="220"/>
      <c r="Z24" s="16">
        <f ca="1">(164+86)*E14</f>
        <v>232.875</v>
      </c>
      <c r="AA24" s="16">
        <f ca="1">(85+167)*E14</f>
        <v>234.738</v>
      </c>
    </row>
    <row r="25" spans="2:27" x14ac:dyDescent="0.35">
      <c r="B25" s="220" t="s">
        <v>85</v>
      </c>
      <c r="C25" s="220"/>
      <c r="D25" s="25"/>
      <c r="E25" s="43">
        <f ca="1">E14</f>
        <v>0.93149999999999999</v>
      </c>
      <c r="F25" s="10"/>
      <c r="G25" s="220" t="s">
        <v>86</v>
      </c>
      <c r="H25" s="220"/>
      <c r="I25" s="220"/>
      <c r="J25" s="230">
        <f ca="1">IFERROR(J21-J22-J23-J24," -        ")</f>
        <v>409.86</v>
      </c>
      <c r="K25" s="230"/>
      <c r="L25" s="230">
        <f t="shared" ref="L25" ca="1" si="8">IFERROR(L21-L22-L23-L24," -        ")</f>
        <v>422.90100000000035</v>
      </c>
      <c r="M25" s="230"/>
      <c r="N25" s="230">
        <f t="shared" ref="N25" ca="1" si="9">IFERROR(N21-N22-N23-N24," -        ")</f>
        <v>189.09450000000024</v>
      </c>
      <c r="O25" s="230"/>
      <c r="P25" s="231">
        <f ca="1">IFERROR(P21-P22-P23-P24," -        ")</f>
        <v>150.90300000000022</v>
      </c>
      <c r="Q25" s="230"/>
      <c r="R25" s="230">
        <f t="shared" ref="R25" ca="1" si="10">IFERROR(R21-R22-R23-R24," -        ")</f>
        <v>23.287499999999817</v>
      </c>
      <c r="S25" s="232"/>
      <c r="T25" s="230">
        <f t="shared" ref="T25:T29" ca="1" si="11">IFERROR(N25+R25-P25," -        ")</f>
        <v>61.478999999999843</v>
      </c>
      <c r="U25" s="230"/>
      <c r="V25" s="10"/>
      <c r="W25" s="220" t="s">
        <v>87</v>
      </c>
      <c r="X25" s="220"/>
      <c r="Y25" s="220"/>
      <c r="Z25" s="44">
        <f ca="1">(166+1672)*E14</f>
        <v>1712.097</v>
      </c>
      <c r="AA25" s="16">
        <f ca="1">(87+1419)*E14</f>
        <v>1402.8389999999999</v>
      </c>
    </row>
    <row r="26" spans="2:27" x14ac:dyDescent="0.35">
      <c r="B26" s="220"/>
      <c r="C26" s="220"/>
      <c r="D26" s="25"/>
      <c r="E26" s="25"/>
      <c r="F26" s="10"/>
      <c r="G26" s="220" t="s">
        <v>88</v>
      </c>
      <c r="H26" s="220"/>
      <c r="I26" s="220"/>
      <c r="J26" s="205">
        <f ca="1">IFERROR(J22/J21," -        ")</f>
        <v>0.26237623762376233</v>
      </c>
      <c r="K26" s="205"/>
      <c r="L26" s="205">
        <f t="shared" ref="L26" ca="1" si="12">IFERROR(L22/L21," -        ")</f>
        <v>0.1568627450980391</v>
      </c>
      <c r="M26" s="205"/>
      <c r="N26" s="205">
        <f t="shared" ref="N26" ca="1" si="13">IFERROR(N22/N21," -        ")</f>
        <v>0.20754716981132054</v>
      </c>
      <c r="O26" s="205"/>
      <c r="P26" s="216">
        <f t="shared" ref="P26" ca="1" si="14">IFERROR(P22/P21," -        ")</f>
        <v>1.19760479041916E-2</v>
      </c>
      <c r="Q26" s="205"/>
      <c r="R26" s="205">
        <f t="shared" ref="R26" ca="1" si="15">IFERROR(R22/R21," -        ")</f>
        <v>0.6212121212121231</v>
      </c>
      <c r="S26" s="217"/>
      <c r="T26" s="205">
        <f t="shared" ca="1" si="11"/>
        <v>0.81678324311925199</v>
      </c>
      <c r="U26" s="205"/>
      <c r="V26" s="28"/>
      <c r="W26" s="247" t="s">
        <v>89</v>
      </c>
      <c r="X26" s="247"/>
      <c r="Y26" s="247"/>
      <c r="Z26" s="20">
        <f ca="1">IFERROR(Z23+Z24+Z25," -       ")</f>
        <v>1944.972</v>
      </c>
      <c r="AA26" s="20">
        <f ca="1">IFERROR(AA23+AA24+AA25," -       ")</f>
        <v>1637.577</v>
      </c>
    </row>
    <row r="27" spans="2:27" x14ac:dyDescent="0.35">
      <c r="B27" s="29" t="s">
        <v>90</v>
      </c>
      <c r="C27" s="29"/>
      <c r="D27" s="25"/>
      <c r="E27" s="30">
        <f>T28</f>
        <v>861.5</v>
      </c>
      <c r="F27" s="10"/>
      <c r="G27" s="220"/>
      <c r="H27" s="220"/>
      <c r="I27" s="220"/>
      <c r="J27" s="244"/>
      <c r="K27" s="244"/>
      <c r="L27" s="244"/>
      <c r="M27" s="244"/>
      <c r="N27" s="244"/>
      <c r="O27" s="244"/>
      <c r="P27" s="245"/>
      <c r="Q27" s="244"/>
      <c r="R27" s="244"/>
      <c r="S27" s="246"/>
      <c r="T27" s="230"/>
      <c r="U27" s="230"/>
      <c r="V27" s="10"/>
      <c r="W27" s="220"/>
      <c r="X27" s="220"/>
      <c r="Y27" s="220"/>
      <c r="Z27" s="20"/>
      <c r="AA27" s="20"/>
    </row>
    <row r="28" spans="2:27" x14ac:dyDescent="0.35">
      <c r="B28" s="229" t="s">
        <v>91</v>
      </c>
      <c r="C28" s="229"/>
      <c r="D28" s="25"/>
      <c r="E28" s="30">
        <f ca="1">IFERROR(E27*E21," -       ")</f>
        <v>2580.1925000000001</v>
      </c>
      <c r="F28" s="10"/>
      <c r="G28" s="220" t="s">
        <v>92</v>
      </c>
      <c r="H28" s="220"/>
      <c r="I28" s="220"/>
      <c r="J28" s="233">
        <v>880</v>
      </c>
      <c r="K28" s="234"/>
      <c r="L28" s="233">
        <v>848</v>
      </c>
      <c r="M28" s="234"/>
      <c r="N28" s="233">
        <v>783</v>
      </c>
      <c r="O28" s="234"/>
      <c r="P28" s="235">
        <v>783</v>
      </c>
      <c r="Q28" s="234"/>
      <c r="R28" s="233">
        <v>940</v>
      </c>
      <c r="S28" s="236"/>
      <c r="T28" s="230">
        <v>861.5</v>
      </c>
      <c r="U28" s="230"/>
      <c r="V28" s="10"/>
      <c r="W28" s="220" t="s">
        <v>93</v>
      </c>
      <c r="X28" s="220"/>
      <c r="Y28" s="220"/>
      <c r="Z28" s="16">
        <f ca="1">(2022)*E14</f>
        <v>1883.4929999999999</v>
      </c>
      <c r="AA28" s="16">
        <f ca="1">(1288)*E14</f>
        <v>1199.7719999999999</v>
      </c>
    </row>
    <row r="29" spans="2:27" ht="15" thickBot="1" x14ac:dyDescent="0.4">
      <c r="B29" s="220"/>
      <c r="C29" s="220"/>
      <c r="D29" s="25"/>
      <c r="E29" s="30"/>
      <c r="F29" s="10"/>
      <c r="G29" s="220" t="s">
        <v>94</v>
      </c>
      <c r="H29" s="220"/>
      <c r="I29" s="220"/>
      <c r="J29" s="230">
        <f ca="1">IFERROR(J25/J28," -        ")</f>
        <v>0.46575</v>
      </c>
      <c r="K29" s="230"/>
      <c r="L29" s="230">
        <f t="shared" ref="L29" ca="1" si="16">IFERROR(L25/L28," -        ")</f>
        <v>0.4987040094339627</v>
      </c>
      <c r="M29" s="230"/>
      <c r="N29" s="230">
        <f ca="1">IFERROR(N25/N28," -        ")</f>
        <v>0.2415000000000003</v>
      </c>
      <c r="O29" s="230"/>
      <c r="P29" s="241">
        <f t="shared" ref="P29" ca="1" si="17">IFERROR(P25/P28," -        ")</f>
        <v>0.19272413793103477</v>
      </c>
      <c r="Q29" s="242"/>
      <c r="R29" s="242">
        <f t="shared" ref="R29" ca="1" si="18">IFERROR(R25/R28," -        ")</f>
        <v>2.477393617021257E-2</v>
      </c>
      <c r="S29" s="243"/>
      <c r="T29" s="230">
        <f t="shared" ca="1" si="11"/>
        <v>7.3549798239178121E-2</v>
      </c>
      <c r="U29" s="230"/>
      <c r="V29" s="10"/>
      <c r="W29" s="220" t="s">
        <v>95</v>
      </c>
      <c r="X29" s="220"/>
      <c r="Y29" s="220"/>
      <c r="Z29" s="16">
        <f ca="1">(1272+164)*E14</f>
        <v>1337.634</v>
      </c>
      <c r="AA29" s="16">
        <f ca="1">(1373+66)*E14</f>
        <v>1340.4285</v>
      </c>
    </row>
    <row r="30" spans="2:27" x14ac:dyDescent="0.35">
      <c r="B30" s="220" t="s">
        <v>96</v>
      </c>
      <c r="C30" s="220"/>
      <c r="D30" s="25"/>
      <c r="E30" s="30">
        <f ca="1">IF(SUM(AA24,AA28)=0," -       ",SUM(AA24,AA28))</f>
        <v>1434.51</v>
      </c>
      <c r="F30" s="10"/>
      <c r="G30" s="10"/>
      <c r="H30" s="10"/>
      <c r="I30" s="10"/>
      <c r="J30" s="10"/>
      <c r="K30" s="10"/>
      <c r="L30" s="10"/>
      <c r="M30" s="10"/>
      <c r="N30" s="10"/>
      <c r="O30" s="10"/>
      <c r="P30" s="10"/>
      <c r="Q30" s="10"/>
      <c r="R30" s="10"/>
      <c r="S30" s="10"/>
      <c r="T30" s="10"/>
      <c r="U30" s="10"/>
      <c r="V30" s="10"/>
      <c r="W30" s="229" t="s">
        <v>97</v>
      </c>
      <c r="X30" s="229"/>
      <c r="Y30" s="229"/>
      <c r="Z30" s="20">
        <f ca="1">IFERROR(Z26+Z28+Z29," -       ")</f>
        <v>5166.0990000000002</v>
      </c>
      <c r="AA30" s="20">
        <f ca="1">IFERROR(AA26+AA28+AA29," -       ")</f>
        <v>4177.7775000000001</v>
      </c>
    </row>
    <row r="31" spans="2:27" x14ac:dyDescent="0.35">
      <c r="B31" s="220" t="s">
        <v>98</v>
      </c>
      <c r="C31" s="220"/>
      <c r="D31" s="25"/>
      <c r="E31" s="30">
        <f>AA33</f>
        <v>0</v>
      </c>
      <c r="F31" s="10"/>
      <c r="G31" s="10"/>
      <c r="H31" s="10"/>
      <c r="I31" s="10"/>
      <c r="J31" s="10"/>
      <c r="K31" s="10"/>
      <c r="L31" s="10"/>
      <c r="M31" s="10"/>
      <c r="N31" s="10"/>
      <c r="O31" s="10"/>
      <c r="P31" s="10"/>
      <c r="Q31" s="10"/>
      <c r="R31" s="10"/>
      <c r="S31" s="10"/>
      <c r="T31" s="10"/>
      <c r="U31" s="10"/>
      <c r="V31" s="10"/>
      <c r="W31" s="220"/>
      <c r="X31" s="220"/>
      <c r="Y31" s="220"/>
      <c r="Z31" s="20"/>
      <c r="AA31" s="20"/>
    </row>
    <row r="32" spans="2:27" ht="15" thickBot="1" x14ac:dyDescent="0.4">
      <c r="B32" s="220" t="s">
        <v>99</v>
      </c>
      <c r="C32" s="220"/>
      <c r="D32" s="25"/>
      <c r="E32" s="30">
        <f ca="1">AA32</f>
        <v>3.726</v>
      </c>
      <c r="F32" s="10"/>
      <c r="G32" s="1" t="s">
        <v>100</v>
      </c>
      <c r="H32" s="2"/>
      <c r="I32" s="2"/>
      <c r="J32" s="2"/>
      <c r="K32" s="2"/>
      <c r="L32" s="2"/>
      <c r="M32" s="2"/>
      <c r="N32" s="2"/>
      <c r="O32" s="2"/>
      <c r="P32" s="2"/>
      <c r="Q32" s="2"/>
      <c r="R32" s="2"/>
      <c r="S32" s="2"/>
      <c r="T32" s="2"/>
      <c r="U32" s="2"/>
      <c r="V32" s="10"/>
      <c r="W32" s="220" t="s">
        <v>101</v>
      </c>
      <c r="X32" s="220"/>
      <c r="Y32" s="220"/>
      <c r="Z32" s="16">
        <f ca="1">11*E14</f>
        <v>10.246499999999999</v>
      </c>
      <c r="AA32" s="16">
        <f ca="1">4*E14</f>
        <v>3.726</v>
      </c>
    </row>
    <row r="33" spans="2:27" x14ac:dyDescent="0.35">
      <c r="B33" s="29" t="s">
        <v>102</v>
      </c>
      <c r="C33" s="29"/>
      <c r="D33" s="25"/>
      <c r="E33" s="30">
        <f ca="1">AA11</f>
        <v>188.16300000000001</v>
      </c>
      <c r="F33" s="10"/>
      <c r="G33" s="220" t="s">
        <v>103</v>
      </c>
      <c r="H33" s="220"/>
      <c r="I33" s="220"/>
      <c r="J33" s="230">
        <f ca="1">J15</f>
        <v>2337.1334999999999</v>
      </c>
      <c r="K33" s="230"/>
      <c r="L33" s="230">
        <f t="shared" ref="L33" ca="1" si="19">L15</f>
        <v>2232.8055000000004</v>
      </c>
      <c r="M33" s="230"/>
      <c r="N33" s="230">
        <f t="shared" ref="N33" ca="1" si="20">N15</f>
        <v>2013.9030000000002</v>
      </c>
      <c r="O33" s="230"/>
      <c r="P33" s="238">
        <f t="shared" ref="P33" ca="1" si="21">P15</f>
        <v>1033.9650000000001</v>
      </c>
      <c r="Q33" s="239"/>
      <c r="R33" s="239">
        <f t="shared" ref="R33" ca="1" si="22">R15</f>
        <v>930.56849999999986</v>
      </c>
      <c r="S33" s="240"/>
      <c r="T33" s="230">
        <f t="shared" ref="T33:T59" ca="1" si="23">IFERROR(N33+R33-P33," -        ")</f>
        <v>1910.5065</v>
      </c>
      <c r="U33" s="230"/>
      <c r="V33" s="10"/>
      <c r="W33" s="220" t="s">
        <v>104</v>
      </c>
      <c r="X33" s="220"/>
      <c r="Y33" s="220"/>
      <c r="Z33" s="16">
        <v>0</v>
      </c>
      <c r="AA33" s="16">
        <v>0</v>
      </c>
    </row>
    <row r="34" spans="2:27" x14ac:dyDescent="0.35">
      <c r="B34" s="229" t="s">
        <v>105</v>
      </c>
      <c r="C34" s="229"/>
      <c r="D34" s="25"/>
      <c r="E34" s="30">
        <f ca="1">IFERROR(E28+E30+E31+E32-E33,"-       ")</f>
        <v>3830.2655000000004</v>
      </c>
      <c r="F34" s="10"/>
      <c r="G34" s="220" t="s">
        <v>106</v>
      </c>
      <c r="H34" s="220"/>
      <c r="I34" s="220"/>
      <c r="J34" s="233">
        <v>0</v>
      </c>
      <c r="K34" s="234"/>
      <c r="L34" s="233">
        <v>0</v>
      </c>
      <c r="M34" s="234"/>
      <c r="N34" s="233">
        <v>0</v>
      </c>
      <c r="O34" s="234"/>
      <c r="P34" s="235">
        <v>0</v>
      </c>
      <c r="Q34" s="234"/>
      <c r="R34" s="233">
        <v>0</v>
      </c>
      <c r="S34" s="236"/>
      <c r="T34" s="230">
        <f t="shared" si="23"/>
        <v>0</v>
      </c>
      <c r="U34" s="230"/>
      <c r="V34" s="10"/>
      <c r="W34" s="220" t="s">
        <v>107</v>
      </c>
      <c r="X34" s="220"/>
      <c r="Y34" s="220"/>
      <c r="Z34" s="16">
        <f ca="1">3317*E14</f>
        <v>3089.7855</v>
      </c>
      <c r="AA34" s="16">
        <f ca="1">3919*E14</f>
        <v>3650.5484999999999</v>
      </c>
    </row>
    <row r="35" spans="2:27" x14ac:dyDescent="0.35">
      <c r="B35" s="10"/>
      <c r="C35" s="10"/>
      <c r="D35" s="10"/>
      <c r="E35" s="10"/>
      <c r="F35" s="10"/>
      <c r="G35" s="220" t="s">
        <v>108</v>
      </c>
      <c r="H35" s="220"/>
      <c r="I35" s="220"/>
      <c r="J35" s="230">
        <f ca="1">IFERROR(J33+J34," -        ")</f>
        <v>2337.1334999999999</v>
      </c>
      <c r="K35" s="230"/>
      <c r="L35" s="230">
        <f t="shared" ref="L35" ca="1" si="24">IFERROR(L33+L34," -        ")</f>
        <v>2232.8055000000004</v>
      </c>
      <c r="M35" s="230"/>
      <c r="N35" s="230">
        <f t="shared" ref="N35" ca="1" si="25">IFERROR(N33+N34," -        ")</f>
        <v>2013.9030000000002</v>
      </c>
      <c r="O35" s="230"/>
      <c r="P35" s="231">
        <f t="shared" ref="P35" ca="1" si="26">IFERROR(P33+P34," -        ")</f>
        <v>1033.9650000000001</v>
      </c>
      <c r="Q35" s="230"/>
      <c r="R35" s="230">
        <f t="shared" ref="R35" ca="1" si="27">IFERROR(R33+R34," -        ")</f>
        <v>930.56849999999986</v>
      </c>
      <c r="S35" s="232"/>
      <c r="T35" s="230">
        <f t="shared" ca="1" si="23"/>
        <v>1910.5065</v>
      </c>
      <c r="U35" s="230"/>
      <c r="V35" s="10"/>
      <c r="W35" s="220" t="s">
        <v>109</v>
      </c>
      <c r="X35" s="220"/>
      <c r="Y35" s="220"/>
      <c r="Z35" s="20">
        <f ca="1">IFERROR(Z30+Z32+Z33+Z34," -       ")</f>
        <v>8266.1310000000012</v>
      </c>
      <c r="AA35" s="20">
        <f ca="1">IFERROR(AA30+AA32+AA33+AA34," -       ")</f>
        <v>7832.0519999999997</v>
      </c>
    </row>
    <row r="36" spans="2:27" ht="15" thickBot="1" x14ac:dyDescent="0.4">
      <c r="B36" s="8" t="s">
        <v>110</v>
      </c>
      <c r="C36" s="9"/>
      <c r="D36" s="9"/>
      <c r="E36" s="9"/>
      <c r="F36" s="10"/>
      <c r="G36" s="220" t="s">
        <v>111</v>
      </c>
      <c r="H36" s="220"/>
      <c r="I36" s="220"/>
      <c r="J36" s="205">
        <f ca="1">IFERROR(J35/J13," -        ")</f>
        <v>0.29524594022122852</v>
      </c>
      <c r="K36" s="205"/>
      <c r="L36" s="205">
        <f t="shared" ref="L36" ca="1" si="28">IFERROR(L35/L13," -        ")</f>
        <v>0.31215001953379351</v>
      </c>
      <c r="M36" s="205"/>
      <c r="N36" s="205">
        <f t="shared" ref="N36" ca="1" si="29">IFERROR(N35/N13," -        ")</f>
        <v>0.28140049459846417</v>
      </c>
      <c r="O36" s="205"/>
      <c r="P36" s="216">
        <f t="shared" ref="P36" ca="1" si="30">IFERROR(P35/P13," -        ")</f>
        <v>0.28756476683937826</v>
      </c>
      <c r="Q36" s="205"/>
      <c r="R36" s="205">
        <f t="shared" ref="R36" ca="1" si="31">IFERROR(R35/R13," -        ")</f>
        <v>0.27881663410549817</v>
      </c>
      <c r="S36" s="217"/>
      <c r="T36" s="205">
        <f t="shared" ca="1" si="23"/>
        <v>0.27265236186458408</v>
      </c>
      <c r="U36" s="205"/>
      <c r="V36" s="10"/>
      <c r="W36" s="237" t="s">
        <v>112</v>
      </c>
      <c r="X36" s="237"/>
      <c r="Y36" s="237"/>
      <c r="Z36" s="20">
        <f ca="1">IFERROR(Z21-Z35," -       ")</f>
        <v>0</v>
      </c>
      <c r="AA36" s="20">
        <f ca="1">IFERROR(AA21-AA35," -       ")</f>
        <v>9.0949470177292824E-13</v>
      </c>
    </row>
    <row r="37" spans="2:27" ht="3" customHeight="1" x14ac:dyDescent="0.35">
      <c r="B37" s="2"/>
      <c r="C37" s="2"/>
      <c r="D37" s="2"/>
      <c r="E37" s="2"/>
      <c r="F37" s="10"/>
      <c r="G37" s="220"/>
      <c r="H37" s="220"/>
      <c r="I37" s="220"/>
      <c r="J37" s="224"/>
      <c r="K37" s="224"/>
      <c r="L37" s="224"/>
      <c r="M37" s="224"/>
      <c r="N37" s="224"/>
      <c r="O37" s="224"/>
      <c r="P37" s="227"/>
      <c r="Q37" s="224"/>
      <c r="R37" s="224"/>
      <c r="S37" s="228"/>
      <c r="T37" s="224">
        <f t="shared" si="23"/>
        <v>0</v>
      </c>
      <c r="U37" s="224"/>
      <c r="V37" s="10"/>
      <c r="W37" s="10"/>
      <c r="X37" s="10"/>
      <c r="Y37" s="10"/>
      <c r="Z37" s="10"/>
      <c r="AA37" s="10"/>
    </row>
    <row r="38" spans="2:27" x14ac:dyDescent="0.35">
      <c r="B38" s="12"/>
      <c r="C38" s="13" t="s">
        <v>3</v>
      </c>
      <c r="D38" s="13" t="s">
        <v>113</v>
      </c>
      <c r="E38" s="13" t="s">
        <v>114</v>
      </c>
      <c r="F38" s="10"/>
      <c r="G38" s="220"/>
      <c r="H38" s="220"/>
      <c r="I38" s="220"/>
      <c r="J38" s="213"/>
      <c r="K38" s="213"/>
      <c r="L38" s="213"/>
      <c r="M38" s="213"/>
      <c r="N38" s="213"/>
      <c r="O38" s="213"/>
      <c r="P38" s="225"/>
      <c r="Q38" s="213"/>
      <c r="R38" s="213"/>
      <c r="S38" s="226"/>
      <c r="T38" s="213"/>
      <c r="U38" s="213"/>
      <c r="V38" s="10"/>
      <c r="W38" s="10"/>
      <c r="X38" s="10"/>
      <c r="Y38" s="10"/>
      <c r="Z38" s="10"/>
      <c r="AA38" s="10"/>
    </row>
    <row r="39" spans="2:27" x14ac:dyDescent="0.35">
      <c r="B39" s="12"/>
      <c r="C39" s="14">
        <v>45747</v>
      </c>
      <c r="D39" s="13" t="s">
        <v>115</v>
      </c>
      <c r="E39" s="13" t="s">
        <v>116</v>
      </c>
      <c r="F39" s="10"/>
      <c r="G39" s="220" t="s">
        <v>117</v>
      </c>
      <c r="H39" s="220"/>
      <c r="I39" s="220"/>
      <c r="J39" s="230">
        <f ca="1">J18</f>
        <v>673.47450000000003</v>
      </c>
      <c r="K39" s="230"/>
      <c r="L39" s="230">
        <f t="shared" ref="L39" ca="1" si="32">L18</f>
        <v>684.65250000000037</v>
      </c>
      <c r="M39" s="230"/>
      <c r="N39" s="230">
        <f t="shared" ref="N39" ca="1" si="33">N18</f>
        <v>462.95550000000026</v>
      </c>
      <c r="O39" s="230"/>
      <c r="P39" s="231">
        <f t="shared" ref="P39" ca="1" si="34">P18</f>
        <v>239.3955000000002</v>
      </c>
      <c r="Q39" s="230"/>
      <c r="R39" s="230">
        <f t="shared" ref="R39" ca="1" si="35">R18</f>
        <v>151.83449999999982</v>
      </c>
      <c r="S39" s="232"/>
      <c r="T39" s="230">
        <f t="shared" ca="1" si="23"/>
        <v>375.39449999999988</v>
      </c>
      <c r="U39" s="230"/>
      <c r="V39" s="10"/>
      <c r="W39" s="1" t="s">
        <v>196</v>
      </c>
      <c r="X39" s="2"/>
      <c r="Y39" s="2"/>
      <c r="Z39" s="2"/>
      <c r="AA39" s="2"/>
    </row>
    <row r="40" spans="2:27" x14ac:dyDescent="0.35">
      <c r="B40" s="12" t="s">
        <v>119</v>
      </c>
      <c r="C40" s="20">
        <f ca="1">IFERROR($E$34/C41,"NA")</f>
        <v>0.55521643315128433</v>
      </c>
      <c r="D40" s="20">
        <f t="shared" ref="D40:E40" ca="1" si="36">IFERROR($E$34/D41,"NA")</f>
        <v>0.54616587898996116</v>
      </c>
      <c r="E40" s="20">
        <f t="shared" ca="1" si="36"/>
        <v>0.55735761999955213</v>
      </c>
      <c r="F40" s="10"/>
      <c r="G40" s="220" t="s">
        <v>106</v>
      </c>
      <c r="H40" s="220"/>
      <c r="I40" s="220"/>
      <c r="J40" s="230">
        <f>J34</f>
        <v>0</v>
      </c>
      <c r="K40" s="230"/>
      <c r="L40" s="230">
        <f t="shared" ref="L40" si="37">L34</f>
        <v>0</v>
      </c>
      <c r="M40" s="230"/>
      <c r="N40" s="230">
        <f t="shared" ref="N40" si="38">N34</f>
        <v>0</v>
      </c>
      <c r="O40" s="230"/>
      <c r="P40" s="231">
        <f t="shared" ref="P40" si="39">P34</f>
        <v>0</v>
      </c>
      <c r="Q40" s="230"/>
      <c r="R40" s="230">
        <f t="shared" ref="R40" si="40">R34</f>
        <v>0</v>
      </c>
      <c r="S40" s="232"/>
      <c r="T40" s="230">
        <f t="shared" si="23"/>
        <v>0</v>
      </c>
      <c r="U40" s="230"/>
      <c r="V40" s="10"/>
      <c r="W40" s="220" t="s">
        <v>120</v>
      </c>
      <c r="X40" s="220"/>
      <c r="Y40" s="220"/>
      <c r="Z40" s="12"/>
      <c r="AA40" s="16" t="s">
        <v>197</v>
      </c>
    </row>
    <row r="41" spans="2:27" x14ac:dyDescent="0.35">
      <c r="B41" s="12" t="s">
        <v>121</v>
      </c>
      <c r="C41" s="20">
        <f ca="1">IF(T13=0," -       ",T13)</f>
        <v>6898.6890000000003</v>
      </c>
      <c r="D41" s="16">
        <f ca="1">IFERROR($N$13*(1-2.008%)," -        ")</f>
        <v>7013.0076728399999</v>
      </c>
      <c r="E41" s="16">
        <f ca="1">IFERROR($N$13*(1-2.008%)^2," -        ")</f>
        <v>6872.186478769373</v>
      </c>
      <c r="F41" s="10"/>
      <c r="G41" s="220" t="s">
        <v>122</v>
      </c>
      <c r="H41" s="220"/>
      <c r="I41" s="220"/>
      <c r="J41" s="233">
        <f ca="1">(23+24-10)*E14</f>
        <v>34.465499999999999</v>
      </c>
      <c r="K41" s="234"/>
      <c r="L41" s="233">
        <f ca="1">(39+34-12)*E14</f>
        <v>56.8215</v>
      </c>
      <c r="M41" s="234"/>
      <c r="N41" s="233">
        <f ca="1">(54+10-22)*E14</f>
        <v>39.122999999999998</v>
      </c>
      <c r="O41" s="234"/>
      <c r="P41" s="235">
        <f ca="1">5*E14</f>
        <v>4.6574999999999998</v>
      </c>
      <c r="Q41" s="234"/>
      <c r="R41" s="233">
        <f ca="1">2*E14</f>
        <v>1.863</v>
      </c>
      <c r="S41" s="236"/>
      <c r="T41" s="230">
        <f t="shared" ca="1" si="23"/>
        <v>36.328499999999998</v>
      </c>
      <c r="U41" s="230"/>
      <c r="V41" s="10"/>
      <c r="W41" s="220" t="s">
        <v>123</v>
      </c>
      <c r="X41" s="220"/>
      <c r="Y41" s="220"/>
      <c r="Z41" s="220"/>
      <c r="AA41" s="20" t="str">
        <f ca="1">Z56</f>
        <v xml:space="preserve">-       </v>
      </c>
    </row>
    <row r="42" spans="2:27" x14ac:dyDescent="0.35">
      <c r="B42" s="12" t="s">
        <v>124</v>
      </c>
      <c r="C42" s="20">
        <f ca="1">IFERROR($E$34/C43,"NA")</f>
        <v>6.8191258771449617</v>
      </c>
      <c r="D42" s="20">
        <f ca="1">IFERROR($E$34/D43,"NA")</f>
        <v>5.5579807741528615</v>
      </c>
      <c r="E42" s="20">
        <f ca="1">IFERROR($E$34/E43,"NA")</f>
        <v>5.3489440410294309</v>
      </c>
      <c r="F42" s="10"/>
      <c r="G42" s="220" t="s">
        <v>125</v>
      </c>
      <c r="H42" s="220"/>
      <c r="I42" s="220"/>
      <c r="J42" s="213">
        <f ca="1">IFERROR(J39+J40+J41," -        ")</f>
        <v>707.94</v>
      </c>
      <c r="K42" s="213"/>
      <c r="L42" s="213">
        <f t="shared" ref="L42" ca="1" si="41">IFERROR(L39+L40+L41," -        ")</f>
        <v>741.47400000000039</v>
      </c>
      <c r="M42" s="213"/>
      <c r="N42" s="213">
        <f t="shared" ref="N42" ca="1" si="42">IFERROR(N39+N40+N41," -        ")</f>
        <v>502.07850000000025</v>
      </c>
      <c r="O42" s="213"/>
      <c r="P42" s="225">
        <f t="shared" ref="P42" ca="1" si="43">IFERROR(P39+P40+P41," -        ")</f>
        <v>244.0530000000002</v>
      </c>
      <c r="Q42" s="213"/>
      <c r="R42" s="213">
        <f t="shared" ref="R42" ca="1" si="44">IFERROR(R39+R40+R41," -        ")</f>
        <v>153.69749999999982</v>
      </c>
      <c r="S42" s="226"/>
      <c r="T42" s="213">
        <f t="shared" ca="1" si="23"/>
        <v>411.72299999999984</v>
      </c>
      <c r="U42" s="213"/>
      <c r="V42" s="10"/>
      <c r="W42" s="220" t="s">
        <v>126</v>
      </c>
      <c r="X42" s="220"/>
      <c r="Y42" s="220"/>
      <c r="Z42" s="12"/>
      <c r="AA42" s="20" t="str">
        <f ca="1">IFERROR(AA56/E21,"-       ")</f>
        <v xml:space="preserve">-       </v>
      </c>
    </row>
    <row r="43" spans="2:27" x14ac:dyDescent="0.35">
      <c r="B43" s="12" t="s">
        <v>121</v>
      </c>
      <c r="C43" s="20">
        <f ca="1">IF(T46=0," -       ",T46)</f>
        <v>561.69449999999995</v>
      </c>
      <c r="D43" s="16">
        <f ca="1">IFERROR($N$46*(1+3.908%)," -        ")</f>
        <v>689.14695024000025</v>
      </c>
      <c r="E43" s="16">
        <f ca="1">IFERROR($N$46*(1+3.908%)^2," -        ")</f>
        <v>716.07881305537956</v>
      </c>
      <c r="F43" s="10"/>
      <c r="G43" s="220" t="s">
        <v>111</v>
      </c>
      <c r="H43" s="220"/>
      <c r="I43" s="220"/>
      <c r="J43" s="205">
        <f ca="1">IFERROR(J42/J13," -        ")</f>
        <v>8.9432807719463409E-2</v>
      </c>
      <c r="K43" s="205"/>
      <c r="L43" s="205">
        <f t="shared" ref="L43" ca="1" si="45">IFERROR(L42/L13," -        ")</f>
        <v>0.10365933064201073</v>
      </c>
      <c r="M43" s="205"/>
      <c r="N43" s="205">
        <f t="shared" ref="N43" ca="1" si="46">IFERROR(N42/N13," -        ")</f>
        <v>7.0154887413770697E-2</v>
      </c>
      <c r="O43" s="205"/>
      <c r="P43" s="216">
        <f t="shared" ref="P43" ca="1" si="47">IFERROR(P42/P13," -        ")</f>
        <v>6.7875647668393838E-2</v>
      </c>
      <c r="Q43" s="205"/>
      <c r="R43" s="205">
        <f t="shared" ref="R43" ca="1" si="48">IFERROR(R42/R13," -        ")</f>
        <v>4.6050795422829978E-2</v>
      </c>
      <c r="S43" s="217"/>
      <c r="T43" s="205">
        <f t="shared" ca="1" si="23"/>
        <v>4.8330035168206845E-2</v>
      </c>
      <c r="U43" s="205"/>
      <c r="V43" s="10"/>
      <c r="W43" s="220" t="s">
        <v>127</v>
      </c>
      <c r="X43" s="220"/>
      <c r="Y43" s="220"/>
      <c r="Z43" s="12"/>
      <c r="AA43" s="20" t="str">
        <f ca="1">IFERROR(AA40+AA41-AA42,"-       ")</f>
        <v xml:space="preserve">-       </v>
      </c>
    </row>
    <row r="44" spans="2:27" x14ac:dyDescent="0.35">
      <c r="B44" s="12" t="s">
        <v>128</v>
      </c>
      <c r="C44" s="20">
        <f ca="1">IFERROR($E$34/C45,"NA")</f>
        <v>9.303015619724917</v>
      </c>
      <c r="D44" s="20">
        <f t="shared" ref="D44:E44" ca="1" si="49">IFERROR($E$34/D45,"NA")</f>
        <v>5.4748876889661426</v>
      </c>
      <c r="E44" s="20">
        <f t="shared" ca="1" si="49"/>
        <v>3.9291008374834173</v>
      </c>
      <c r="F44" s="10"/>
      <c r="G44" s="220"/>
      <c r="H44" s="220"/>
      <c r="I44" s="220"/>
      <c r="J44" s="213"/>
      <c r="K44" s="213"/>
      <c r="L44" s="213"/>
      <c r="M44" s="213"/>
      <c r="N44" s="213"/>
      <c r="O44" s="213"/>
      <c r="P44" s="225"/>
      <c r="Q44" s="213"/>
      <c r="R44" s="213"/>
      <c r="S44" s="226"/>
      <c r="T44" s="213"/>
      <c r="U44" s="213"/>
      <c r="V44" s="10"/>
      <c r="W44" s="220" t="s">
        <v>129</v>
      </c>
      <c r="X44" s="220"/>
      <c r="Y44" s="220"/>
      <c r="Z44" s="12"/>
      <c r="AA44" s="20" t="str">
        <f>AA66</f>
        <v xml:space="preserve">-       </v>
      </c>
    </row>
    <row r="45" spans="2:27" x14ac:dyDescent="0.35">
      <c r="B45" s="12" t="s">
        <v>121</v>
      </c>
      <c r="C45" s="20">
        <f ca="1">IF(T42=0," -       ",T42)</f>
        <v>411.72299999999984</v>
      </c>
      <c r="D45" s="16">
        <f ca="1">IFERROR($N$42*(1+39.342%)," -        ")</f>
        <v>699.60622347000026</v>
      </c>
      <c r="E45" s="16">
        <f ca="1">IFERROR($N$42*(1+39.342%)^2," -        ")</f>
        <v>974.84530390756765</v>
      </c>
      <c r="F45" s="10"/>
      <c r="G45" s="220" t="s">
        <v>130</v>
      </c>
      <c r="H45" s="220"/>
      <c r="I45" s="220"/>
      <c r="J45" s="230">
        <f ca="1">J63</f>
        <v>153.69749999999999</v>
      </c>
      <c r="K45" s="230"/>
      <c r="L45" s="230">
        <f t="shared" ref="L45" ca="1" si="50">L63</f>
        <v>152.76599999999999</v>
      </c>
      <c r="M45" s="230"/>
      <c r="N45" s="230">
        <f t="shared" ref="N45" ca="1" si="51">N63</f>
        <v>161.14949999999999</v>
      </c>
      <c r="O45" s="230"/>
      <c r="P45" s="231">
        <f t="shared" ref="P45" ca="1" si="52">P63</f>
        <v>177.91649999999998</v>
      </c>
      <c r="Q45" s="230"/>
      <c r="R45" s="230">
        <f t="shared" ref="R45" ca="1" si="53">R63</f>
        <v>166.73849999999999</v>
      </c>
      <c r="S45" s="232"/>
      <c r="T45" s="230">
        <f t="shared" ca="1" si="23"/>
        <v>149.97149999999999</v>
      </c>
      <c r="U45" s="230"/>
      <c r="V45" s="10"/>
      <c r="W45" s="229" t="s">
        <v>131</v>
      </c>
      <c r="X45" s="229"/>
      <c r="Y45" s="229"/>
      <c r="Z45" s="12"/>
      <c r="AA45" s="32" t="str">
        <f ca="1">IFERROR(AA43+AA44,"-       ")</f>
        <v xml:space="preserve">-       </v>
      </c>
    </row>
    <row r="46" spans="2:27" x14ac:dyDescent="0.35">
      <c r="B46" s="12" t="s">
        <v>132</v>
      </c>
      <c r="C46" s="20">
        <f ca="1">IFERROR($E$21/C47,"NA")</f>
        <v>-12.049028514714495</v>
      </c>
      <c r="D46" s="20">
        <f ca="1">IFERROR($E$21/D47,"NA")</f>
        <v>-16.34521189450281</v>
      </c>
      <c r="E46" s="20">
        <f t="shared" ref="E46" ca="1" si="54">IFERROR($E$21/E47,"NA")</f>
        <v>-24.011652213102028</v>
      </c>
      <c r="F46" s="10"/>
      <c r="G46" s="220" t="s">
        <v>133</v>
      </c>
      <c r="H46" s="220"/>
      <c r="I46" s="220"/>
      <c r="J46" s="230">
        <f ca="1">IFERROR(J42+J45," -        ")</f>
        <v>861.63750000000005</v>
      </c>
      <c r="K46" s="230"/>
      <c r="L46" s="230">
        <f t="shared" ref="L46" ca="1" si="55">IFERROR(L42+L45," -        ")</f>
        <v>894.24000000000035</v>
      </c>
      <c r="M46" s="230"/>
      <c r="N46" s="230">
        <f t="shared" ref="N46" ca="1" si="56">IFERROR(N42+N45," -        ")</f>
        <v>663.22800000000029</v>
      </c>
      <c r="O46" s="230"/>
      <c r="P46" s="231">
        <f t="shared" ref="P46" ca="1" si="57">IFERROR(P42+P45," -        ")</f>
        <v>421.96950000000015</v>
      </c>
      <c r="Q46" s="230"/>
      <c r="R46" s="230">
        <f t="shared" ref="R46" ca="1" si="58">IFERROR(R42+R45," -        ")</f>
        <v>320.43599999999981</v>
      </c>
      <c r="S46" s="232"/>
      <c r="T46" s="230">
        <f t="shared" ca="1" si="23"/>
        <v>561.69449999999995</v>
      </c>
      <c r="U46" s="230"/>
      <c r="V46" s="10"/>
      <c r="W46" s="12"/>
      <c r="X46" s="12"/>
      <c r="Y46" s="12"/>
      <c r="Z46" s="12"/>
      <c r="AA46" s="25"/>
    </row>
    <row r="47" spans="2:27" x14ac:dyDescent="0.35">
      <c r="B47" s="12" t="s">
        <v>121</v>
      </c>
      <c r="C47" s="20">
        <f ca="1">IF(T59=0," -       ",T59)</f>
        <v>-0.2485677576696288</v>
      </c>
      <c r="D47" s="16">
        <f ca="1">IFERROR($N$59*(1-31.928%)," -        ")</f>
        <v>-0.18323408832694746</v>
      </c>
      <c r="E47" s="16">
        <f ca="1">IFERROR($N$59*(1-31.928%)^2," -        ")</f>
        <v>-0.12473110860591965</v>
      </c>
      <c r="F47" s="10"/>
      <c r="G47" s="220" t="s">
        <v>111</v>
      </c>
      <c r="H47" s="220"/>
      <c r="I47" s="220"/>
      <c r="J47" s="205">
        <f ca="1">IFERROR(J46/J13," -        ")</f>
        <v>0.10884914097434692</v>
      </c>
      <c r="K47" s="205"/>
      <c r="L47" s="205">
        <f t="shared" ref="L47" ca="1" si="59">IFERROR(L46/L13," -        ")</f>
        <v>0.12501627816121896</v>
      </c>
      <c r="M47" s="205"/>
      <c r="N47" s="205">
        <f t="shared" ref="N47" ca="1" si="60">IFERROR(N46/N13," -        ")</f>
        <v>9.2672133281270372E-2</v>
      </c>
      <c r="O47" s="205"/>
      <c r="P47" s="216">
        <f t="shared" ref="P47" ca="1" si="61">IFERROR(P46/P13," -        ")</f>
        <v>0.11735751295336791</v>
      </c>
      <c r="Q47" s="205"/>
      <c r="R47" s="205">
        <f t="shared" ref="R47" ca="1" si="62">IFERROR(R46/R13," -        ")</f>
        <v>9.6008931063354674E-2</v>
      </c>
      <c r="S47" s="217"/>
      <c r="T47" s="205">
        <f t="shared" ca="1" si="23"/>
        <v>7.1323551391257151E-2</v>
      </c>
      <c r="U47" s="205"/>
      <c r="V47" s="10"/>
      <c r="W47" s="229" t="s">
        <v>134</v>
      </c>
      <c r="X47" s="229"/>
      <c r="Y47" s="229"/>
      <c r="Z47" s="12"/>
      <c r="AA47" s="25"/>
    </row>
    <row r="48" spans="2:27" x14ac:dyDescent="0.35">
      <c r="B48" s="10"/>
      <c r="C48" s="10"/>
      <c r="D48" s="10"/>
      <c r="E48" s="10"/>
      <c r="F48" s="10"/>
      <c r="G48" s="220"/>
      <c r="H48" s="220"/>
      <c r="I48" s="220"/>
      <c r="J48" s="213"/>
      <c r="K48" s="213"/>
      <c r="L48" s="213"/>
      <c r="M48" s="213"/>
      <c r="N48" s="213"/>
      <c r="O48" s="213"/>
      <c r="P48" s="225"/>
      <c r="Q48" s="213"/>
      <c r="R48" s="213"/>
      <c r="S48" s="226"/>
      <c r="T48" s="213"/>
      <c r="U48" s="213"/>
      <c r="V48" s="10"/>
      <c r="W48" s="33"/>
      <c r="X48" s="33" t="s">
        <v>135</v>
      </c>
      <c r="Y48" s="33" t="s">
        <v>136</v>
      </c>
      <c r="Z48" s="33" t="s">
        <v>137</v>
      </c>
      <c r="AA48" s="33"/>
    </row>
    <row r="49" spans="2:27" ht="15" thickBot="1" x14ac:dyDescent="0.4">
      <c r="B49" s="8" t="s">
        <v>138</v>
      </c>
      <c r="C49" s="9"/>
      <c r="D49" s="9"/>
      <c r="E49" s="9"/>
      <c r="F49" s="10"/>
      <c r="G49" s="220" t="s">
        <v>139</v>
      </c>
      <c r="H49" s="220"/>
      <c r="I49" s="220"/>
      <c r="J49" s="213">
        <f ca="1">J25</f>
        <v>409.86</v>
      </c>
      <c r="K49" s="213"/>
      <c r="L49" s="213">
        <f t="shared" ref="L49" ca="1" si="63">L25</f>
        <v>422.90100000000035</v>
      </c>
      <c r="M49" s="213"/>
      <c r="N49" s="213">
        <f t="shared" ref="N49" ca="1" si="64">N25</f>
        <v>189.09450000000024</v>
      </c>
      <c r="O49" s="213"/>
      <c r="P49" s="225">
        <f t="shared" ref="P49" ca="1" si="65">P25</f>
        <v>150.90300000000022</v>
      </c>
      <c r="Q49" s="213"/>
      <c r="R49" s="213">
        <f t="shared" ref="R49" ca="1" si="66">R25</f>
        <v>23.287499999999817</v>
      </c>
      <c r="S49" s="226"/>
      <c r="T49" s="213">
        <f t="shared" ca="1" si="23"/>
        <v>61.478999999999843</v>
      </c>
      <c r="U49" s="213"/>
      <c r="V49" s="10"/>
      <c r="W49" s="33" t="s">
        <v>140</v>
      </c>
      <c r="X49" s="33" t="s">
        <v>141</v>
      </c>
      <c r="Y49" s="33" t="s">
        <v>142</v>
      </c>
      <c r="Z49" s="33" t="s">
        <v>141</v>
      </c>
      <c r="AA49" s="33" t="s">
        <v>143</v>
      </c>
    </row>
    <row r="50" spans="2:27" ht="2" customHeight="1" x14ac:dyDescent="0.35">
      <c r="B50" s="2"/>
      <c r="C50" s="2"/>
      <c r="D50" s="2"/>
      <c r="E50" s="2"/>
      <c r="F50" s="10"/>
      <c r="G50" s="220"/>
      <c r="H50" s="220"/>
      <c r="I50" s="220"/>
      <c r="J50" s="213"/>
      <c r="K50" s="213"/>
      <c r="L50" s="213"/>
      <c r="M50" s="213"/>
      <c r="N50" s="213"/>
      <c r="O50" s="213"/>
      <c r="P50" s="225"/>
      <c r="Q50" s="213"/>
      <c r="R50" s="213"/>
      <c r="S50" s="226"/>
      <c r="T50" s="213">
        <f t="shared" si="23"/>
        <v>0</v>
      </c>
      <c r="U50" s="213"/>
      <c r="V50" s="10"/>
      <c r="W50" s="12"/>
      <c r="X50" s="34"/>
      <c r="Y50" s="34"/>
      <c r="Z50" s="12"/>
      <c r="AA50" s="12"/>
    </row>
    <row r="51" spans="2:27" x14ac:dyDescent="0.35">
      <c r="B51" s="220" t="s">
        <v>144</v>
      </c>
      <c r="C51" s="220"/>
      <c r="D51" s="220"/>
      <c r="E51" s="26">
        <f ca="1">IFERROR((T42*(1-T26))/(AA15-AA26+AA17+AA18),"-       ")</f>
        <v>1.5230732845832349E-2</v>
      </c>
      <c r="F51" s="10"/>
      <c r="G51" s="220" t="s">
        <v>145</v>
      </c>
      <c r="H51" s="220"/>
      <c r="I51" s="220"/>
      <c r="J51" s="213">
        <f>J34</f>
        <v>0</v>
      </c>
      <c r="K51" s="213"/>
      <c r="L51" s="213">
        <f t="shared" ref="L51" si="67">L34</f>
        <v>0</v>
      </c>
      <c r="M51" s="213"/>
      <c r="N51" s="213">
        <f t="shared" ref="N51" si="68">N34</f>
        <v>0</v>
      </c>
      <c r="O51" s="213"/>
      <c r="P51" s="225">
        <f t="shared" ref="P51" si="69">P34</f>
        <v>0</v>
      </c>
      <c r="Q51" s="213"/>
      <c r="R51" s="213">
        <f t="shared" ref="R51" si="70">R34</f>
        <v>0</v>
      </c>
      <c r="S51" s="226"/>
      <c r="T51" s="213">
        <f t="shared" si="23"/>
        <v>0</v>
      </c>
      <c r="U51" s="213"/>
      <c r="V51" s="10"/>
      <c r="W51" s="12" t="s">
        <v>146</v>
      </c>
      <c r="X51" s="38" t="s">
        <v>197</v>
      </c>
      <c r="Y51" s="16" t="s">
        <v>197</v>
      </c>
      <c r="Z51" s="30" t="str">
        <f ca="1">IF($E$21&gt;Y51,X51,"-       ")</f>
        <v xml:space="preserve">-       </v>
      </c>
      <c r="AA51" s="30" t="str">
        <f ca="1">IFERROR(Z51*Y51,"-       ")</f>
        <v xml:space="preserve">-       </v>
      </c>
    </row>
    <row r="52" spans="2:27" x14ac:dyDescent="0.35">
      <c r="B52" s="220" t="s">
        <v>147</v>
      </c>
      <c r="C52" s="220"/>
      <c r="D52" s="220"/>
      <c r="E52" s="26">
        <f ca="1">IFERROR(T55/AA34,"-       ")</f>
        <v>-5.8511755151314987E-2</v>
      </c>
      <c r="F52" s="10"/>
      <c r="G52" s="220" t="s">
        <v>122</v>
      </c>
      <c r="H52" s="220"/>
      <c r="I52" s="220"/>
      <c r="J52" s="213">
        <f ca="1">J41</f>
        <v>34.465499999999999</v>
      </c>
      <c r="K52" s="213"/>
      <c r="L52" s="213">
        <f t="shared" ref="L52" ca="1" si="71">L41</f>
        <v>56.8215</v>
      </c>
      <c r="M52" s="213"/>
      <c r="N52" s="213">
        <f t="shared" ref="N52" ca="1" si="72">N41</f>
        <v>39.122999999999998</v>
      </c>
      <c r="O52" s="213"/>
      <c r="P52" s="225">
        <f t="shared" ref="P52" ca="1" si="73">P41</f>
        <v>4.6574999999999998</v>
      </c>
      <c r="Q52" s="213"/>
      <c r="R52" s="213">
        <f t="shared" ref="R52" ca="1" si="74">R41</f>
        <v>1.863</v>
      </c>
      <c r="S52" s="226"/>
      <c r="T52" s="213">
        <f t="shared" ca="1" si="23"/>
        <v>36.328499999999998</v>
      </c>
      <c r="U52" s="213"/>
      <c r="V52" s="10"/>
      <c r="W52" s="12" t="s">
        <v>148</v>
      </c>
      <c r="X52" s="38" t="s">
        <v>197</v>
      </c>
      <c r="Y52" s="16" t="s">
        <v>197</v>
      </c>
      <c r="Z52" s="30" t="str">
        <f t="shared" ref="Z52:Z55" ca="1" si="75">IF($E$21&gt;Y52,X52,"-       ")</f>
        <v xml:space="preserve">-       </v>
      </c>
      <c r="AA52" s="30" t="str">
        <f t="shared" ref="AA52:AA55" ca="1" si="76">IFERROR(Z52*Y52,"-       ")</f>
        <v xml:space="preserve">-       </v>
      </c>
    </row>
    <row r="53" spans="2:27" x14ac:dyDescent="0.35">
      <c r="B53" s="220" t="s">
        <v>149</v>
      </c>
      <c r="C53" s="220"/>
      <c r="D53" s="220"/>
      <c r="E53" s="26">
        <f ca="1">IFERROR(T55/AA21,"-       ")</f>
        <v>-2.7272546198620767E-2</v>
      </c>
      <c r="F53" s="10"/>
      <c r="G53" s="220" t="s">
        <v>150</v>
      </c>
      <c r="H53" s="220"/>
      <c r="I53" s="220"/>
      <c r="J53" s="209">
        <f ca="1">(-1+9-53)*E14</f>
        <v>-41.917499999999997</v>
      </c>
      <c r="K53" s="210"/>
      <c r="L53" s="209">
        <f ca="1">(16-301+5)*E14</f>
        <v>-260.82</v>
      </c>
      <c r="M53" s="210"/>
      <c r="N53" s="209">
        <f ca="1">(-90-38-213-141)*E14</f>
        <v>-448.983</v>
      </c>
      <c r="O53" s="210"/>
      <c r="P53" s="211">
        <f ca="1">(1-186-11-106)*E14</f>
        <v>-281.31299999999999</v>
      </c>
      <c r="Q53" s="210"/>
      <c r="R53" s="209">
        <f ca="1">(2-193-82-52)*E14</f>
        <v>-302.73750000000001</v>
      </c>
      <c r="S53" s="212"/>
      <c r="T53" s="213">
        <f t="shared" ca="1" si="23"/>
        <v>-470.40750000000003</v>
      </c>
      <c r="U53" s="213"/>
      <c r="V53" s="10"/>
      <c r="W53" s="12" t="s">
        <v>151</v>
      </c>
      <c r="X53" s="38" t="s">
        <v>197</v>
      </c>
      <c r="Y53" s="16" t="s">
        <v>197</v>
      </c>
      <c r="Z53" s="30" t="str">
        <f t="shared" ca="1" si="75"/>
        <v xml:space="preserve">-       </v>
      </c>
      <c r="AA53" s="30" t="str">
        <f t="shared" ca="1" si="76"/>
        <v xml:space="preserve">-       </v>
      </c>
    </row>
    <row r="54" spans="2:27" x14ac:dyDescent="0.35">
      <c r="B54" s="220" t="s">
        <v>207</v>
      </c>
      <c r="C54" s="220"/>
      <c r="D54" s="220"/>
      <c r="E54" s="26">
        <f ca="1">IFERROR(E14*4/E21,"NA")</f>
        <v>1.2440734557595994</v>
      </c>
      <c r="F54" s="10"/>
      <c r="G54" s="220" t="s">
        <v>153</v>
      </c>
      <c r="H54" s="220"/>
      <c r="I54" s="220"/>
      <c r="J54" s="213">
        <v>0</v>
      </c>
      <c r="K54" s="213"/>
      <c r="L54" s="213">
        <v>0</v>
      </c>
      <c r="M54" s="213"/>
      <c r="N54" s="213">
        <v>10</v>
      </c>
      <c r="O54" s="213"/>
      <c r="P54" s="225">
        <v>15</v>
      </c>
      <c r="Q54" s="213"/>
      <c r="R54" s="213">
        <v>164</v>
      </c>
      <c r="S54" s="226"/>
      <c r="T54" s="213">
        <f t="shared" si="23"/>
        <v>159</v>
      </c>
      <c r="U54" s="213"/>
      <c r="V54" s="10"/>
      <c r="W54" s="12" t="s">
        <v>154</v>
      </c>
      <c r="X54" s="38" t="s">
        <v>197</v>
      </c>
      <c r="Y54" s="16" t="s">
        <v>197</v>
      </c>
      <c r="Z54" s="30" t="str">
        <f t="shared" ca="1" si="75"/>
        <v xml:space="preserve">-       </v>
      </c>
      <c r="AA54" s="30" t="str">
        <f ca="1">IFERROR(Z54*Y54,"-       ")</f>
        <v xml:space="preserve">-       </v>
      </c>
    </row>
    <row r="55" spans="2:27" x14ac:dyDescent="0.35">
      <c r="B55" s="10"/>
      <c r="C55" s="10"/>
      <c r="D55" s="10"/>
      <c r="E55" s="10"/>
      <c r="F55" s="10"/>
      <c r="G55" s="220" t="s">
        <v>155</v>
      </c>
      <c r="H55" s="220"/>
      <c r="I55" s="220"/>
      <c r="J55" s="213">
        <f ca="1">IFERROR(J49+J51+J52+J53+J54," -        ")</f>
        <v>402.40800000000002</v>
      </c>
      <c r="K55" s="213"/>
      <c r="L55" s="213">
        <f t="shared" ref="L55" ca="1" si="77">IFERROR(L49+L51+L52+L53+L54," -        ")</f>
        <v>218.90250000000037</v>
      </c>
      <c r="M55" s="213"/>
      <c r="N55" s="213">
        <f t="shared" ref="N55" ca="1" si="78">IFERROR(N49+N51+N52+N53+N54," -        ")</f>
        <v>-210.76549999999978</v>
      </c>
      <c r="O55" s="213"/>
      <c r="P55" s="225">
        <f t="shared" ref="P55" ca="1" si="79">IFERROR(P49+P51+P52+P53+P54," -        ")</f>
        <v>-110.75249999999977</v>
      </c>
      <c r="Q55" s="213"/>
      <c r="R55" s="213">
        <f t="shared" ref="R55" ca="1" si="80">IFERROR(R49+R51+R52+R53+R54," -        ")</f>
        <v>-113.58700000000022</v>
      </c>
      <c r="S55" s="226"/>
      <c r="T55" s="213">
        <f t="shared" ca="1" si="23"/>
        <v>-213.60000000000019</v>
      </c>
      <c r="U55" s="213"/>
      <c r="V55" s="10"/>
      <c r="W55" s="12" t="s">
        <v>156</v>
      </c>
      <c r="X55" s="38" t="s">
        <v>197</v>
      </c>
      <c r="Y55" s="16" t="s">
        <v>197</v>
      </c>
      <c r="Z55" s="30" t="str">
        <f t="shared" ca="1" si="75"/>
        <v xml:space="preserve">-       </v>
      </c>
      <c r="AA55" s="30" t="str">
        <f t="shared" ca="1" si="76"/>
        <v xml:space="preserve">-       </v>
      </c>
    </row>
    <row r="56" spans="2:27" ht="15" thickBot="1" x14ac:dyDescent="0.4">
      <c r="B56" s="8" t="s">
        <v>157</v>
      </c>
      <c r="C56" s="9"/>
      <c r="D56" s="9"/>
      <c r="E56" s="9"/>
      <c r="F56" s="10"/>
      <c r="G56" s="220" t="s">
        <v>111</v>
      </c>
      <c r="H56" s="220"/>
      <c r="I56" s="220"/>
      <c r="J56" s="205">
        <f ca="1">IFERROR(J55/J13," -        ")</f>
        <v>5.0835490703694988E-2</v>
      </c>
      <c r="K56" s="205"/>
      <c r="L56" s="205">
        <f t="shared" ref="L56" ca="1" si="81">IFERROR(L55/L13," -        ")</f>
        <v>3.0602943091548429E-2</v>
      </c>
      <c r="M56" s="205"/>
      <c r="N56" s="205">
        <f t="shared" ref="N56" ca="1" si="82">IFERROR(N55/N13," -        ")</f>
        <v>-2.9450036046568543E-2</v>
      </c>
      <c r="O56" s="205"/>
      <c r="P56" s="216">
        <f t="shared" ref="P56" ca="1" si="83">IFERROR(P55/P13," -        ")</f>
        <v>-3.0802316170642306E-2</v>
      </c>
      <c r="Q56" s="205"/>
      <c r="R56" s="205">
        <f t="shared" ref="R56" ca="1" si="84">IFERROR(R55/R13," -        ")</f>
        <v>-3.4032900337956078E-2</v>
      </c>
      <c r="S56" s="217"/>
      <c r="T56" s="205">
        <f t="shared" ca="1" si="23"/>
        <v>-3.2680620213882322E-2</v>
      </c>
      <c r="U56" s="205"/>
      <c r="V56" s="10"/>
      <c r="W56" s="18" t="s">
        <v>158</v>
      </c>
      <c r="X56" s="45" t="str">
        <f>IFERROR(X51+X52+X53+X54+X55,"-       ")</f>
        <v xml:space="preserve">-       </v>
      </c>
      <c r="Y56" s="45"/>
      <c r="Z56" s="45" t="str">
        <f ca="1">IFERROR(Z51+Z52+Z53+Z54+Z55,"-       ")</f>
        <v xml:space="preserve">-       </v>
      </c>
      <c r="AA56" s="45" t="str">
        <f ca="1">IF(SUM(AA51:AA55)=0,"-       ",SUM(AA51:AA55))</f>
        <v xml:space="preserve">-       </v>
      </c>
    </row>
    <row r="57" spans="2:27" ht="3.5" customHeight="1" x14ac:dyDescent="0.35">
      <c r="B57" s="2"/>
      <c r="C57" s="2"/>
      <c r="D57" s="2"/>
      <c r="E57" s="2"/>
      <c r="F57" s="10"/>
      <c r="G57" s="220"/>
      <c r="H57" s="220"/>
      <c r="I57" s="220"/>
      <c r="J57" s="224"/>
      <c r="K57" s="224"/>
      <c r="L57" s="224"/>
      <c r="M57" s="224"/>
      <c r="N57" s="224"/>
      <c r="O57" s="224"/>
      <c r="P57" s="227"/>
      <c r="Q57" s="224"/>
      <c r="R57" s="224"/>
      <c r="S57" s="228"/>
      <c r="T57" s="224">
        <f t="shared" si="23"/>
        <v>0</v>
      </c>
      <c r="U57" s="224"/>
      <c r="V57" s="10"/>
      <c r="W57" s="12"/>
      <c r="X57" s="12"/>
      <c r="Y57" s="12"/>
      <c r="Z57" s="12"/>
      <c r="AA57" s="12"/>
    </row>
    <row r="58" spans="2:27" x14ac:dyDescent="0.35">
      <c r="B58" s="220" t="s">
        <v>198</v>
      </c>
      <c r="C58" s="220"/>
      <c r="D58" s="220"/>
      <c r="E58" s="26">
        <f ca="1">IFERROR(AA28/(E27*E21),"-       ")</f>
        <v>0.46499321271571786</v>
      </c>
      <c r="F58" s="10"/>
      <c r="G58" s="220"/>
      <c r="H58" s="220"/>
      <c r="I58" s="220"/>
      <c r="J58" s="213"/>
      <c r="K58" s="213"/>
      <c r="L58" s="213"/>
      <c r="M58" s="213"/>
      <c r="N58" s="213"/>
      <c r="O58" s="213"/>
      <c r="P58" s="225"/>
      <c r="Q58" s="213"/>
      <c r="R58" s="213"/>
      <c r="S58" s="226"/>
      <c r="T58" s="213"/>
      <c r="U58" s="213"/>
      <c r="V58" s="10"/>
      <c r="W58" s="18" t="s">
        <v>160</v>
      </c>
      <c r="X58" s="12"/>
      <c r="Y58" s="12"/>
      <c r="Z58" s="12"/>
      <c r="AA58" s="12"/>
    </row>
    <row r="59" spans="2:27" ht="15" thickBot="1" x14ac:dyDescent="0.4">
      <c r="B59" s="220" t="s">
        <v>161</v>
      </c>
      <c r="C59" s="220"/>
      <c r="D59" s="220"/>
      <c r="E59" s="37">
        <f ca="1">IFERROR((AA28+AA24)/T46,"-       ")</f>
        <v>2.5538971807628528</v>
      </c>
      <c r="F59" s="10"/>
      <c r="G59" s="220" t="s">
        <v>162</v>
      </c>
      <c r="H59" s="220"/>
      <c r="I59" s="220"/>
      <c r="J59" s="213">
        <f ca="1">IFERROR(J55/J28," -        ")</f>
        <v>0.45728181818181818</v>
      </c>
      <c r="K59" s="213"/>
      <c r="L59" s="213">
        <f ca="1">IFERROR(L55/L28," -        ")</f>
        <v>0.25813974056603817</v>
      </c>
      <c r="M59" s="213"/>
      <c r="N59" s="213">
        <f ca="1">IFERROR(N55/N28," -        ")</f>
        <v>-0.26917688378033178</v>
      </c>
      <c r="O59" s="213"/>
      <c r="P59" s="223">
        <f ca="1">IFERROR(P55/P28," -        ")</f>
        <v>-0.1414463601532564</v>
      </c>
      <c r="Q59" s="218"/>
      <c r="R59" s="218">
        <f ca="1">IFERROR(R55/R28," -        ")</f>
        <v>-0.12083723404255342</v>
      </c>
      <c r="S59" s="219"/>
      <c r="T59" s="213">
        <f t="shared" ca="1" si="23"/>
        <v>-0.2485677576696288</v>
      </c>
      <c r="U59" s="213"/>
      <c r="V59" s="10"/>
      <c r="W59" s="12"/>
      <c r="X59" s="33"/>
      <c r="Y59" s="33" t="s">
        <v>163</v>
      </c>
      <c r="Z59" s="33" t="s">
        <v>163</v>
      </c>
      <c r="AA59" s="33" t="s">
        <v>164</v>
      </c>
    </row>
    <row r="60" spans="2:27" x14ac:dyDescent="0.35">
      <c r="B60" s="220" t="s">
        <v>165</v>
      </c>
      <c r="C60" s="220"/>
      <c r="D60" s="220"/>
      <c r="E60" s="37">
        <f ca="1">IFERROR((AA28+AA24-AA11)/T46,"-       ")</f>
        <v>2.2189054726368163</v>
      </c>
      <c r="F60" s="10"/>
      <c r="G60" s="10"/>
      <c r="H60" s="10"/>
      <c r="I60" s="10"/>
      <c r="J60" s="10"/>
      <c r="K60" s="10"/>
      <c r="L60" s="10"/>
      <c r="M60" s="10"/>
      <c r="N60" s="10"/>
      <c r="O60" s="10"/>
      <c r="P60" s="10"/>
      <c r="Q60" s="10"/>
      <c r="R60" s="10"/>
      <c r="S60" s="10"/>
      <c r="T60" s="10"/>
      <c r="U60" s="10"/>
      <c r="V60" s="10"/>
      <c r="W60" s="12"/>
      <c r="X60" s="33" t="s">
        <v>166</v>
      </c>
      <c r="Y60" s="33" t="s">
        <v>142</v>
      </c>
      <c r="Z60" s="33" t="s">
        <v>167</v>
      </c>
      <c r="AA60" s="33" t="s">
        <v>141</v>
      </c>
    </row>
    <row r="61" spans="2:27" x14ac:dyDescent="0.35">
      <c r="B61" s="220" t="s">
        <v>168</v>
      </c>
      <c r="C61" s="220"/>
      <c r="D61" s="220"/>
      <c r="E61" s="37">
        <f ca="1">IFERROR(T46/T19,"-       ")</f>
        <v>2.5230125523012545</v>
      </c>
      <c r="F61" s="10"/>
      <c r="G61" s="10"/>
      <c r="H61" s="10"/>
      <c r="I61" s="10"/>
      <c r="J61" s="10"/>
      <c r="K61" s="10"/>
      <c r="L61" s="10"/>
      <c r="M61" s="10"/>
      <c r="N61" s="10"/>
      <c r="O61" s="10"/>
      <c r="P61" s="10"/>
      <c r="Q61" s="10"/>
      <c r="R61" s="10"/>
      <c r="S61" s="10"/>
      <c r="T61" s="10"/>
      <c r="U61" s="10"/>
      <c r="V61" s="10"/>
      <c r="W61" s="12" t="s">
        <v>169</v>
      </c>
      <c r="X61" s="38" t="s">
        <v>197</v>
      </c>
      <c r="Y61" s="38" t="s">
        <v>197</v>
      </c>
      <c r="Z61" s="38" t="s">
        <v>197</v>
      </c>
      <c r="AA61" s="30" t="str">
        <f>IFERROR(X61/Y61*Z61,"-       ")</f>
        <v xml:space="preserve">-       </v>
      </c>
    </row>
    <row r="62" spans="2:27" ht="15" thickBot="1" x14ac:dyDescent="0.4">
      <c r="B62" s="220" t="s">
        <v>170</v>
      </c>
      <c r="C62" s="220"/>
      <c r="D62" s="220"/>
      <c r="E62" s="37">
        <f ca="1">IFERROR((T46-T65)/T19,"-       ")</f>
        <v>0.9330543933054386</v>
      </c>
      <c r="F62" s="10"/>
      <c r="G62" s="1" t="s">
        <v>171</v>
      </c>
      <c r="H62" s="2"/>
      <c r="I62" s="2"/>
      <c r="J62" s="2"/>
      <c r="K62" s="2"/>
      <c r="L62" s="2"/>
      <c r="M62" s="2"/>
      <c r="N62" s="2"/>
      <c r="O62" s="2"/>
      <c r="P62" s="2"/>
      <c r="Q62" s="2"/>
      <c r="R62" s="2"/>
      <c r="S62" s="2"/>
      <c r="T62" s="2"/>
      <c r="U62" s="2"/>
      <c r="V62" s="10"/>
      <c r="W62" s="12" t="s">
        <v>172</v>
      </c>
      <c r="X62" s="38" t="s">
        <v>197</v>
      </c>
      <c r="Y62" s="38" t="s">
        <v>197</v>
      </c>
      <c r="Z62" s="38" t="s">
        <v>197</v>
      </c>
      <c r="AA62" s="30" t="str">
        <f t="shared" ref="AA62:AA65" si="85">IFERROR(X62/Y62*Z62,"-       ")</f>
        <v xml:space="preserve">-       </v>
      </c>
    </row>
    <row r="63" spans="2:27" x14ac:dyDescent="0.35">
      <c r="B63" s="220" t="s">
        <v>173</v>
      </c>
      <c r="C63" s="220"/>
      <c r="D63" s="220"/>
      <c r="E63" s="37">
        <f ca="1">IFERROR(T42/T19,"-       ")</f>
        <v>1.8493723849372374</v>
      </c>
      <c r="F63" s="10"/>
      <c r="G63" s="12" t="s">
        <v>130</v>
      </c>
      <c r="H63" s="12"/>
      <c r="I63" s="12"/>
      <c r="J63" s="209">
        <f ca="1">165*E14</f>
        <v>153.69749999999999</v>
      </c>
      <c r="K63" s="210"/>
      <c r="L63" s="209">
        <f ca="1">164*E14</f>
        <v>152.76599999999999</v>
      </c>
      <c r="M63" s="210"/>
      <c r="N63" s="209">
        <f ca="1">173*E14</f>
        <v>161.14949999999999</v>
      </c>
      <c r="O63" s="210"/>
      <c r="P63" s="221">
        <f ca="1">191*E14</f>
        <v>177.91649999999998</v>
      </c>
      <c r="Q63" s="222"/>
      <c r="R63" s="214">
        <f ca="1">179*E14</f>
        <v>166.73849999999999</v>
      </c>
      <c r="S63" s="215"/>
      <c r="T63" s="213">
        <f t="shared" ref="T63:T66" ca="1" si="86">IFERROR(N63+R63-P63," -        ")</f>
        <v>149.97149999999999</v>
      </c>
      <c r="U63" s="213"/>
      <c r="V63" s="10"/>
      <c r="W63" s="12" t="s">
        <v>174</v>
      </c>
      <c r="X63" s="38" t="s">
        <v>197</v>
      </c>
      <c r="Y63" s="38" t="s">
        <v>197</v>
      </c>
      <c r="Z63" s="38" t="s">
        <v>197</v>
      </c>
      <c r="AA63" s="30" t="str">
        <f t="shared" si="85"/>
        <v xml:space="preserve">-       </v>
      </c>
    </row>
    <row r="64" spans="2:27" x14ac:dyDescent="0.35">
      <c r="B64" s="10"/>
      <c r="C64" s="10"/>
      <c r="D64" s="10"/>
      <c r="E64" s="10"/>
      <c r="F64" s="10"/>
      <c r="G64" s="12" t="s">
        <v>175</v>
      </c>
      <c r="H64" s="12"/>
      <c r="I64" s="12"/>
      <c r="J64" s="205">
        <f ca="1">IFERROR(J63/J13," -        ")</f>
        <v>1.9416333254883501E-2</v>
      </c>
      <c r="K64" s="205"/>
      <c r="L64" s="205">
        <f t="shared" ref="L64" ca="1" si="87">IFERROR(L63/L13," -        ")</f>
        <v>2.1356947519208226E-2</v>
      </c>
      <c r="M64" s="205"/>
      <c r="N64" s="205">
        <f t="shared" ref="N64" ca="1" si="88">IFERROR(N63/N13," -        ")</f>
        <v>2.2517245867499674E-2</v>
      </c>
      <c r="O64" s="205"/>
      <c r="P64" s="216">
        <f t="shared" ref="P64" ca="1" si="89">IFERROR(P63/P13," -        ")</f>
        <v>4.9481865284974086E-2</v>
      </c>
      <c r="Q64" s="205"/>
      <c r="R64" s="205">
        <f t="shared" ref="R64" ca="1" si="90">IFERROR(R63/R13," -        ")</f>
        <v>4.9958135640524697E-2</v>
      </c>
      <c r="S64" s="217"/>
      <c r="T64" s="205">
        <f t="shared" ca="1" si="86"/>
        <v>2.2993516223050292E-2</v>
      </c>
      <c r="U64" s="205"/>
      <c r="V64" s="10"/>
      <c r="W64" s="12" t="s">
        <v>176</v>
      </c>
      <c r="X64" s="38" t="s">
        <v>197</v>
      </c>
      <c r="Y64" s="38" t="s">
        <v>197</v>
      </c>
      <c r="Z64" s="38" t="s">
        <v>197</v>
      </c>
      <c r="AA64" s="30" t="str">
        <f t="shared" si="85"/>
        <v xml:space="preserve">-       </v>
      </c>
    </row>
    <row r="65" spans="2:27" x14ac:dyDescent="0.35">
      <c r="B65" s="1" t="s">
        <v>177</v>
      </c>
      <c r="C65" s="2"/>
      <c r="D65" s="2"/>
      <c r="E65" s="2"/>
      <c r="F65" s="10"/>
      <c r="G65" s="12" t="s">
        <v>178</v>
      </c>
      <c r="H65" s="12"/>
      <c r="I65" s="12"/>
      <c r="J65" s="209">
        <f ca="1">399*E14</f>
        <v>371.66849999999999</v>
      </c>
      <c r="K65" s="210"/>
      <c r="L65" s="209">
        <f ca="1">445*E14</f>
        <v>414.51749999999998</v>
      </c>
      <c r="M65" s="210"/>
      <c r="N65" s="209">
        <f ca="1">402*E14</f>
        <v>374.46300000000002</v>
      </c>
      <c r="O65" s="210"/>
      <c r="P65" s="211">
        <f ca="1">183*E14</f>
        <v>170.46449999999999</v>
      </c>
      <c r="Q65" s="210"/>
      <c r="R65" s="209">
        <f ca="1">161*E14</f>
        <v>149.97149999999999</v>
      </c>
      <c r="S65" s="212"/>
      <c r="T65" s="213">
        <f t="shared" ca="1" si="86"/>
        <v>353.97000000000008</v>
      </c>
      <c r="U65" s="213"/>
      <c r="V65" s="10"/>
      <c r="W65" s="12" t="s">
        <v>179</v>
      </c>
      <c r="X65" s="38" t="s">
        <v>197</v>
      </c>
      <c r="Y65" s="38" t="s">
        <v>197</v>
      </c>
      <c r="Z65" s="38" t="s">
        <v>197</v>
      </c>
      <c r="AA65" s="30" t="str">
        <f t="shared" si="85"/>
        <v xml:space="preserve">-       </v>
      </c>
    </row>
    <row r="66" spans="2:27" ht="15" thickBot="1" x14ac:dyDescent="0.4">
      <c r="B66" s="12"/>
      <c r="C66" s="13" t="s">
        <v>8</v>
      </c>
      <c r="D66" s="13" t="s">
        <v>180</v>
      </c>
      <c r="E66" s="13" t="s">
        <v>181</v>
      </c>
      <c r="F66" s="10"/>
      <c r="G66" s="12" t="s">
        <v>175</v>
      </c>
      <c r="H66" s="12"/>
      <c r="I66" s="12"/>
      <c r="J66" s="205">
        <f ca="1">IFERROR(J65/J13," -        ")</f>
        <v>4.6952224052718289E-2</v>
      </c>
      <c r="K66" s="205"/>
      <c r="L66" s="205">
        <f ca="1">IFERROR(L65/L13," -        ")</f>
        <v>5.7950253939315008E-2</v>
      </c>
      <c r="M66" s="205"/>
      <c r="N66" s="205">
        <f t="shared" ref="N66" ca="1" si="91">IFERROR(N65/N13," -        ")</f>
        <v>5.232331120655994E-2</v>
      </c>
      <c r="O66" s="205"/>
      <c r="P66" s="206">
        <f t="shared" ref="P66" ca="1" si="92">IFERROR(P65/P13," -        ")</f>
        <v>4.740932642487046E-2</v>
      </c>
      <c r="Q66" s="207"/>
      <c r="R66" s="207">
        <f t="shared" ref="R66" ca="1" si="93">IFERROR(R65/R13," -        ")</f>
        <v>4.4934412503488695E-2</v>
      </c>
      <c r="S66" s="208"/>
      <c r="T66" s="205">
        <f t="shared" ca="1" si="86"/>
        <v>4.9848397285178175E-2</v>
      </c>
      <c r="U66" s="205"/>
      <c r="V66" s="10"/>
      <c r="W66" s="12" t="s">
        <v>182</v>
      </c>
      <c r="X66" s="30"/>
      <c r="Y66" s="30"/>
      <c r="Z66" s="30"/>
      <c r="AA66" s="30" t="str">
        <f>IFERROR(AA61+AA62+AA65+AA64+AA63,"-       ")</f>
        <v xml:space="preserve">-       </v>
      </c>
    </row>
    <row r="67" spans="2:27" x14ac:dyDescent="0.35">
      <c r="B67" s="18" t="s">
        <v>183</v>
      </c>
      <c r="C67" s="25"/>
      <c r="D67" s="25"/>
      <c r="E67" s="25"/>
      <c r="F67" s="10"/>
      <c r="G67" s="12"/>
      <c r="H67" s="12"/>
      <c r="I67" s="12"/>
      <c r="J67" s="25"/>
      <c r="K67" s="25"/>
      <c r="L67" s="25"/>
      <c r="M67" s="25"/>
      <c r="N67" s="25"/>
      <c r="O67" s="25"/>
      <c r="P67" s="39"/>
      <c r="Q67" s="39"/>
      <c r="R67" s="39"/>
      <c r="S67" s="39"/>
      <c r="T67" s="25"/>
      <c r="U67" s="25"/>
      <c r="V67" s="10"/>
      <c r="W67" s="12"/>
      <c r="X67" s="12"/>
      <c r="Y67" s="12"/>
      <c r="Z67" s="12"/>
      <c r="AA67" s="12"/>
    </row>
    <row r="68" spans="2:27" x14ac:dyDescent="0.35">
      <c r="B68" s="12" t="s">
        <v>184</v>
      </c>
      <c r="C68" s="26">
        <f ca="1">IFERROR(N13/L13-1,"-       ")</f>
        <v>5.2090115900504941E-4</v>
      </c>
      <c r="D68" s="26">
        <f ca="1">IFERROR(N46/L46-1,"-       ")</f>
        <v>-0.2583333333333333</v>
      </c>
      <c r="E68" s="26">
        <f ca="1">IFERROR(N59/L59-1,"-       ")</f>
        <v>-2.0427564666722446</v>
      </c>
      <c r="F68" s="10"/>
      <c r="G68" s="10"/>
      <c r="H68" s="10"/>
      <c r="I68" s="10"/>
      <c r="J68" s="10"/>
      <c r="K68" s="10"/>
      <c r="L68" s="10"/>
      <c r="M68" s="10"/>
      <c r="N68" s="10"/>
      <c r="O68" s="10"/>
      <c r="P68" s="10"/>
      <c r="Q68" s="10"/>
      <c r="R68" s="10"/>
      <c r="S68" s="10"/>
      <c r="T68" s="10"/>
      <c r="U68" s="10"/>
      <c r="V68" s="10"/>
      <c r="W68" s="10"/>
      <c r="X68" s="10"/>
      <c r="Y68" s="10"/>
      <c r="Z68" s="10"/>
      <c r="AA68" s="10"/>
    </row>
    <row r="69" spans="2:27" x14ac:dyDescent="0.35">
      <c r="B69" s="12" t="s">
        <v>185</v>
      </c>
      <c r="C69" s="26">
        <f ca="1">IFERROR((N13/J13)^0.5-1,"-       ")</f>
        <v>-4.9160854194793102E-2</v>
      </c>
      <c r="D69" s="26">
        <f ca="1">IFERROR((N46/J46)^0.5-1,"-       ")</f>
        <v>-0.12265757555574108</v>
      </c>
      <c r="E69" s="26" t="str">
        <f ca="1">IFERROR((N59/J59)^0.5-1,"-       ")</f>
        <v xml:space="preserve">-       </v>
      </c>
      <c r="F69" s="10"/>
      <c r="G69" s="1" t="s">
        <v>186</v>
      </c>
      <c r="H69" s="2"/>
      <c r="I69" s="2"/>
      <c r="J69" s="2"/>
      <c r="K69" s="2"/>
      <c r="L69" s="2"/>
      <c r="M69" s="2"/>
      <c r="N69" s="2"/>
      <c r="O69" s="2"/>
      <c r="P69" s="2"/>
      <c r="Q69" s="2"/>
      <c r="R69" s="2"/>
      <c r="S69" s="2"/>
      <c r="T69" s="2"/>
      <c r="U69" s="2"/>
      <c r="V69" s="2"/>
      <c r="W69" s="2"/>
      <c r="X69" s="2"/>
      <c r="Y69" s="2"/>
      <c r="Z69" s="2"/>
      <c r="AA69" s="2"/>
    </row>
    <row r="70" spans="2:27" x14ac:dyDescent="0.35">
      <c r="B70" s="18" t="s">
        <v>187</v>
      </c>
      <c r="C70" s="26"/>
      <c r="D70" s="26"/>
      <c r="E70" s="26"/>
      <c r="F70" s="10"/>
      <c r="G70" s="34" t="s">
        <v>208</v>
      </c>
      <c r="H70" s="34"/>
      <c r="I70" s="34"/>
      <c r="J70" s="34"/>
      <c r="K70" s="34"/>
      <c r="L70" s="34"/>
      <c r="M70" s="34"/>
      <c r="N70" s="34"/>
      <c r="O70" s="34"/>
      <c r="P70" s="34"/>
      <c r="Q70" s="34"/>
      <c r="R70" s="34"/>
      <c r="S70" s="34"/>
      <c r="T70" s="34"/>
      <c r="U70" s="34"/>
      <c r="V70" s="34"/>
      <c r="W70" s="34"/>
      <c r="X70" s="34"/>
      <c r="Y70" s="34"/>
      <c r="Z70" s="34"/>
      <c r="AA70" s="34"/>
    </row>
    <row r="71" spans="2:27" x14ac:dyDescent="0.35">
      <c r="B71" s="12" t="s">
        <v>184</v>
      </c>
      <c r="C71" s="26">
        <f ca="1">IFERROR(D41/$N$13-1,"-       ")</f>
        <v>-2.0079999999999987E-2</v>
      </c>
      <c r="D71" s="26">
        <f ca="1">IFERROR(D43/N46-1,"-       ")</f>
        <v>3.9080000000000004E-2</v>
      </c>
      <c r="E71" s="26">
        <f ca="1">IFERROR(D47/N59-1,"-       ")</f>
        <v>-0.31928000000000001</v>
      </c>
      <c r="F71" s="10"/>
      <c r="G71" s="34" t="s">
        <v>209</v>
      </c>
      <c r="H71" s="34"/>
      <c r="I71" s="34"/>
      <c r="J71" s="34"/>
      <c r="K71" s="34"/>
      <c r="L71" s="34"/>
      <c r="M71" s="34"/>
      <c r="N71" s="34"/>
      <c r="O71" s="34"/>
      <c r="P71" s="34"/>
      <c r="Q71" s="34"/>
      <c r="R71" s="34"/>
      <c r="S71" s="34"/>
      <c r="T71" s="34"/>
      <c r="U71" s="34"/>
      <c r="V71" s="34"/>
      <c r="W71" s="34"/>
      <c r="X71" s="34"/>
      <c r="Y71" s="34"/>
      <c r="Z71" s="34"/>
      <c r="AA71" s="34"/>
    </row>
    <row r="72" spans="2:27" x14ac:dyDescent="0.35">
      <c r="B72" s="12" t="s">
        <v>185</v>
      </c>
      <c r="C72" s="26">
        <f ca="1">IFERROR((E41/$N$13)^0.5-1,"-       ")</f>
        <v>-2.0079999999999987E-2</v>
      </c>
      <c r="D72" s="26">
        <f ca="1">IFERROR((E43/$N$46)^0.5-1,"-       ")</f>
        <v>3.9080000000000004E-2</v>
      </c>
      <c r="E72" s="26">
        <f ca="1">IFERROR((E47/$N$59)^0.5-1,"-       ")</f>
        <v>-0.31928000000000001</v>
      </c>
      <c r="F72" s="10"/>
      <c r="G72" s="34" t="s">
        <v>210</v>
      </c>
      <c r="H72" s="34"/>
      <c r="I72" s="34"/>
      <c r="J72" s="34"/>
      <c r="K72" s="34"/>
      <c r="L72" s="34"/>
      <c r="M72" s="34"/>
      <c r="N72" s="34"/>
      <c r="O72" s="34"/>
      <c r="P72" s="34"/>
      <c r="Q72" s="34"/>
      <c r="R72" s="34"/>
      <c r="S72" s="34"/>
      <c r="T72" s="34"/>
      <c r="U72" s="34"/>
      <c r="V72" s="34"/>
      <c r="W72" s="34"/>
      <c r="X72" s="34"/>
      <c r="Y72" s="34"/>
      <c r="Z72" s="34"/>
      <c r="AA72" s="34"/>
    </row>
    <row r="73" spans="2:27" x14ac:dyDescent="0.35">
      <c r="B73" s="204" t="s">
        <v>191</v>
      </c>
      <c r="C73" s="204"/>
      <c r="D73" s="204"/>
      <c r="E73" s="40">
        <v>0.57599999999999996</v>
      </c>
      <c r="F73" s="10"/>
      <c r="G73" s="34" t="s">
        <v>211</v>
      </c>
      <c r="H73" s="34"/>
      <c r="I73" s="34"/>
      <c r="J73" s="34"/>
      <c r="K73" s="34"/>
      <c r="L73" s="34"/>
      <c r="M73" s="34"/>
      <c r="N73" s="34"/>
      <c r="O73" s="34"/>
      <c r="P73" s="34"/>
      <c r="Q73" s="34"/>
      <c r="R73" s="34"/>
      <c r="S73" s="34"/>
      <c r="T73" s="34"/>
      <c r="U73" s="34"/>
      <c r="V73" s="34"/>
      <c r="W73" s="34"/>
      <c r="X73" s="34"/>
      <c r="Y73" s="34"/>
      <c r="Z73" s="34"/>
      <c r="AA73" s="34"/>
    </row>
    <row r="74" spans="2:27" x14ac:dyDescent="0.35"/>
  </sheetData>
  <mergeCells count="416">
    <mergeCell ref="B11:C11"/>
    <mergeCell ref="G11:I11"/>
    <mergeCell ref="P11:Q11"/>
    <mergeCell ref="R11:S11"/>
    <mergeCell ref="T11:U11"/>
    <mergeCell ref="W11:Y11"/>
    <mergeCell ref="B2:Q3"/>
    <mergeCell ref="W3:AA5"/>
    <mergeCell ref="B4:J4"/>
    <mergeCell ref="B10:C10"/>
    <mergeCell ref="G10:I10"/>
    <mergeCell ref="J10:O11"/>
    <mergeCell ref="P10:Q10"/>
    <mergeCell ref="R10:S10"/>
    <mergeCell ref="T10:U10"/>
    <mergeCell ref="W10:Y10"/>
    <mergeCell ref="R12:S12"/>
    <mergeCell ref="T12:U12"/>
    <mergeCell ref="W12:Y12"/>
    <mergeCell ref="B13:C13"/>
    <mergeCell ref="G13:I13"/>
    <mergeCell ref="J13:K13"/>
    <mergeCell ref="L13:M13"/>
    <mergeCell ref="N13:O13"/>
    <mergeCell ref="P13:Q13"/>
    <mergeCell ref="R13:S13"/>
    <mergeCell ref="B12:C12"/>
    <mergeCell ref="G12:I12"/>
    <mergeCell ref="J12:K12"/>
    <mergeCell ref="L12:M12"/>
    <mergeCell ref="N12:O12"/>
    <mergeCell ref="P12:Q12"/>
    <mergeCell ref="T13:U13"/>
    <mergeCell ref="W13:Y13"/>
    <mergeCell ref="B14:C14"/>
    <mergeCell ref="G14:I14"/>
    <mergeCell ref="J14:K14"/>
    <mergeCell ref="L14:M14"/>
    <mergeCell ref="N14:O14"/>
    <mergeCell ref="P14:Q14"/>
    <mergeCell ref="R14:S14"/>
    <mergeCell ref="T14:U14"/>
    <mergeCell ref="W14:Y14"/>
    <mergeCell ref="B15:C15"/>
    <mergeCell ref="G15:I15"/>
    <mergeCell ref="J15:K15"/>
    <mergeCell ref="L15:M15"/>
    <mergeCell ref="N15:O15"/>
    <mergeCell ref="P15:Q15"/>
    <mergeCell ref="R15:S15"/>
    <mergeCell ref="T15:U15"/>
    <mergeCell ref="W15:Y15"/>
    <mergeCell ref="R16:S16"/>
    <mergeCell ref="T16:U16"/>
    <mergeCell ref="W16:Y16"/>
    <mergeCell ref="B17:C17"/>
    <mergeCell ref="G17:I17"/>
    <mergeCell ref="J17:K17"/>
    <mergeCell ref="L17:M17"/>
    <mergeCell ref="N17:O17"/>
    <mergeCell ref="P17:Q17"/>
    <mergeCell ref="R17:S17"/>
    <mergeCell ref="B16:C16"/>
    <mergeCell ref="G16:I16"/>
    <mergeCell ref="J16:K16"/>
    <mergeCell ref="L16:M16"/>
    <mergeCell ref="N16:O16"/>
    <mergeCell ref="P16:Q16"/>
    <mergeCell ref="T17:U17"/>
    <mergeCell ref="W17:Y17"/>
    <mergeCell ref="G18:I18"/>
    <mergeCell ref="J18:K18"/>
    <mergeCell ref="L18:M18"/>
    <mergeCell ref="N18:O18"/>
    <mergeCell ref="P18:Q18"/>
    <mergeCell ref="R18:S18"/>
    <mergeCell ref="T18:U18"/>
    <mergeCell ref="W18:Y18"/>
    <mergeCell ref="T19:U19"/>
    <mergeCell ref="W19:Y19"/>
    <mergeCell ref="G20:I20"/>
    <mergeCell ref="J20:K20"/>
    <mergeCell ref="L20:M20"/>
    <mergeCell ref="N20:O20"/>
    <mergeCell ref="P20:Q20"/>
    <mergeCell ref="R20:S20"/>
    <mergeCell ref="T20:U20"/>
    <mergeCell ref="W20:X20"/>
    <mergeCell ref="G19:I19"/>
    <mergeCell ref="J19:K19"/>
    <mergeCell ref="L19:M19"/>
    <mergeCell ref="N19:O19"/>
    <mergeCell ref="P19:Q19"/>
    <mergeCell ref="R19:S19"/>
    <mergeCell ref="R21:S21"/>
    <mergeCell ref="T21:U21"/>
    <mergeCell ref="W21:Y21"/>
    <mergeCell ref="B22:C22"/>
    <mergeCell ref="G22:I22"/>
    <mergeCell ref="J22:K22"/>
    <mergeCell ref="L22:M22"/>
    <mergeCell ref="N22:O22"/>
    <mergeCell ref="P22:Q22"/>
    <mergeCell ref="R22:S22"/>
    <mergeCell ref="B21:C21"/>
    <mergeCell ref="G21:I21"/>
    <mergeCell ref="J21:K21"/>
    <mergeCell ref="L21:M21"/>
    <mergeCell ref="N21:O21"/>
    <mergeCell ref="P21:Q21"/>
    <mergeCell ref="T22:U22"/>
    <mergeCell ref="W22:Y22"/>
    <mergeCell ref="B23:C23"/>
    <mergeCell ref="G23:I23"/>
    <mergeCell ref="J23:K23"/>
    <mergeCell ref="L23:M23"/>
    <mergeCell ref="N23:O23"/>
    <mergeCell ref="P23:Q23"/>
    <mergeCell ref="R23:S23"/>
    <mergeCell ref="T23:U23"/>
    <mergeCell ref="W23:Y23"/>
    <mergeCell ref="B24:C24"/>
    <mergeCell ref="G24:I24"/>
    <mergeCell ref="J24:K24"/>
    <mergeCell ref="L24:M24"/>
    <mergeCell ref="N24:O24"/>
    <mergeCell ref="P24:Q24"/>
    <mergeCell ref="R24:S24"/>
    <mergeCell ref="T24:U24"/>
    <mergeCell ref="W24:Y24"/>
    <mergeCell ref="R25:S25"/>
    <mergeCell ref="T25:U25"/>
    <mergeCell ref="W25:Y25"/>
    <mergeCell ref="B26:C26"/>
    <mergeCell ref="G26:I26"/>
    <mergeCell ref="J26:K26"/>
    <mergeCell ref="L26:M26"/>
    <mergeCell ref="N26:O26"/>
    <mergeCell ref="P26:Q26"/>
    <mergeCell ref="R26:S26"/>
    <mergeCell ref="B25:C25"/>
    <mergeCell ref="G25:I25"/>
    <mergeCell ref="J25:K25"/>
    <mergeCell ref="L25:M25"/>
    <mergeCell ref="N25:O25"/>
    <mergeCell ref="P25:Q25"/>
    <mergeCell ref="T26:U26"/>
    <mergeCell ref="W26:Y26"/>
    <mergeCell ref="G27:I27"/>
    <mergeCell ref="J27:K27"/>
    <mergeCell ref="L27:M27"/>
    <mergeCell ref="N27:O27"/>
    <mergeCell ref="P27:Q27"/>
    <mergeCell ref="R27:S27"/>
    <mergeCell ref="T27:U27"/>
    <mergeCell ref="W27:Y27"/>
    <mergeCell ref="T29:U29"/>
    <mergeCell ref="W29:Y29"/>
    <mergeCell ref="B30:C30"/>
    <mergeCell ref="W30:Y30"/>
    <mergeCell ref="B31:C31"/>
    <mergeCell ref="W31:Y31"/>
    <mergeCell ref="R28:S28"/>
    <mergeCell ref="T28:U28"/>
    <mergeCell ref="W28:Y28"/>
    <mergeCell ref="B29:C29"/>
    <mergeCell ref="G29:I29"/>
    <mergeCell ref="J29:K29"/>
    <mergeCell ref="L29:M29"/>
    <mergeCell ref="N29:O29"/>
    <mergeCell ref="P29:Q29"/>
    <mergeCell ref="R29:S29"/>
    <mergeCell ref="B28:C28"/>
    <mergeCell ref="G28:I28"/>
    <mergeCell ref="J28:K28"/>
    <mergeCell ref="L28:M28"/>
    <mergeCell ref="N28:O28"/>
    <mergeCell ref="P28:Q28"/>
    <mergeCell ref="B34:C34"/>
    <mergeCell ref="G34:I34"/>
    <mergeCell ref="J34:K34"/>
    <mergeCell ref="L34:M34"/>
    <mergeCell ref="N34:O34"/>
    <mergeCell ref="P34:Q34"/>
    <mergeCell ref="B32:C32"/>
    <mergeCell ref="W32:Y32"/>
    <mergeCell ref="G33:I33"/>
    <mergeCell ref="J33:K33"/>
    <mergeCell ref="L33:M33"/>
    <mergeCell ref="N33:O33"/>
    <mergeCell ref="P33:Q33"/>
    <mergeCell ref="R33:S33"/>
    <mergeCell ref="T33:U33"/>
    <mergeCell ref="W33:Y33"/>
    <mergeCell ref="R34:S34"/>
    <mergeCell ref="T34:U34"/>
    <mergeCell ref="W34:Y34"/>
    <mergeCell ref="G35:I35"/>
    <mergeCell ref="J35:K35"/>
    <mergeCell ref="L35:M35"/>
    <mergeCell ref="N35:O35"/>
    <mergeCell ref="P35:Q35"/>
    <mergeCell ref="R35:S35"/>
    <mergeCell ref="T35:U35"/>
    <mergeCell ref="W35:Y35"/>
    <mergeCell ref="G36:I36"/>
    <mergeCell ref="J36:K36"/>
    <mergeCell ref="L36:M36"/>
    <mergeCell ref="N36:O36"/>
    <mergeCell ref="P36:Q36"/>
    <mergeCell ref="R36:S36"/>
    <mergeCell ref="T36:U36"/>
    <mergeCell ref="W36:Y36"/>
    <mergeCell ref="T37:U37"/>
    <mergeCell ref="G38:I38"/>
    <mergeCell ref="J38:K38"/>
    <mergeCell ref="L38:M38"/>
    <mergeCell ref="N38:O38"/>
    <mergeCell ref="P38:Q38"/>
    <mergeCell ref="R38:S38"/>
    <mergeCell ref="T38:U38"/>
    <mergeCell ref="G37:I37"/>
    <mergeCell ref="J37:K37"/>
    <mergeCell ref="L37:M37"/>
    <mergeCell ref="N37:O37"/>
    <mergeCell ref="P37:Q37"/>
    <mergeCell ref="R37:S37"/>
    <mergeCell ref="T39:U39"/>
    <mergeCell ref="G40:I40"/>
    <mergeCell ref="J40:K40"/>
    <mergeCell ref="L40:M40"/>
    <mergeCell ref="N40:O40"/>
    <mergeCell ref="P40:Q40"/>
    <mergeCell ref="R40:S40"/>
    <mergeCell ref="T40:U40"/>
    <mergeCell ref="G39:I39"/>
    <mergeCell ref="J39:K39"/>
    <mergeCell ref="L39:M39"/>
    <mergeCell ref="N39:O39"/>
    <mergeCell ref="P39:Q39"/>
    <mergeCell ref="R39:S39"/>
    <mergeCell ref="W40:Y40"/>
    <mergeCell ref="G41:I41"/>
    <mergeCell ref="J41:K41"/>
    <mergeCell ref="L41:M41"/>
    <mergeCell ref="N41:O41"/>
    <mergeCell ref="P41:Q41"/>
    <mergeCell ref="R41:S41"/>
    <mergeCell ref="T41:U41"/>
    <mergeCell ref="W41:Z41"/>
    <mergeCell ref="T42:U42"/>
    <mergeCell ref="W42:Y42"/>
    <mergeCell ref="G43:I43"/>
    <mergeCell ref="J43:K43"/>
    <mergeCell ref="L43:M43"/>
    <mergeCell ref="N43:O43"/>
    <mergeCell ref="P43:Q43"/>
    <mergeCell ref="R43:S43"/>
    <mergeCell ref="T43:U43"/>
    <mergeCell ref="W43:Y43"/>
    <mergeCell ref="G42:I42"/>
    <mergeCell ref="J42:K42"/>
    <mergeCell ref="L42:M42"/>
    <mergeCell ref="N42:O42"/>
    <mergeCell ref="P42:Q42"/>
    <mergeCell ref="R42:S42"/>
    <mergeCell ref="T44:U44"/>
    <mergeCell ref="W44:Y44"/>
    <mergeCell ref="G45:I45"/>
    <mergeCell ref="J45:K45"/>
    <mergeCell ref="L45:M45"/>
    <mergeCell ref="N45:O45"/>
    <mergeCell ref="P45:Q45"/>
    <mergeCell ref="R45:S45"/>
    <mergeCell ref="T45:U45"/>
    <mergeCell ref="W45:Y45"/>
    <mergeCell ref="G44:I44"/>
    <mergeCell ref="J44:K44"/>
    <mergeCell ref="L44:M44"/>
    <mergeCell ref="N44:O44"/>
    <mergeCell ref="P44:Q44"/>
    <mergeCell ref="R44:S44"/>
    <mergeCell ref="W47:Y47"/>
    <mergeCell ref="G48:I48"/>
    <mergeCell ref="J48:K48"/>
    <mergeCell ref="L48:M48"/>
    <mergeCell ref="N48:O48"/>
    <mergeCell ref="P48:Q48"/>
    <mergeCell ref="R48:S48"/>
    <mergeCell ref="T48:U48"/>
    <mergeCell ref="T46:U46"/>
    <mergeCell ref="G47:I47"/>
    <mergeCell ref="J47:K47"/>
    <mergeCell ref="L47:M47"/>
    <mergeCell ref="N47:O47"/>
    <mergeCell ref="P47:Q47"/>
    <mergeCell ref="R47:S47"/>
    <mergeCell ref="T47:U47"/>
    <mergeCell ref="G46:I46"/>
    <mergeCell ref="J46:K46"/>
    <mergeCell ref="L46:M46"/>
    <mergeCell ref="N46:O46"/>
    <mergeCell ref="P46:Q46"/>
    <mergeCell ref="R46:S46"/>
    <mergeCell ref="T49:U49"/>
    <mergeCell ref="G50:I50"/>
    <mergeCell ref="J50:K50"/>
    <mergeCell ref="L50:M50"/>
    <mergeCell ref="N50:O50"/>
    <mergeCell ref="P50:Q50"/>
    <mergeCell ref="R50:S50"/>
    <mergeCell ref="T50:U50"/>
    <mergeCell ref="G49:I49"/>
    <mergeCell ref="J49:K49"/>
    <mergeCell ref="L49:M49"/>
    <mergeCell ref="N49:O49"/>
    <mergeCell ref="P49:Q49"/>
    <mergeCell ref="R49:S49"/>
    <mergeCell ref="R51:S51"/>
    <mergeCell ref="T51:U51"/>
    <mergeCell ref="B52:D52"/>
    <mergeCell ref="G52:I52"/>
    <mergeCell ref="J52:K52"/>
    <mergeCell ref="L52:M52"/>
    <mergeCell ref="N52:O52"/>
    <mergeCell ref="P52:Q52"/>
    <mergeCell ref="R52:S52"/>
    <mergeCell ref="T52:U52"/>
    <mergeCell ref="B51:D51"/>
    <mergeCell ref="G51:I51"/>
    <mergeCell ref="J51:K51"/>
    <mergeCell ref="L51:M51"/>
    <mergeCell ref="N51:O51"/>
    <mergeCell ref="P51:Q51"/>
    <mergeCell ref="R53:S53"/>
    <mergeCell ref="T53:U53"/>
    <mergeCell ref="B54:D54"/>
    <mergeCell ref="G54:I54"/>
    <mergeCell ref="J54:K54"/>
    <mergeCell ref="L54:M54"/>
    <mergeCell ref="N54:O54"/>
    <mergeCell ref="P54:Q54"/>
    <mergeCell ref="R54:S54"/>
    <mergeCell ref="T54:U54"/>
    <mergeCell ref="B53:D53"/>
    <mergeCell ref="G53:I53"/>
    <mergeCell ref="J53:K53"/>
    <mergeCell ref="L53:M53"/>
    <mergeCell ref="N53:O53"/>
    <mergeCell ref="P53:Q53"/>
    <mergeCell ref="T55:U55"/>
    <mergeCell ref="G56:I56"/>
    <mergeCell ref="J56:K56"/>
    <mergeCell ref="L56:M56"/>
    <mergeCell ref="N56:O56"/>
    <mergeCell ref="P56:Q56"/>
    <mergeCell ref="R56:S56"/>
    <mergeCell ref="T56:U56"/>
    <mergeCell ref="G55:I55"/>
    <mergeCell ref="J55:K55"/>
    <mergeCell ref="L55:M55"/>
    <mergeCell ref="N55:O55"/>
    <mergeCell ref="P55:Q55"/>
    <mergeCell ref="R55:S55"/>
    <mergeCell ref="T57:U57"/>
    <mergeCell ref="B58:D58"/>
    <mergeCell ref="G58:I58"/>
    <mergeCell ref="J58:K58"/>
    <mergeCell ref="L58:M58"/>
    <mergeCell ref="N58:O58"/>
    <mergeCell ref="P58:Q58"/>
    <mergeCell ref="R58:S58"/>
    <mergeCell ref="T58:U58"/>
    <mergeCell ref="G57:I57"/>
    <mergeCell ref="J57:K57"/>
    <mergeCell ref="L57:M57"/>
    <mergeCell ref="N57:O57"/>
    <mergeCell ref="P57:Q57"/>
    <mergeCell ref="R57:S57"/>
    <mergeCell ref="B60:D60"/>
    <mergeCell ref="B61:D61"/>
    <mergeCell ref="B62:D62"/>
    <mergeCell ref="B63:D63"/>
    <mergeCell ref="J63:K63"/>
    <mergeCell ref="L63:M63"/>
    <mergeCell ref="N63:O63"/>
    <mergeCell ref="P63:Q63"/>
    <mergeCell ref="B59:D59"/>
    <mergeCell ref="G59:I59"/>
    <mergeCell ref="J59:K59"/>
    <mergeCell ref="L59:M59"/>
    <mergeCell ref="N59:O59"/>
    <mergeCell ref="P59:Q59"/>
    <mergeCell ref="R63:S63"/>
    <mergeCell ref="T63:U63"/>
    <mergeCell ref="J64:K64"/>
    <mergeCell ref="L64:M64"/>
    <mergeCell ref="N64:O64"/>
    <mergeCell ref="P64:Q64"/>
    <mergeCell ref="R64:S64"/>
    <mergeCell ref="T64:U64"/>
    <mergeCell ref="R59:S59"/>
    <mergeCell ref="T59:U59"/>
    <mergeCell ref="B73:D73"/>
    <mergeCell ref="J66:K66"/>
    <mergeCell ref="L66:M66"/>
    <mergeCell ref="N66:O66"/>
    <mergeCell ref="P66:Q66"/>
    <mergeCell ref="R66:S66"/>
    <mergeCell ref="T66:U66"/>
    <mergeCell ref="J65:K65"/>
    <mergeCell ref="L65:M65"/>
    <mergeCell ref="N65:O65"/>
    <mergeCell ref="P65:Q65"/>
    <mergeCell ref="R65:S65"/>
    <mergeCell ref="T65:U65"/>
  </mergeCells>
  <pageMargins left="0.7" right="0.7" top="0.75" bottom="0.75" header="0.3" footer="0.3"/>
  <drawing r:id="rId1"/>
  <picture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31740E-BA41-4F08-961B-840A3613EF25}">
  <dimension ref="A1:AB74"/>
  <sheetViews>
    <sheetView showGridLines="0" zoomScale="66" zoomScaleNormal="115" workbookViewId="0">
      <selection activeCell="D15" sqref="D15:D16"/>
    </sheetView>
  </sheetViews>
  <sheetFormatPr defaultColWidth="0" defaultRowHeight="14.5" customHeight="1" zeroHeight="1" x14ac:dyDescent="0.35"/>
  <cols>
    <col min="1" max="1" width="8.7265625" style="4" customWidth="1"/>
    <col min="2" max="3" width="8.7265625" style="41" customWidth="1"/>
    <col min="4" max="4" width="12.7265625" style="41" customWidth="1"/>
    <col min="5" max="5" width="7.7265625" style="41" customWidth="1"/>
    <col min="6" max="22" width="8.7265625" style="41" customWidth="1"/>
    <col min="23" max="26" width="10.90625" style="41" customWidth="1"/>
    <col min="27" max="27" width="9.26953125" style="41" bestFit="1" customWidth="1"/>
    <col min="28" max="28" width="8.7265625" style="4" customWidth="1"/>
    <col min="29" max="16384" width="8.7265625" style="4" hidden="1"/>
  </cols>
  <sheetData>
    <row r="1" spans="2:27" x14ac:dyDescent="0.35">
      <c r="B1" s="4"/>
      <c r="C1" s="4"/>
      <c r="D1" s="4"/>
      <c r="E1" s="4"/>
      <c r="F1" s="4"/>
      <c r="G1" s="4"/>
      <c r="H1" s="4"/>
      <c r="I1" s="4"/>
      <c r="J1" s="4"/>
      <c r="K1" s="4"/>
      <c r="L1" s="4"/>
      <c r="M1" s="4"/>
      <c r="N1" s="4"/>
      <c r="O1" s="4"/>
      <c r="P1" s="4"/>
      <c r="Q1" s="4"/>
      <c r="R1" s="4"/>
      <c r="S1" s="4"/>
      <c r="T1" s="4"/>
      <c r="U1" s="4"/>
      <c r="V1" s="4"/>
      <c r="W1" s="4"/>
      <c r="X1" s="4"/>
      <c r="Y1" s="4"/>
      <c r="Z1" s="4"/>
      <c r="AA1" s="4"/>
    </row>
    <row r="2" spans="2:27" ht="14.5" customHeight="1" x14ac:dyDescent="0.35">
      <c r="B2" s="258" t="e" vm="5">
        <v>#VALUE!</v>
      </c>
      <c r="C2" s="258"/>
      <c r="D2" s="258"/>
      <c r="E2" s="258"/>
      <c r="F2" s="258"/>
      <c r="G2" s="258"/>
      <c r="H2" s="258"/>
      <c r="I2" s="258"/>
      <c r="J2" s="258"/>
      <c r="K2" s="258"/>
      <c r="L2" s="258"/>
      <c r="M2" s="258"/>
      <c r="N2" s="258"/>
      <c r="O2" s="258"/>
      <c r="P2" s="258"/>
      <c r="Q2" s="258"/>
      <c r="R2" s="5"/>
      <c r="S2" s="5"/>
      <c r="T2" s="5"/>
      <c r="U2" s="5"/>
      <c r="V2" s="5"/>
      <c r="W2" s="6" t="s">
        <v>36</v>
      </c>
      <c r="X2" s="5"/>
      <c r="Y2" s="5"/>
      <c r="Z2" s="5"/>
      <c r="AA2" s="5"/>
    </row>
    <row r="3" spans="2:27" ht="14.5" customHeight="1" x14ac:dyDescent="0.35">
      <c r="B3" s="258"/>
      <c r="C3" s="258"/>
      <c r="D3" s="258"/>
      <c r="E3" s="258"/>
      <c r="F3" s="258"/>
      <c r="G3" s="258"/>
      <c r="H3" s="258"/>
      <c r="I3" s="258"/>
      <c r="J3" s="258"/>
      <c r="K3" s="258"/>
      <c r="L3" s="258"/>
      <c r="M3" s="258"/>
      <c r="N3" s="258"/>
      <c r="O3" s="258"/>
      <c r="P3" s="258"/>
      <c r="Q3" s="258"/>
      <c r="R3" s="5"/>
      <c r="S3" s="5"/>
      <c r="T3" s="5"/>
      <c r="U3" s="5"/>
      <c r="V3" s="5"/>
      <c r="W3" s="260" t="str">
        <f>'Business Infos'!D11</f>
        <v>Queensland-based construction materials company. Focused on cement, concrete, aggregates, and mobile crushing. Known for Earth Friendly Concrete® and innovation in low-carbon materials.</v>
      </c>
      <c r="X3" s="260"/>
      <c r="Y3" s="260"/>
      <c r="Z3" s="260"/>
      <c r="AA3" s="260"/>
    </row>
    <row r="4" spans="2:27" ht="15.5" customHeight="1" x14ac:dyDescent="0.35">
      <c r="B4" s="261" t="s">
        <v>37</v>
      </c>
      <c r="C4" s="262"/>
      <c r="D4" s="262"/>
      <c r="E4" s="262"/>
      <c r="F4" s="262"/>
      <c r="G4" s="262"/>
      <c r="H4" s="262"/>
      <c r="I4" s="262"/>
      <c r="J4" s="262"/>
      <c r="K4" s="5"/>
      <c r="L4" s="5"/>
      <c r="M4" s="5"/>
      <c r="N4" s="5"/>
      <c r="O4" s="5"/>
      <c r="P4" s="5"/>
      <c r="Q4" s="5"/>
      <c r="R4" s="5"/>
      <c r="S4" s="5"/>
      <c r="T4" s="5"/>
      <c r="U4" s="5"/>
      <c r="V4" s="5"/>
      <c r="W4" s="260" t="s">
        <v>193</v>
      </c>
      <c r="X4" s="260"/>
      <c r="Y4" s="260"/>
      <c r="Z4" s="260"/>
      <c r="AA4" s="260"/>
    </row>
    <row r="5" spans="2:27" x14ac:dyDescent="0.35">
      <c r="B5" s="7" t="s">
        <v>38</v>
      </c>
      <c r="C5" s="5"/>
      <c r="D5" s="5"/>
      <c r="E5" s="5"/>
      <c r="F5" s="5"/>
      <c r="G5" s="5"/>
      <c r="H5" s="5"/>
      <c r="I5" s="5"/>
      <c r="J5" s="5"/>
      <c r="K5" s="5"/>
      <c r="L5" s="5"/>
      <c r="M5" s="5"/>
      <c r="N5" s="5"/>
      <c r="O5" s="5"/>
      <c r="P5" s="5"/>
      <c r="Q5" s="5"/>
      <c r="R5" s="5"/>
      <c r="S5" s="5"/>
      <c r="T5" s="5"/>
      <c r="U5" s="5"/>
      <c r="V5" s="5"/>
      <c r="W5" s="260"/>
      <c r="X5" s="260"/>
      <c r="Y5" s="260"/>
      <c r="Z5" s="260"/>
      <c r="AA5" s="260"/>
    </row>
    <row r="6" spans="2:27" x14ac:dyDescent="0.35">
      <c r="B6" s="4"/>
      <c r="C6" s="4"/>
      <c r="D6" s="4"/>
      <c r="E6" s="4"/>
      <c r="F6" s="4"/>
      <c r="G6" s="4"/>
      <c r="H6" s="4"/>
      <c r="I6" s="4"/>
      <c r="J6" s="4"/>
      <c r="K6" s="4"/>
      <c r="L6" s="4"/>
      <c r="M6" s="4"/>
      <c r="N6" s="4"/>
      <c r="O6" s="4"/>
      <c r="P6" s="4"/>
      <c r="Q6" s="4"/>
      <c r="R6" s="4"/>
      <c r="S6" s="4"/>
      <c r="T6" s="4"/>
      <c r="U6" s="4"/>
      <c r="V6" s="4"/>
      <c r="W6"/>
      <c r="X6"/>
      <c r="Y6"/>
      <c r="Z6"/>
      <c r="AA6"/>
    </row>
    <row r="7" spans="2:27" x14ac:dyDescent="0.35">
      <c r="B7" s="4"/>
      <c r="C7" s="4"/>
      <c r="D7" s="4"/>
      <c r="E7" s="4"/>
      <c r="F7" s="4"/>
      <c r="G7" s="4"/>
      <c r="H7" s="4"/>
      <c r="I7" s="4"/>
      <c r="J7" s="4"/>
      <c r="K7" s="4"/>
      <c r="L7" s="4"/>
      <c r="M7" s="4"/>
      <c r="N7" s="4"/>
      <c r="O7" s="4"/>
      <c r="P7" s="4"/>
      <c r="Q7" s="4"/>
      <c r="R7" s="4"/>
      <c r="S7" s="4"/>
      <c r="T7" s="4"/>
      <c r="U7" s="4"/>
      <c r="V7" s="4"/>
      <c r="W7" s="4"/>
      <c r="X7" s="4"/>
      <c r="Y7" s="4"/>
      <c r="Z7" s="4"/>
      <c r="AA7" s="4"/>
    </row>
    <row r="8" spans="2:27" ht="15" thickBot="1" x14ac:dyDescent="0.4">
      <c r="B8" s="8" t="s">
        <v>39</v>
      </c>
      <c r="C8" s="9"/>
      <c r="D8" s="9"/>
      <c r="E8" s="9"/>
      <c r="F8" s="10"/>
      <c r="G8" s="8" t="s">
        <v>40</v>
      </c>
      <c r="H8" s="9"/>
      <c r="I8" s="9"/>
      <c r="J8" s="9"/>
      <c r="K8" s="9"/>
      <c r="L8" s="9"/>
      <c r="M8" s="9"/>
      <c r="N8" s="9"/>
      <c r="O8" s="8"/>
      <c r="P8" s="9"/>
      <c r="Q8" s="9"/>
      <c r="R8" s="9"/>
      <c r="S8" s="9"/>
      <c r="T8" s="9"/>
      <c r="U8" s="9"/>
      <c r="V8" s="10"/>
      <c r="W8" s="8" t="s">
        <v>41</v>
      </c>
      <c r="X8" s="9"/>
      <c r="Y8" s="9"/>
      <c r="Z8" s="9"/>
      <c r="AA8" s="9"/>
    </row>
    <row r="9" spans="2:27" ht="4" customHeight="1" x14ac:dyDescent="0.35">
      <c r="B9" s="2"/>
      <c r="C9" s="2"/>
      <c r="D9" s="2"/>
      <c r="E9" s="2"/>
      <c r="F9" s="10"/>
      <c r="G9" s="2"/>
      <c r="H9" s="2"/>
      <c r="I9" s="2"/>
      <c r="J9" s="2"/>
      <c r="K9" s="2"/>
      <c r="L9" s="2"/>
      <c r="M9" s="2"/>
      <c r="N9" s="2"/>
      <c r="O9" s="2"/>
      <c r="P9" s="2"/>
      <c r="Q9" s="2"/>
      <c r="R9" s="2"/>
      <c r="S9" s="2"/>
      <c r="T9" s="2"/>
      <c r="U9" s="2"/>
      <c r="V9" s="10"/>
      <c r="W9" s="2"/>
      <c r="X9" s="2"/>
      <c r="Y9" s="2"/>
      <c r="Z9" s="2"/>
      <c r="AA9" s="2"/>
    </row>
    <row r="10" spans="2:27" x14ac:dyDescent="0.35">
      <c r="B10" s="263" t="s">
        <v>42</v>
      </c>
      <c r="C10" s="263"/>
      <c r="D10" s="11"/>
      <c r="E10" s="11" t="s">
        <v>212</v>
      </c>
      <c r="F10" s="10"/>
      <c r="G10" s="220"/>
      <c r="H10" s="220"/>
      <c r="I10" s="220"/>
      <c r="J10" s="257" t="s">
        <v>43</v>
      </c>
      <c r="K10" s="264"/>
      <c r="L10" s="264"/>
      <c r="M10" s="264"/>
      <c r="N10" s="264"/>
      <c r="O10" s="264"/>
      <c r="P10" s="257" t="s">
        <v>44</v>
      </c>
      <c r="Q10" s="257"/>
      <c r="R10" s="257" t="s">
        <v>45</v>
      </c>
      <c r="S10" s="257"/>
      <c r="T10" s="220"/>
      <c r="U10" s="220"/>
      <c r="V10" s="10"/>
      <c r="W10" s="220"/>
      <c r="X10" s="220"/>
      <c r="Y10" s="220"/>
      <c r="Z10" s="13" t="s">
        <v>46</v>
      </c>
      <c r="AA10" s="14">
        <v>45657</v>
      </c>
    </row>
    <row r="11" spans="2:27" x14ac:dyDescent="0.35">
      <c r="B11" s="220" t="s">
        <v>5</v>
      </c>
      <c r="C11" s="220"/>
      <c r="D11" s="12"/>
      <c r="E11" s="11" t="str" cm="1">
        <f t="array" aca="1" ref="E11" ca="1">_FV(B2,"Ticker symbol",TRUE)</f>
        <v>WGN</v>
      </c>
      <c r="F11" s="15"/>
      <c r="G11" s="220"/>
      <c r="H11" s="220"/>
      <c r="I11" s="220"/>
      <c r="J11" s="264"/>
      <c r="K11" s="264"/>
      <c r="L11" s="264"/>
      <c r="M11" s="264"/>
      <c r="N11" s="264"/>
      <c r="O11" s="264"/>
      <c r="P11" s="257" t="s">
        <v>47</v>
      </c>
      <c r="Q11" s="257"/>
      <c r="R11" s="257" t="s">
        <v>47</v>
      </c>
      <c r="S11" s="257"/>
      <c r="T11" s="257" t="s">
        <v>3</v>
      </c>
      <c r="U11" s="257"/>
      <c r="V11" s="10"/>
      <c r="W11" s="220" t="s">
        <v>48</v>
      </c>
      <c r="X11" s="220"/>
      <c r="Y11" s="220"/>
      <c r="Z11" s="16">
        <v>18.661000000000001</v>
      </c>
      <c r="AA11" s="16">
        <v>22.36</v>
      </c>
    </row>
    <row r="12" spans="2:27" ht="15" thickBot="1" x14ac:dyDescent="0.4">
      <c r="B12" s="220" t="s">
        <v>49</v>
      </c>
      <c r="C12" s="220"/>
      <c r="D12" s="12"/>
      <c r="E12" s="11" t="s">
        <v>194</v>
      </c>
      <c r="F12" s="10"/>
      <c r="G12" s="220"/>
      <c r="H12" s="220"/>
      <c r="I12" s="220"/>
      <c r="J12" s="257" t="s">
        <v>50</v>
      </c>
      <c r="K12" s="257"/>
      <c r="L12" s="257" t="s">
        <v>51</v>
      </c>
      <c r="M12" s="257"/>
      <c r="N12" s="257" t="s">
        <v>46</v>
      </c>
      <c r="O12" s="257"/>
      <c r="P12" s="250">
        <v>45291</v>
      </c>
      <c r="Q12" s="251"/>
      <c r="R12" s="250">
        <v>45657</v>
      </c>
      <c r="S12" s="251"/>
      <c r="T12" s="252">
        <f>R12</f>
        <v>45657</v>
      </c>
      <c r="U12" s="252"/>
      <c r="V12" s="10"/>
      <c r="W12" s="220" t="s">
        <v>52</v>
      </c>
      <c r="X12" s="220"/>
      <c r="Y12" s="220"/>
      <c r="Z12" s="16">
        <v>68.519000000000005</v>
      </c>
      <c r="AA12" s="16">
        <v>50.908000000000001</v>
      </c>
    </row>
    <row r="13" spans="2:27" x14ac:dyDescent="0.35">
      <c r="B13" s="220" t="s">
        <v>53</v>
      </c>
      <c r="C13" s="220"/>
      <c r="D13" s="12"/>
      <c r="E13" s="17">
        <v>45838</v>
      </c>
      <c r="F13" s="10"/>
      <c r="G13" s="229" t="s">
        <v>8</v>
      </c>
      <c r="H13" s="229"/>
      <c r="I13" s="229"/>
      <c r="J13" s="233">
        <v>336.851</v>
      </c>
      <c r="K13" s="234"/>
      <c r="L13" s="233">
        <v>475.452</v>
      </c>
      <c r="M13" s="234"/>
      <c r="N13" s="233">
        <v>481.64400000000001</v>
      </c>
      <c r="O13" s="234"/>
      <c r="P13" s="253">
        <v>264.601</v>
      </c>
      <c r="Q13" s="254"/>
      <c r="R13" s="255">
        <v>225.38</v>
      </c>
      <c r="S13" s="256"/>
      <c r="T13" s="231">
        <f>IFERROR(N13+R13-P13," -        ")</f>
        <v>442.423</v>
      </c>
      <c r="U13" s="230"/>
      <c r="V13" s="10"/>
      <c r="W13" s="220" t="s">
        <v>54</v>
      </c>
      <c r="X13" s="220"/>
      <c r="Y13" s="220"/>
      <c r="Z13" s="16">
        <v>39.866</v>
      </c>
      <c r="AA13" s="16">
        <v>42.03</v>
      </c>
    </row>
    <row r="14" spans="2:27" ht="14.5" customHeight="1" x14ac:dyDescent="0.35">
      <c r="B14" s="249" t="s">
        <v>55</v>
      </c>
      <c r="C14" s="249"/>
      <c r="D14" s="249"/>
      <c r="E14" s="42">
        <f>0.025/4</f>
        <v>6.2500000000000003E-3</v>
      </c>
      <c r="F14" s="10"/>
      <c r="G14" s="220" t="s">
        <v>56</v>
      </c>
      <c r="H14" s="229"/>
      <c r="I14" s="229"/>
      <c r="J14" s="233">
        <v>200.49600000000001</v>
      </c>
      <c r="K14" s="234"/>
      <c r="L14" s="233">
        <v>292.291</v>
      </c>
      <c r="M14" s="233"/>
      <c r="N14" s="233">
        <v>289.87</v>
      </c>
      <c r="O14" s="265"/>
      <c r="P14" s="235">
        <v>161.922</v>
      </c>
      <c r="Q14" s="234"/>
      <c r="R14" s="233">
        <v>144.47300000000001</v>
      </c>
      <c r="S14" s="236"/>
      <c r="T14" s="230">
        <f t="shared" ref="T14:T29" si="0">IFERROR(N14+R14-P14," -        ")</f>
        <v>272.42100000000005</v>
      </c>
      <c r="U14" s="230"/>
      <c r="V14" s="10"/>
      <c r="W14" s="220" t="s">
        <v>57</v>
      </c>
      <c r="X14" s="220"/>
      <c r="Y14" s="220"/>
      <c r="Z14" s="16">
        <v>2.9590000000000001</v>
      </c>
      <c r="AA14" s="16">
        <v>5.8689999999999998</v>
      </c>
    </row>
    <row r="15" spans="2:27" x14ac:dyDescent="0.35">
      <c r="B15" s="220" t="s">
        <v>58</v>
      </c>
      <c r="C15" s="220"/>
      <c r="D15" s="12"/>
      <c r="E15" s="11" t="s">
        <v>65</v>
      </c>
      <c r="F15" s="10"/>
      <c r="G15" s="220" t="s">
        <v>60</v>
      </c>
      <c r="H15" s="220"/>
      <c r="I15" s="220"/>
      <c r="J15" s="230">
        <f>IFERROR(J13-J14," -        ")</f>
        <v>136.35499999999999</v>
      </c>
      <c r="K15" s="230"/>
      <c r="L15" s="230">
        <f t="shared" ref="L15" si="1">IFERROR(L13-L14," -        ")</f>
        <v>183.161</v>
      </c>
      <c r="M15" s="230"/>
      <c r="N15" s="230">
        <f t="shared" ref="N15" si="2">IFERROR(N13-N14," -        ")</f>
        <v>191.774</v>
      </c>
      <c r="O15" s="230"/>
      <c r="P15" s="231">
        <f>IFERROR(P13-P14," -        ")</f>
        <v>102.679</v>
      </c>
      <c r="Q15" s="230"/>
      <c r="R15" s="230">
        <f t="shared" ref="R15" si="3">IFERROR(R13-R14," -        ")</f>
        <v>80.906999999999982</v>
      </c>
      <c r="S15" s="232"/>
      <c r="T15" s="230">
        <f t="shared" si="0"/>
        <v>170.00199999999998</v>
      </c>
      <c r="U15" s="230"/>
      <c r="V15" s="10"/>
      <c r="W15" s="220" t="s">
        <v>61</v>
      </c>
      <c r="X15" s="220"/>
      <c r="Y15" s="220"/>
      <c r="Z15" s="20">
        <f>IFERROR(Z11+Z12+Z13+Z14," -        ")</f>
        <v>130.005</v>
      </c>
      <c r="AA15" s="20">
        <f>IFERROR(AA11+AA12+AA13+AA14," -        ")</f>
        <v>121.167</v>
      </c>
    </row>
    <row r="16" spans="2:27" x14ac:dyDescent="0.35">
      <c r="B16" s="220" t="s">
        <v>62</v>
      </c>
      <c r="C16" s="220"/>
      <c r="D16" s="12"/>
      <c r="E16" s="21" t="s">
        <v>213</v>
      </c>
      <c r="F16" s="10"/>
      <c r="G16" s="220" t="s">
        <v>64</v>
      </c>
      <c r="H16" s="220"/>
      <c r="I16" s="220"/>
      <c r="J16" s="233">
        <v>88.337999999999994</v>
      </c>
      <c r="K16" s="234"/>
      <c r="L16" s="233">
        <v>129.22</v>
      </c>
      <c r="M16" s="234"/>
      <c r="N16" s="233">
        <v>124.145</v>
      </c>
      <c r="O16" s="234"/>
      <c r="P16" s="235">
        <v>67.09</v>
      </c>
      <c r="Q16" s="234"/>
      <c r="R16" s="233">
        <v>48.244</v>
      </c>
      <c r="S16" s="236"/>
      <c r="T16" s="230">
        <f t="shared" si="0"/>
        <v>105.29900000000001</v>
      </c>
      <c r="U16" s="230"/>
      <c r="V16" s="10"/>
      <c r="W16" s="220"/>
      <c r="X16" s="220"/>
      <c r="Y16" s="220"/>
      <c r="Z16" s="20"/>
      <c r="AA16" s="20"/>
    </row>
    <row r="17" spans="2:27" x14ac:dyDescent="0.35">
      <c r="B17" s="220" t="s">
        <v>66</v>
      </c>
      <c r="C17" s="220"/>
      <c r="D17" s="12"/>
      <c r="E17" s="22">
        <v>0.38</v>
      </c>
      <c r="F17" s="10"/>
      <c r="G17" s="220" t="s">
        <v>67</v>
      </c>
      <c r="H17" s="220"/>
      <c r="I17" s="220"/>
      <c r="J17" s="233">
        <f>120.327-J16</f>
        <v>31.989000000000004</v>
      </c>
      <c r="K17" s="234"/>
      <c r="L17" s="233">
        <f>167.051-L16</f>
        <v>37.830999999999989</v>
      </c>
      <c r="M17" s="234"/>
      <c r="N17" s="233">
        <f>157.087-N16</f>
        <v>32.941999999999993</v>
      </c>
      <c r="O17" s="234"/>
      <c r="P17" s="235">
        <f>83.796-P16</f>
        <v>16.706000000000003</v>
      </c>
      <c r="Q17" s="234"/>
      <c r="R17" s="233">
        <f>62.369-R16</f>
        <v>14.125</v>
      </c>
      <c r="S17" s="236"/>
      <c r="T17" s="230">
        <f t="shared" si="0"/>
        <v>30.36099999999999</v>
      </c>
      <c r="U17" s="230"/>
      <c r="V17" s="10"/>
      <c r="W17" s="220" t="s">
        <v>68</v>
      </c>
      <c r="X17" s="220"/>
      <c r="Y17" s="220"/>
      <c r="Z17" s="16">
        <v>278.48200000000003</v>
      </c>
      <c r="AA17" s="16">
        <v>274.387</v>
      </c>
    </row>
    <row r="18" spans="2:27" x14ac:dyDescent="0.35">
      <c r="B18" s="10"/>
      <c r="C18" s="50" t="s">
        <v>214</v>
      </c>
      <c r="E18" s="10"/>
      <c r="F18" s="10"/>
      <c r="G18" s="220" t="s">
        <v>69</v>
      </c>
      <c r="H18" s="220"/>
      <c r="I18" s="220"/>
      <c r="J18" s="248">
        <f>IFERROR(J15-J16-J17," -        ")</f>
        <v>16.027999999999992</v>
      </c>
      <c r="K18" s="230"/>
      <c r="L18" s="248">
        <f>IFERROR(L15-L16-L17," -        ")</f>
        <v>16.110000000000014</v>
      </c>
      <c r="M18" s="230"/>
      <c r="N18" s="248">
        <f>IFERROR(N15-N16-N17," -        ")</f>
        <v>34.687000000000012</v>
      </c>
      <c r="O18" s="230"/>
      <c r="P18" s="231">
        <f>IFERROR(P15-P16-P17," -        ")</f>
        <v>18.882999999999996</v>
      </c>
      <c r="Q18" s="230"/>
      <c r="R18" s="230">
        <f>IFERROR(R15-R16-R17," -        ")</f>
        <v>18.537999999999982</v>
      </c>
      <c r="S18" s="232"/>
      <c r="T18" s="230">
        <f t="shared" si="0"/>
        <v>34.341999999999999</v>
      </c>
      <c r="U18" s="230"/>
      <c r="V18" s="10"/>
      <c r="W18" s="220" t="s">
        <v>70</v>
      </c>
      <c r="X18" s="220"/>
      <c r="Y18" s="220"/>
      <c r="Z18" s="16">
        <v>2.0449999999999999</v>
      </c>
      <c r="AA18" s="16">
        <v>1.9850000000000001</v>
      </c>
    </row>
    <row r="19" spans="2:27" ht="15" thickBot="1" x14ac:dyDescent="0.4">
      <c r="B19" s="8" t="s">
        <v>71</v>
      </c>
      <c r="C19" s="9"/>
      <c r="D19" s="9"/>
      <c r="E19" s="9"/>
      <c r="F19" s="10"/>
      <c r="G19" s="220" t="s">
        <v>72</v>
      </c>
      <c r="H19" s="220"/>
      <c r="I19" s="220"/>
      <c r="J19" s="233">
        <v>8.7449999999999992</v>
      </c>
      <c r="K19" s="234"/>
      <c r="L19" s="233">
        <v>11.742000000000001</v>
      </c>
      <c r="M19" s="234"/>
      <c r="N19" s="233">
        <v>13.083</v>
      </c>
      <c r="O19" s="234"/>
      <c r="P19" s="235">
        <v>6.827</v>
      </c>
      <c r="Q19" s="234"/>
      <c r="R19" s="233">
        <v>5.6340000000000003</v>
      </c>
      <c r="S19" s="236"/>
      <c r="T19" s="230">
        <f t="shared" si="0"/>
        <v>11.889999999999999</v>
      </c>
      <c r="U19" s="230"/>
      <c r="V19" s="10"/>
      <c r="W19" s="220" t="s">
        <v>73</v>
      </c>
      <c r="X19" s="220"/>
      <c r="Y19" s="220"/>
      <c r="Z19" s="16">
        <f>0.007+2.572</f>
        <v>2.5790000000000002</v>
      </c>
      <c r="AA19" s="16">
        <f>1.754+0.007</f>
        <v>1.7609999999999999</v>
      </c>
    </row>
    <row r="20" spans="2:27" ht="3.5" customHeight="1" x14ac:dyDescent="0.35">
      <c r="B20" s="2"/>
      <c r="C20" s="2"/>
      <c r="D20" s="2"/>
      <c r="E20" s="2"/>
      <c r="F20" s="10"/>
      <c r="G20" s="220"/>
      <c r="H20" s="220"/>
      <c r="I20" s="220"/>
      <c r="J20" s="244"/>
      <c r="K20" s="244"/>
      <c r="L20" s="244"/>
      <c r="M20" s="244"/>
      <c r="N20" s="244"/>
      <c r="O20" s="244"/>
      <c r="P20" s="245"/>
      <c r="Q20" s="244"/>
      <c r="R20" s="244"/>
      <c r="S20" s="246"/>
      <c r="T20" s="230">
        <f t="shared" si="0"/>
        <v>0</v>
      </c>
      <c r="U20" s="230"/>
      <c r="V20" s="10"/>
      <c r="W20" s="220"/>
      <c r="X20" s="220"/>
      <c r="Y20" s="12"/>
      <c r="Z20" s="20"/>
      <c r="AA20" s="20"/>
    </row>
    <row r="21" spans="2:27" x14ac:dyDescent="0.35">
      <c r="B21" s="220" t="s">
        <v>74</v>
      </c>
      <c r="C21" s="220"/>
      <c r="D21" s="23" cm="1">
        <f t="array" aca="1" ref="D21" ca="1">_FV(B2,"Last trade time",TRUE)</f>
        <v>45763.17460648148</v>
      </c>
      <c r="E21" s="24" cm="1">
        <f t="array" aca="1" ref="E21" ca="1">_FV(B2,"Price")</f>
        <v>1.595</v>
      </c>
      <c r="F21" s="10"/>
      <c r="G21" s="220" t="s">
        <v>75</v>
      </c>
      <c r="H21" s="220"/>
      <c r="I21" s="220"/>
      <c r="J21" s="230">
        <f>IFERROR(J18-J19," -        ")</f>
        <v>7.2829999999999924</v>
      </c>
      <c r="K21" s="230"/>
      <c r="L21" s="230">
        <f t="shared" ref="L21" si="4">IFERROR(L18-L19," -        ")</f>
        <v>4.3680000000000128</v>
      </c>
      <c r="M21" s="230"/>
      <c r="N21" s="230">
        <f t="shared" ref="N21" si="5">IFERROR(N18-N19," -        ")</f>
        <v>21.604000000000013</v>
      </c>
      <c r="O21" s="230"/>
      <c r="P21" s="231">
        <f t="shared" ref="P21" si="6">IFERROR(P18-P19," -        ")</f>
        <v>12.055999999999996</v>
      </c>
      <c r="Q21" s="230"/>
      <c r="R21" s="230">
        <f t="shared" ref="R21" si="7">IFERROR(R18-R19," -        ")</f>
        <v>12.903999999999982</v>
      </c>
      <c r="S21" s="232"/>
      <c r="T21" s="230">
        <f t="shared" si="0"/>
        <v>22.451999999999998</v>
      </c>
      <c r="U21" s="230"/>
      <c r="V21" s="10"/>
      <c r="W21" s="220" t="s">
        <v>76</v>
      </c>
      <c r="X21" s="220"/>
      <c r="Y21" s="220"/>
      <c r="Z21" s="20">
        <f>IFERROR(Z17+Z18+Z19+Z15," -       ")</f>
        <v>413.11100000000005</v>
      </c>
      <c r="AA21" s="20">
        <f>IFERROR(AA17+AA18+AA19+AA15," -       ")</f>
        <v>399.30000000000007</v>
      </c>
    </row>
    <row r="22" spans="2:27" x14ac:dyDescent="0.35">
      <c r="B22" s="220" t="s">
        <v>77</v>
      </c>
      <c r="C22" s="220"/>
      <c r="D22" s="25"/>
      <c r="E22" s="26">
        <f ca="1">IFERROR(E21/E23,"NA")</f>
        <v>0.84840425531914898</v>
      </c>
      <c r="F22" s="10"/>
      <c r="G22" s="220" t="s">
        <v>78</v>
      </c>
      <c r="H22" s="220"/>
      <c r="I22" s="220"/>
      <c r="J22" s="233">
        <v>2.8279999999999998</v>
      </c>
      <c r="K22" s="234"/>
      <c r="L22" s="233">
        <v>2.4079999999999999</v>
      </c>
      <c r="M22" s="234"/>
      <c r="N22" s="233">
        <v>6.5330000000000004</v>
      </c>
      <c r="O22" s="234"/>
      <c r="P22" s="235">
        <v>2.8959999999999999</v>
      </c>
      <c r="Q22" s="234"/>
      <c r="R22" s="233">
        <v>4.5289999999999999</v>
      </c>
      <c r="S22" s="236"/>
      <c r="T22" s="230">
        <f t="shared" si="0"/>
        <v>8.1660000000000004</v>
      </c>
      <c r="U22" s="230"/>
      <c r="V22" s="10"/>
      <c r="W22" s="220"/>
      <c r="X22" s="220"/>
      <c r="Y22" s="220"/>
      <c r="Z22" s="20"/>
      <c r="AA22" s="20"/>
    </row>
    <row r="23" spans="2:27" x14ac:dyDescent="0.35">
      <c r="B23" s="220" t="s">
        <v>79</v>
      </c>
      <c r="C23" s="220"/>
      <c r="D23" s="23" cm="1">
        <f t="array" aca="1" ref="D23" ca="1">_FV(B2,"Last trade time",TRUE)</f>
        <v>45763.17460648148</v>
      </c>
      <c r="E23" s="24" cm="1">
        <f t="array" aca="1" ref="E23" ca="1">_FV(B2,"52 week high",TRUE)</f>
        <v>1.88</v>
      </c>
      <c r="F23" s="10"/>
      <c r="G23" s="220" t="s">
        <v>80</v>
      </c>
      <c r="H23" s="220"/>
      <c r="I23" s="220"/>
      <c r="J23" s="233">
        <v>0</v>
      </c>
      <c r="K23" s="234"/>
      <c r="L23" s="233">
        <v>0</v>
      </c>
      <c r="M23" s="234"/>
      <c r="N23" s="233">
        <v>0</v>
      </c>
      <c r="O23" s="234"/>
      <c r="P23" s="235">
        <v>0</v>
      </c>
      <c r="Q23" s="234"/>
      <c r="R23" s="233">
        <v>0</v>
      </c>
      <c r="S23" s="236"/>
      <c r="T23" s="230">
        <f t="shared" si="0"/>
        <v>0</v>
      </c>
      <c r="U23" s="230"/>
      <c r="V23" s="10"/>
      <c r="W23" s="220" t="s">
        <v>81</v>
      </c>
      <c r="X23" s="220"/>
      <c r="Y23" s="220"/>
      <c r="Z23" s="16">
        <v>54.615000000000002</v>
      </c>
      <c r="AA23" s="16">
        <v>42.326999999999998</v>
      </c>
    </row>
    <row r="24" spans="2:27" x14ac:dyDescent="0.35">
      <c r="B24" s="220" t="s">
        <v>82</v>
      </c>
      <c r="C24" s="220"/>
      <c r="D24" s="23" cm="1">
        <f t="array" aca="1" ref="D24" ca="1">_FV(B2,"Last trade time",TRUE)</f>
        <v>45763.17460648148</v>
      </c>
      <c r="E24" s="24" cm="1">
        <f t="array" aca="1" ref="E24" ca="1">_FV(B2,"52 week low",TRUE)</f>
        <v>0.70499999999999996</v>
      </c>
      <c r="F24" s="10"/>
      <c r="G24" s="220" t="s">
        <v>83</v>
      </c>
      <c r="H24" s="220"/>
      <c r="I24" s="220"/>
      <c r="J24" s="233">
        <v>0</v>
      </c>
      <c r="K24" s="234"/>
      <c r="L24" s="233">
        <v>0</v>
      </c>
      <c r="M24" s="234"/>
      <c r="N24" s="233">
        <v>0</v>
      </c>
      <c r="O24" s="234"/>
      <c r="P24" s="235">
        <v>0</v>
      </c>
      <c r="Q24" s="234"/>
      <c r="R24" s="233">
        <v>0</v>
      </c>
      <c r="S24" s="236"/>
      <c r="T24" s="230">
        <f t="shared" si="0"/>
        <v>0</v>
      </c>
      <c r="U24" s="230"/>
      <c r="V24" s="10"/>
      <c r="W24" s="220" t="s">
        <v>84</v>
      </c>
      <c r="X24" s="220"/>
      <c r="Y24" s="220"/>
      <c r="Z24" s="16">
        <v>17.143000000000001</v>
      </c>
      <c r="AA24" s="16">
        <v>17.995000000000001</v>
      </c>
    </row>
    <row r="25" spans="2:27" x14ac:dyDescent="0.35">
      <c r="B25" s="220" t="s">
        <v>85</v>
      </c>
      <c r="C25" s="220"/>
      <c r="D25" s="25"/>
      <c r="E25" s="43">
        <f>E14</f>
        <v>6.2500000000000003E-3</v>
      </c>
      <c r="F25" s="10"/>
      <c r="G25" s="220" t="s">
        <v>86</v>
      </c>
      <c r="H25" s="220"/>
      <c r="I25" s="220"/>
      <c r="J25" s="230">
        <f>IFERROR(J21-J22-J23-J24," -        ")</f>
        <v>4.454999999999993</v>
      </c>
      <c r="K25" s="230"/>
      <c r="L25" s="230">
        <f t="shared" ref="L25" si="8">IFERROR(L21-L22-L23-L24," -        ")</f>
        <v>1.9600000000000128</v>
      </c>
      <c r="M25" s="230"/>
      <c r="N25" s="230">
        <f t="shared" ref="N25" si="9">IFERROR(N21-N22-N23-N24," -        ")</f>
        <v>15.071000000000012</v>
      </c>
      <c r="O25" s="230"/>
      <c r="P25" s="231">
        <f t="shared" ref="P25" si="10">IFERROR(P21-P22-P23-P24," -        ")</f>
        <v>9.1599999999999966</v>
      </c>
      <c r="Q25" s="230"/>
      <c r="R25" s="230">
        <f t="shared" ref="R25" si="11">IFERROR(R21-R22-R23-R24," -        ")</f>
        <v>8.3749999999999822</v>
      </c>
      <c r="S25" s="232"/>
      <c r="T25" s="230">
        <f t="shared" si="0"/>
        <v>14.285999999999998</v>
      </c>
      <c r="U25" s="230"/>
      <c r="V25" s="10"/>
      <c r="W25" s="220" t="s">
        <v>87</v>
      </c>
      <c r="X25" s="220"/>
      <c r="Y25" s="220"/>
      <c r="Z25" s="16">
        <v>18.568999999999999</v>
      </c>
      <c r="AA25" s="16">
        <v>20.228999999999999</v>
      </c>
    </row>
    <row r="26" spans="2:27" x14ac:dyDescent="0.35">
      <c r="B26" s="220"/>
      <c r="C26" s="220"/>
      <c r="D26" s="25"/>
      <c r="E26" s="25"/>
      <c r="F26" s="10"/>
      <c r="G26" s="220" t="s">
        <v>88</v>
      </c>
      <c r="H26" s="220"/>
      <c r="I26" s="220"/>
      <c r="J26" s="205">
        <f>IFERROR(J22/J21," -        ")</f>
        <v>0.38830152409721308</v>
      </c>
      <c r="K26" s="205"/>
      <c r="L26" s="205">
        <f t="shared" ref="L26" si="12">IFERROR(L22/L21," -        ")</f>
        <v>0.55128205128204966</v>
      </c>
      <c r="M26" s="205"/>
      <c r="N26" s="205">
        <f t="shared" ref="N26" si="13">IFERROR(N22/N21," -        ")</f>
        <v>0.30239770412886485</v>
      </c>
      <c r="O26" s="205"/>
      <c r="P26" s="216">
        <f t="shared" ref="P26" si="14">IFERROR(P22/P21," -        ")</f>
        <v>0.2402123424021235</v>
      </c>
      <c r="Q26" s="205"/>
      <c r="R26" s="205">
        <f t="shared" ref="R26" si="15">IFERROR(R22/R21," -        ")</f>
        <v>0.35097644141351569</v>
      </c>
      <c r="S26" s="217"/>
      <c r="T26" s="205">
        <f t="shared" si="0"/>
        <v>0.41316180314025697</v>
      </c>
      <c r="U26" s="205"/>
      <c r="V26" s="28"/>
      <c r="W26" s="247" t="s">
        <v>89</v>
      </c>
      <c r="X26" s="247"/>
      <c r="Y26" s="247"/>
      <c r="Z26" s="20">
        <f>IFERROR(Z23+Z24+Z25," -       ")</f>
        <v>90.327000000000012</v>
      </c>
      <c r="AA26" s="20">
        <f>IFERROR(AA23+AA24+AA25," -       ")</f>
        <v>80.551000000000002</v>
      </c>
    </row>
    <row r="27" spans="2:27" x14ac:dyDescent="0.35">
      <c r="B27" s="29" t="s">
        <v>90</v>
      </c>
      <c r="C27" s="29"/>
      <c r="D27" s="25"/>
      <c r="E27" s="30">
        <f>T28</f>
        <v>192.09828200000001</v>
      </c>
      <c r="F27" s="10"/>
      <c r="G27" s="220"/>
      <c r="H27" s="220"/>
      <c r="I27" s="220"/>
      <c r="J27" s="244"/>
      <c r="K27" s="244"/>
      <c r="L27" s="244"/>
      <c r="M27" s="244"/>
      <c r="N27" s="244"/>
      <c r="O27" s="244"/>
      <c r="P27" s="245"/>
      <c r="Q27" s="244"/>
      <c r="R27" s="244"/>
      <c r="S27" s="246"/>
      <c r="T27" s="230"/>
      <c r="U27" s="230"/>
      <c r="V27" s="10"/>
      <c r="W27" s="220"/>
      <c r="X27" s="220"/>
      <c r="Y27" s="220"/>
      <c r="Z27" s="20"/>
      <c r="AA27" s="20"/>
    </row>
    <row r="28" spans="2:27" x14ac:dyDescent="0.35">
      <c r="B28" s="229" t="s">
        <v>91</v>
      </c>
      <c r="C28" s="229"/>
      <c r="D28" s="25"/>
      <c r="E28" s="30">
        <f ca="1">IFERROR(E27*E21," -       ")</f>
        <v>306.39675979000003</v>
      </c>
      <c r="F28" s="10"/>
      <c r="G28" s="220" t="s">
        <v>92</v>
      </c>
      <c r="H28" s="220"/>
      <c r="I28" s="220"/>
      <c r="J28" s="233">
        <v>191.14943099999999</v>
      </c>
      <c r="K28" s="234"/>
      <c r="L28" s="233">
        <v>191.872883</v>
      </c>
      <c r="M28" s="234"/>
      <c r="N28" s="233">
        <v>191.594336</v>
      </c>
      <c r="O28" s="234"/>
      <c r="P28" s="235">
        <v>191.594336</v>
      </c>
      <c r="Q28" s="234"/>
      <c r="R28" s="233">
        <v>192.602228</v>
      </c>
      <c r="S28" s="236"/>
      <c r="T28" s="230">
        <v>192.09828200000001</v>
      </c>
      <c r="U28" s="230"/>
      <c r="V28" s="10"/>
      <c r="W28" s="220" t="s">
        <v>93</v>
      </c>
      <c r="X28" s="220"/>
      <c r="Y28" s="220"/>
      <c r="Z28" s="16">
        <v>185.75899999999999</v>
      </c>
      <c r="AA28" s="16">
        <v>171.495</v>
      </c>
    </row>
    <row r="29" spans="2:27" ht="15" thickBot="1" x14ac:dyDescent="0.4">
      <c r="B29" s="220"/>
      <c r="C29" s="220"/>
      <c r="D29" s="25"/>
      <c r="E29" s="30"/>
      <c r="F29" s="10"/>
      <c r="G29" s="220" t="s">
        <v>94</v>
      </c>
      <c r="H29" s="220"/>
      <c r="I29" s="220"/>
      <c r="J29" s="230">
        <f>IFERROR(J25/J28," -        ")</f>
        <v>2.3306373326321819E-2</v>
      </c>
      <c r="K29" s="230"/>
      <c r="L29" s="230">
        <f t="shared" ref="L29" si="16">IFERROR(L25/L28," -        ")</f>
        <v>1.0215096418809806E-2</v>
      </c>
      <c r="M29" s="230"/>
      <c r="N29" s="230">
        <f>IFERROR(N25/N28," -        ")</f>
        <v>7.8660989226737962E-2</v>
      </c>
      <c r="O29" s="230"/>
      <c r="P29" s="241">
        <f t="shared" ref="P29" si="17">IFERROR(P25/P28," -        ")</f>
        <v>4.7809346514293596E-2</v>
      </c>
      <c r="Q29" s="242"/>
      <c r="R29" s="242">
        <f t="shared" ref="R29" si="18">IFERROR(R25/R28," -        ")</f>
        <v>4.3483401448502365E-2</v>
      </c>
      <c r="S29" s="243"/>
      <c r="T29" s="230">
        <f t="shared" si="0"/>
        <v>7.4335044160946731E-2</v>
      </c>
      <c r="U29" s="230"/>
      <c r="V29" s="10"/>
      <c r="W29" s="220" t="s">
        <v>95</v>
      </c>
      <c r="X29" s="220"/>
      <c r="Y29" s="220"/>
      <c r="Z29" s="16">
        <v>2.4609999999999999</v>
      </c>
      <c r="AA29" s="16">
        <v>2.431</v>
      </c>
    </row>
    <row r="30" spans="2:27" x14ac:dyDescent="0.35">
      <c r="B30" s="220" t="s">
        <v>96</v>
      </c>
      <c r="C30" s="220"/>
      <c r="D30" s="25"/>
      <c r="E30" s="30">
        <f>IF(SUM(AA24,AA28)=0," -       ",SUM(AA24,AA28))</f>
        <v>189.49</v>
      </c>
      <c r="F30" s="10"/>
      <c r="G30" s="10"/>
      <c r="H30" s="10"/>
      <c r="I30" s="10"/>
      <c r="J30" s="10"/>
      <c r="K30" s="10"/>
      <c r="L30" s="10"/>
      <c r="M30" s="10"/>
      <c r="N30" s="10"/>
      <c r="O30" s="10"/>
      <c r="P30" s="10"/>
      <c r="Q30" s="10"/>
      <c r="R30" s="10"/>
      <c r="S30" s="10"/>
      <c r="T30" s="10"/>
      <c r="U30" s="10"/>
      <c r="V30" s="10"/>
      <c r="W30" s="229" t="s">
        <v>97</v>
      </c>
      <c r="X30" s="229"/>
      <c r="Y30" s="229"/>
      <c r="Z30" s="20">
        <f>IFERROR(Z26+Z28+Z29," -       ")</f>
        <v>278.54700000000003</v>
      </c>
      <c r="AA30" s="20">
        <f>IFERROR(AA26+AA28+AA29," -       ")</f>
        <v>254.477</v>
      </c>
    </row>
    <row r="31" spans="2:27" x14ac:dyDescent="0.35">
      <c r="B31" s="220" t="s">
        <v>98</v>
      </c>
      <c r="C31" s="220"/>
      <c r="D31" s="25"/>
      <c r="E31" s="30">
        <f>AA33</f>
        <v>0</v>
      </c>
      <c r="F31" s="10"/>
      <c r="G31" s="10"/>
      <c r="H31" s="10"/>
      <c r="I31" s="10"/>
      <c r="J31" s="10"/>
      <c r="K31" s="10"/>
      <c r="L31" s="10"/>
      <c r="M31" s="10"/>
      <c r="N31" s="10"/>
      <c r="O31" s="10"/>
      <c r="P31" s="10"/>
      <c r="Q31" s="10"/>
      <c r="R31" s="10"/>
      <c r="S31" s="10"/>
      <c r="T31" s="10"/>
      <c r="U31" s="10"/>
      <c r="V31" s="10"/>
      <c r="W31" s="220"/>
      <c r="X31" s="220"/>
      <c r="Y31" s="220"/>
      <c r="Z31" s="20"/>
      <c r="AA31" s="20"/>
    </row>
    <row r="32" spans="2:27" ht="15" thickBot="1" x14ac:dyDescent="0.4">
      <c r="B32" s="220" t="s">
        <v>99</v>
      </c>
      <c r="C32" s="220"/>
      <c r="D32" s="25"/>
      <c r="E32" s="30">
        <f>AA32</f>
        <v>0</v>
      </c>
      <c r="F32" s="10"/>
      <c r="G32" s="1" t="s">
        <v>100</v>
      </c>
      <c r="H32" s="2"/>
      <c r="I32" s="2"/>
      <c r="J32" s="2"/>
      <c r="K32" s="2"/>
      <c r="L32" s="2"/>
      <c r="M32" s="2"/>
      <c r="N32" s="2"/>
      <c r="O32" s="2"/>
      <c r="P32" s="2"/>
      <c r="Q32" s="2"/>
      <c r="R32" s="2"/>
      <c r="S32" s="2"/>
      <c r="T32" s="2"/>
      <c r="U32" s="2"/>
      <c r="V32" s="10"/>
      <c r="W32" s="220" t="s">
        <v>101</v>
      </c>
      <c r="X32" s="220"/>
      <c r="Y32" s="220"/>
      <c r="Z32" s="16">
        <v>0</v>
      </c>
      <c r="AA32" s="16">
        <v>0</v>
      </c>
    </row>
    <row r="33" spans="2:27" x14ac:dyDescent="0.35">
      <c r="B33" s="29" t="s">
        <v>102</v>
      </c>
      <c r="C33" s="29"/>
      <c r="D33" s="25"/>
      <c r="E33" s="30">
        <f>AA11</f>
        <v>22.36</v>
      </c>
      <c r="F33" s="10"/>
      <c r="G33" s="220" t="s">
        <v>103</v>
      </c>
      <c r="H33" s="220"/>
      <c r="I33" s="220"/>
      <c r="J33" s="230">
        <f>J15</f>
        <v>136.35499999999999</v>
      </c>
      <c r="K33" s="230"/>
      <c r="L33" s="230">
        <f t="shared" ref="L33" si="19">L15</f>
        <v>183.161</v>
      </c>
      <c r="M33" s="230"/>
      <c r="N33" s="230">
        <f t="shared" ref="N33" si="20">N15</f>
        <v>191.774</v>
      </c>
      <c r="O33" s="230"/>
      <c r="P33" s="238">
        <f t="shared" ref="P33" si="21">P15</f>
        <v>102.679</v>
      </c>
      <c r="Q33" s="239"/>
      <c r="R33" s="239">
        <f t="shared" ref="R33" si="22">R15</f>
        <v>80.906999999999982</v>
      </c>
      <c r="S33" s="240"/>
      <c r="T33" s="230">
        <f t="shared" ref="T33:T59" si="23">IFERROR(N33+R33-P33," -        ")</f>
        <v>170.00199999999998</v>
      </c>
      <c r="U33" s="230"/>
      <c r="V33" s="10"/>
      <c r="W33" s="220" t="s">
        <v>104</v>
      </c>
      <c r="X33" s="220"/>
      <c r="Y33" s="220"/>
      <c r="Z33" s="16">
        <v>0</v>
      </c>
      <c r="AA33" s="16">
        <v>0</v>
      </c>
    </row>
    <row r="34" spans="2:27" x14ac:dyDescent="0.35">
      <c r="B34" s="229" t="s">
        <v>105</v>
      </c>
      <c r="C34" s="229"/>
      <c r="D34" s="25"/>
      <c r="E34" s="30">
        <f ca="1">IFERROR(E28+E30+E31+E32-E33,"-       ")</f>
        <v>473.52675979000003</v>
      </c>
      <c r="F34" s="10"/>
      <c r="G34" s="220" t="s">
        <v>106</v>
      </c>
      <c r="H34" s="220"/>
      <c r="I34" s="220"/>
      <c r="J34" s="233">
        <v>0</v>
      </c>
      <c r="K34" s="234"/>
      <c r="L34" s="233">
        <v>0</v>
      </c>
      <c r="M34" s="234"/>
      <c r="N34" s="233">
        <v>0</v>
      </c>
      <c r="O34" s="234"/>
      <c r="P34" s="235">
        <v>0</v>
      </c>
      <c r="Q34" s="234"/>
      <c r="R34" s="233">
        <v>0</v>
      </c>
      <c r="S34" s="236"/>
      <c r="T34" s="230">
        <f t="shared" si="23"/>
        <v>0</v>
      </c>
      <c r="U34" s="230"/>
      <c r="V34" s="10"/>
      <c r="W34" s="220" t="s">
        <v>107</v>
      </c>
      <c r="X34" s="220"/>
      <c r="Y34" s="220"/>
      <c r="Z34" s="16">
        <v>134.56399999999999</v>
      </c>
      <c r="AA34" s="16">
        <v>144.82300000000001</v>
      </c>
    </row>
    <row r="35" spans="2:27" x14ac:dyDescent="0.35">
      <c r="B35" s="10"/>
      <c r="C35" s="10"/>
      <c r="D35" s="10"/>
      <c r="E35" s="10"/>
      <c r="F35" s="10"/>
      <c r="G35" s="220" t="s">
        <v>108</v>
      </c>
      <c r="H35" s="220"/>
      <c r="I35" s="220"/>
      <c r="J35" s="230">
        <f>IFERROR(J33+J34," -        ")</f>
        <v>136.35499999999999</v>
      </c>
      <c r="K35" s="230"/>
      <c r="L35" s="230">
        <f t="shared" ref="L35" si="24">IFERROR(L33+L34," -        ")</f>
        <v>183.161</v>
      </c>
      <c r="M35" s="230"/>
      <c r="N35" s="230">
        <f t="shared" ref="N35" si="25">IFERROR(N33+N34," -        ")</f>
        <v>191.774</v>
      </c>
      <c r="O35" s="230"/>
      <c r="P35" s="231">
        <f t="shared" ref="P35" si="26">IFERROR(P33+P34," -        ")</f>
        <v>102.679</v>
      </c>
      <c r="Q35" s="230"/>
      <c r="R35" s="230">
        <f t="shared" ref="R35" si="27">IFERROR(R33+R34," -        ")</f>
        <v>80.906999999999982</v>
      </c>
      <c r="S35" s="232"/>
      <c r="T35" s="230">
        <f t="shared" si="23"/>
        <v>170.00199999999998</v>
      </c>
      <c r="U35" s="230"/>
      <c r="V35" s="10"/>
      <c r="W35" s="220" t="s">
        <v>109</v>
      </c>
      <c r="X35" s="220"/>
      <c r="Y35" s="220"/>
      <c r="Z35" s="20">
        <f>IFERROR(Z30+Z32+Z33+Z34," -       ")</f>
        <v>413.11099999999999</v>
      </c>
      <c r="AA35" s="20">
        <f>IFERROR(AA30+AA32+AA33+AA34," -       ")</f>
        <v>399.3</v>
      </c>
    </row>
    <row r="36" spans="2:27" ht="15" thickBot="1" x14ac:dyDescent="0.4">
      <c r="B36" s="8" t="s">
        <v>110</v>
      </c>
      <c r="C36" s="9"/>
      <c r="D36" s="9"/>
      <c r="E36" s="9"/>
      <c r="F36" s="10"/>
      <c r="G36" s="220" t="s">
        <v>111</v>
      </c>
      <c r="H36" s="220"/>
      <c r="I36" s="220"/>
      <c r="J36" s="205">
        <f>IFERROR(J35/J13," -        ")</f>
        <v>0.40479321717910882</v>
      </c>
      <c r="K36" s="205"/>
      <c r="L36" s="205">
        <f t="shared" ref="L36" si="28">IFERROR(L35/L13," -        ")</f>
        <v>0.38523552324945526</v>
      </c>
      <c r="M36" s="205"/>
      <c r="N36" s="205">
        <f t="shared" ref="N36" si="29">IFERROR(N35/N13," -        ")</f>
        <v>0.39816545000041526</v>
      </c>
      <c r="O36" s="205"/>
      <c r="P36" s="216">
        <f t="shared" ref="P36" si="30">IFERROR(P35/P13," -        ")</f>
        <v>0.38805219934920882</v>
      </c>
      <c r="Q36" s="205"/>
      <c r="R36" s="205">
        <f t="shared" ref="R36" si="31">IFERROR(R35/R13," -        ")</f>
        <v>0.35898038867690119</v>
      </c>
      <c r="S36" s="217"/>
      <c r="T36" s="205">
        <f t="shared" si="23"/>
        <v>0.36909363932810763</v>
      </c>
      <c r="U36" s="205"/>
      <c r="V36" s="10"/>
      <c r="W36" s="237" t="s">
        <v>112</v>
      </c>
      <c r="X36" s="237"/>
      <c r="Y36" s="237"/>
      <c r="Z36" s="20">
        <f>IFERROR(Z21-Z35," -       ")</f>
        <v>5.6843418860808015E-14</v>
      </c>
      <c r="AA36" s="20">
        <f>IFERROR(AA21-AA35," -       ")</f>
        <v>5.6843418860808015E-14</v>
      </c>
    </row>
    <row r="37" spans="2:27" ht="3" customHeight="1" x14ac:dyDescent="0.35">
      <c r="B37" s="2"/>
      <c r="C37" s="2"/>
      <c r="D37" s="2"/>
      <c r="E37" s="2"/>
      <c r="F37" s="10"/>
      <c r="G37" s="220"/>
      <c r="H37" s="220"/>
      <c r="I37" s="220"/>
      <c r="J37" s="224"/>
      <c r="K37" s="224"/>
      <c r="L37" s="224"/>
      <c r="M37" s="224"/>
      <c r="N37" s="224"/>
      <c r="O37" s="224"/>
      <c r="P37" s="227"/>
      <c r="Q37" s="224"/>
      <c r="R37" s="224"/>
      <c r="S37" s="228"/>
      <c r="T37" s="224">
        <f t="shared" si="23"/>
        <v>0</v>
      </c>
      <c r="U37" s="224"/>
      <c r="V37" s="10"/>
      <c r="W37" s="10"/>
      <c r="X37" s="10"/>
      <c r="Y37" s="10"/>
      <c r="Z37" s="10"/>
      <c r="AA37" s="10"/>
    </row>
    <row r="38" spans="2:27" x14ac:dyDescent="0.35">
      <c r="B38" s="12"/>
      <c r="C38" s="13" t="s">
        <v>3</v>
      </c>
      <c r="D38" s="13" t="s">
        <v>113</v>
      </c>
      <c r="E38" s="13" t="s">
        <v>114</v>
      </c>
      <c r="F38" s="10"/>
      <c r="G38" s="220"/>
      <c r="H38" s="220"/>
      <c r="I38" s="220"/>
      <c r="J38" s="213"/>
      <c r="K38" s="213"/>
      <c r="L38" s="213"/>
      <c r="M38" s="213"/>
      <c r="N38" s="213"/>
      <c r="O38" s="213"/>
      <c r="P38" s="225"/>
      <c r="Q38" s="213"/>
      <c r="R38" s="213"/>
      <c r="S38" s="226"/>
      <c r="T38" s="213"/>
      <c r="U38" s="213"/>
      <c r="V38" s="10"/>
      <c r="W38" s="10"/>
      <c r="X38" s="10"/>
      <c r="Y38" s="10"/>
      <c r="Z38" s="10"/>
      <c r="AA38" s="10"/>
    </row>
    <row r="39" spans="2:27" x14ac:dyDescent="0.35">
      <c r="B39" s="12"/>
      <c r="C39" s="14">
        <v>45747</v>
      </c>
      <c r="D39" s="13" t="s">
        <v>115</v>
      </c>
      <c r="E39" s="13" t="s">
        <v>116</v>
      </c>
      <c r="F39" s="10"/>
      <c r="G39" s="220" t="s">
        <v>117</v>
      </c>
      <c r="H39" s="220"/>
      <c r="I39" s="220"/>
      <c r="J39" s="230">
        <f>J18</f>
        <v>16.027999999999992</v>
      </c>
      <c r="K39" s="230"/>
      <c r="L39" s="230">
        <f t="shared" ref="L39" si="32">L18</f>
        <v>16.110000000000014</v>
      </c>
      <c r="M39" s="230"/>
      <c r="N39" s="230">
        <f t="shared" ref="N39" si="33">N18</f>
        <v>34.687000000000012</v>
      </c>
      <c r="O39" s="230"/>
      <c r="P39" s="231">
        <f t="shared" ref="P39" si="34">P18</f>
        <v>18.882999999999996</v>
      </c>
      <c r="Q39" s="230"/>
      <c r="R39" s="230">
        <f t="shared" ref="R39" si="35">R18</f>
        <v>18.537999999999982</v>
      </c>
      <c r="S39" s="232"/>
      <c r="T39" s="230">
        <f t="shared" si="23"/>
        <v>34.341999999999999</v>
      </c>
      <c r="U39" s="230"/>
      <c r="V39" s="10"/>
      <c r="W39" s="1" t="s">
        <v>196</v>
      </c>
      <c r="X39" s="2"/>
      <c r="Y39" s="2"/>
      <c r="Z39" s="2"/>
      <c r="AA39" s="2"/>
    </row>
    <row r="40" spans="2:27" x14ac:dyDescent="0.35">
      <c r="B40" s="12" t="s">
        <v>119</v>
      </c>
      <c r="C40" s="20">
        <f ca="1">IFERROR($E$34/C41,"NA")</f>
        <v>1.0703032161302646</v>
      </c>
      <c r="D40" s="20">
        <f t="shared" ref="D40:E40" ca="1" si="36">IFERROR($E$34/D41,"NA")</f>
        <v>0.84561584418943558</v>
      </c>
      <c r="E40" s="20">
        <f t="shared" ca="1" si="36"/>
        <v>0.72732388717869301</v>
      </c>
      <c r="F40" s="10"/>
      <c r="G40" s="220" t="s">
        <v>106</v>
      </c>
      <c r="H40" s="220"/>
      <c r="I40" s="220"/>
      <c r="J40" s="230">
        <f>J34</f>
        <v>0</v>
      </c>
      <c r="K40" s="230"/>
      <c r="L40" s="230">
        <f t="shared" ref="L40" si="37">L34</f>
        <v>0</v>
      </c>
      <c r="M40" s="230"/>
      <c r="N40" s="230">
        <f t="shared" ref="N40" si="38">N34</f>
        <v>0</v>
      </c>
      <c r="O40" s="230"/>
      <c r="P40" s="231">
        <f t="shared" ref="P40" si="39">P34</f>
        <v>0</v>
      </c>
      <c r="Q40" s="230"/>
      <c r="R40" s="230">
        <f t="shared" ref="R40" si="40">R34</f>
        <v>0</v>
      </c>
      <c r="S40" s="232"/>
      <c r="T40" s="230">
        <f t="shared" si="23"/>
        <v>0</v>
      </c>
      <c r="U40" s="230"/>
      <c r="V40" s="10"/>
      <c r="W40" s="220" t="s">
        <v>120</v>
      </c>
      <c r="X40" s="220"/>
      <c r="Y40" s="220"/>
      <c r="Z40" s="12"/>
      <c r="AA40" s="16" t="s">
        <v>197</v>
      </c>
    </row>
    <row r="41" spans="2:27" x14ac:dyDescent="0.35">
      <c r="B41" s="12" t="s">
        <v>121</v>
      </c>
      <c r="C41" s="20">
        <f>IF(T13=0," -       ",T13)</f>
        <v>442.423</v>
      </c>
      <c r="D41" s="16">
        <f>IFERROR($N$13*(1+16.264%)," -        ")</f>
        <v>559.97858016000009</v>
      </c>
      <c r="E41" s="16">
        <f>IFERROR($N$13*(1+16.264%)^2," -        ")</f>
        <v>651.05349643722252</v>
      </c>
      <c r="F41" s="10"/>
      <c r="G41" s="220" t="s">
        <v>122</v>
      </c>
      <c r="H41" s="220"/>
      <c r="I41" s="220"/>
      <c r="J41" s="233">
        <f>1.14+1.799</f>
        <v>2.9390000000000001</v>
      </c>
      <c r="K41" s="234"/>
      <c r="L41" s="233">
        <f>0.691-0.441</f>
        <v>0.24999999999999994</v>
      </c>
      <c r="M41" s="234"/>
      <c r="N41" s="233">
        <f>1.344+0.228</f>
        <v>1.5720000000000001</v>
      </c>
      <c r="O41" s="234"/>
      <c r="P41" s="235">
        <f>0.439-2.347</f>
        <v>-1.9079999999999999</v>
      </c>
      <c r="Q41" s="233"/>
      <c r="R41" s="233">
        <f>2.09+0.611</f>
        <v>2.7009999999999996</v>
      </c>
      <c r="S41" s="236"/>
      <c r="T41" s="230">
        <f>IFERROR(N41+R41-P41," -        ")</f>
        <v>6.1809999999999992</v>
      </c>
      <c r="U41" s="230"/>
      <c r="V41" s="10"/>
      <c r="W41" s="220" t="s">
        <v>123</v>
      </c>
      <c r="X41" s="220"/>
      <c r="Y41" s="220"/>
      <c r="Z41" s="220"/>
      <c r="AA41" s="20" t="str">
        <f ca="1">Z56</f>
        <v xml:space="preserve">-       </v>
      </c>
    </row>
    <row r="42" spans="2:27" x14ac:dyDescent="0.35">
      <c r="B42" s="12" t="s">
        <v>124</v>
      </c>
      <c r="C42" s="20">
        <f ca="1">IFERROR($E$34/C43,"NA")</f>
        <v>8.0051182491166966</v>
      </c>
      <c r="D42" s="20">
        <f ca="1">IFERROR($E$34/D43,"NA")</f>
        <v>7.2474315443709543</v>
      </c>
      <c r="E42" s="20">
        <f ca="1">IFERROR($E$34/E43,"NA")</f>
        <v>6.1985182808803758</v>
      </c>
      <c r="F42" s="10"/>
      <c r="G42" s="220" t="s">
        <v>125</v>
      </c>
      <c r="H42" s="220"/>
      <c r="I42" s="220"/>
      <c r="J42" s="213">
        <f>IFERROR(J39+J40+J41," -        ")</f>
        <v>18.966999999999992</v>
      </c>
      <c r="K42" s="213"/>
      <c r="L42" s="213">
        <f t="shared" ref="L42" si="41">IFERROR(L39+L40+L41," -        ")</f>
        <v>16.360000000000014</v>
      </c>
      <c r="M42" s="213"/>
      <c r="N42" s="213">
        <f t="shared" ref="N42" si="42">IFERROR(N39+N40+N41," -        ")</f>
        <v>36.259000000000015</v>
      </c>
      <c r="O42" s="213"/>
      <c r="P42" s="225">
        <f>IFERROR(P39+P40+P41," -        ")</f>
        <v>16.974999999999994</v>
      </c>
      <c r="Q42" s="213"/>
      <c r="R42" s="213">
        <f t="shared" ref="R42" si="43">IFERROR(R39+R40+R41," -        ")</f>
        <v>21.238999999999983</v>
      </c>
      <c r="S42" s="226"/>
      <c r="T42" s="213">
        <f t="shared" si="23"/>
        <v>40.523000000000003</v>
      </c>
      <c r="U42" s="213"/>
      <c r="V42" s="10"/>
      <c r="W42" s="220" t="s">
        <v>126</v>
      </c>
      <c r="X42" s="220"/>
      <c r="Y42" s="220"/>
      <c r="Z42" s="12"/>
      <c r="AA42" s="20" t="str">
        <f ca="1">IFERROR(AA56/E21,"-       ")</f>
        <v xml:space="preserve">-       </v>
      </c>
    </row>
    <row r="43" spans="2:27" x14ac:dyDescent="0.35">
      <c r="B43" s="12" t="s">
        <v>121</v>
      </c>
      <c r="C43" s="20">
        <f>IF(T46=0," -       ",T46)</f>
        <v>59.153000000000006</v>
      </c>
      <c r="D43" s="16">
        <f>IFERROR($N$46*(1+16.922%)," -        ")</f>
        <v>65.33718282000001</v>
      </c>
      <c r="E43" s="16">
        <f>IFERROR($N$46*(1+16.922%)^2," -        ")</f>
        <v>76.393540896800417</v>
      </c>
      <c r="F43" s="10"/>
      <c r="G43" s="220" t="s">
        <v>111</v>
      </c>
      <c r="H43" s="220"/>
      <c r="I43" s="220"/>
      <c r="J43" s="205">
        <f>IFERROR(J42/J13," -        ")</f>
        <v>5.6306794398710384E-2</v>
      </c>
      <c r="K43" s="205"/>
      <c r="L43" s="205">
        <f t="shared" ref="L43" si="44">IFERROR(L42/L13," -        ")</f>
        <v>3.4409362038649569E-2</v>
      </c>
      <c r="M43" s="205"/>
      <c r="N43" s="205">
        <f t="shared" ref="N43" si="45">IFERROR(N42/N13," -        ")</f>
        <v>7.5281743362317424E-2</v>
      </c>
      <c r="O43" s="205"/>
      <c r="P43" s="216">
        <f t="shared" ref="P43" si="46">IFERROR(P42/P13," -        ")</f>
        <v>6.4153196699936868E-2</v>
      </c>
      <c r="Q43" s="205"/>
      <c r="R43" s="205">
        <f t="shared" ref="R43" si="47">IFERROR(R42/R13," -        ")</f>
        <v>9.4236400745407678E-2</v>
      </c>
      <c r="S43" s="217"/>
      <c r="T43" s="205">
        <f t="shared" si="23"/>
        <v>0.10536494740778822</v>
      </c>
      <c r="U43" s="205"/>
      <c r="V43" s="10"/>
      <c r="W43" s="220" t="s">
        <v>127</v>
      </c>
      <c r="X43" s="220"/>
      <c r="Y43" s="220"/>
      <c r="Z43" s="12"/>
      <c r="AA43" s="20" t="str">
        <f ca="1">IFERROR(AA40+AA41-AA42,"-       ")</f>
        <v xml:space="preserve">-       </v>
      </c>
    </row>
    <row r="44" spans="2:27" x14ac:dyDescent="0.35">
      <c r="B44" s="12" t="s">
        <v>128</v>
      </c>
      <c r="C44" s="20">
        <f ca="1">IFERROR($E$34/C45,"NA")</f>
        <v>11.685382617032303</v>
      </c>
      <c r="D44" s="20">
        <f t="shared" ref="D44:E44" ca="1" si="48">IFERROR($E$34/D45,"NA")</f>
        <v>9.2516044147872822</v>
      </c>
      <c r="E44" s="20">
        <f t="shared" ca="1" si="48"/>
        <v>6.5539844253239465</v>
      </c>
      <c r="F44" s="10"/>
      <c r="G44" s="220"/>
      <c r="H44" s="220"/>
      <c r="I44" s="220"/>
      <c r="J44" s="213"/>
      <c r="K44" s="213"/>
      <c r="L44" s="213"/>
      <c r="M44" s="213"/>
      <c r="N44" s="213"/>
      <c r="O44" s="213"/>
      <c r="P44" s="225"/>
      <c r="Q44" s="213"/>
      <c r="R44" s="213"/>
      <c r="S44" s="226"/>
      <c r="T44" s="213"/>
      <c r="U44" s="213"/>
      <c r="V44" s="10"/>
      <c r="W44" s="220" t="s">
        <v>129</v>
      </c>
      <c r="X44" s="220"/>
      <c r="Y44" s="220"/>
      <c r="Z44" s="12"/>
      <c r="AA44" s="20" t="str">
        <f>AA66</f>
        <v xml:space="preserve">-       </v>
      </c>
    </row>
    <row r="45" spans="2:27" x14ac:dyDescent="0.35">
      <c r="B45" s="12" t="s">
        <v>121</v>
      </c>
      <c r="C45" s="20">
        <f>IF(T42=0," -       ",T42)</f>
        <v>40.523000000000003</v>
      </c>
      <c r="D45" s="16">
        <f>IFERROR($N$42*(1+41.16%)," -        ")</f>
        <v>51.183204400000022</v>
      </c>
      <c r="E45" s="16">
        <f>IFERROR($N$42*(1+41.16%)^2," -        ")</f>
        <v>72.25021133104002</v>
      </c>
      <c r="F45" s="10"/>
      <c r="G45" s="220" t="s">
        <v>130</v>
      </c>
      <c r="H45" s="220"/>
      <c r="I45" s="220"/>
      <c r="J45" s="230">
        <f>J63</f>
        <v>17.920999999999999</v>
      </c>
      <c r="K45" s="230"/>
      <c r="L45" s="230">
        <f t="shared" ref="L45" si="49">L63</f>
        <v>20.248000000000001</v>
      </c>
      <c r="M45" s="230"/>
      <c r="N45" s="230">
        <f t="shared" ref="N45" si="50">N63</f>
        <v>19.622</v>
      </c>
      <c r="O45" s="230"/>
      <c r="P45" s="231">
        <f t="shared" ref="P45" si="51">P63</f>
        <v>10.02</v>
      </c>
      <c r="Q45" s="230"/>
      <c r="R45" s="230">
        <f t="shared" ref="R45" si="52">R63</f>
        <v>9.0280000000000005</v>
      </c>
      <c r="S45" s="232"/>
      <c r="T45" s="230">
        <f t="shared" si="23"/>
        <v>18.63</v>
      </c>
      <c r="U45" s="230"/>
      <c r="V45" s="10"/>
      <c r="W45" s="229" t="s">
        <v>131</v>
      </c>
      <c r="X45" s="229"/>
      <c r="Y45" s="229"/>
      <c r="Z45" s="12"/>
      <c r="AA45" s="32" t="str">
        <f ca="1">IFERROR(AA43+AA44,"-       ")</f>
        <v xml:space="preserve">-       </v>
      </c>
    </row>
    <row r="46" spans="2:27" x14ac:dyDescent="0.35">
      <c r="B46" s="12" t="s">
        <v>132</v>
      </c>
      <c r="C46" s="20">
        <f ca="1">IFERROR($E$21/C47,"NA")</f>
        <v>15.47586739436205</v>
      </c>
      <c r="D46" s="20">
        <f t="shared" ref="D46:E46" ca="1" si="53">IFERROR($E$21/D47,"NA")</f>
        <v>12.616432084597758</v>
      </c>
      <c r="E46" s="20">
        <f t="shared" ca="1" si="53"/>
        <v>5.3555903999141492</v>
      </c>
      <c r="F46" s="10"/>
      <c r="G46" s="220" t="s">
        <v>133</v>
      </c>
      <c r="H46" s="220"/>
      <c r="I46" s="220"/>
      <c r="J46" s="230">
        <f>IFERROR(J42+J45," -        ")</f>
        <v>36.887999999999991</v>
      </c>
      <c r="K46" s="230"/>
      <c r="L46" s="230">
        <f t="shared" ref="L46" si="54">IFERROR(L42+L45," -        ")</f>
        <v>36.608000000000018</v>
      </c>
      <c r="M46" s="230"/>
      <c r="N46" s="230">
        <f t="shared" ref="N46" si="55">IFERROR(N42+N45," -        ")</f>
        <v>55.881000000000014</v>
      </c>
      <c r="O46" s="230"/>
      <c r="P46" s="231">
        <f t="shared" ref="P46" si="56">IFERROR(P42+P45," -        ")</f>
        <v>26.994999999999994</v>
      </c>
      <c r="Q46" s="230"/>
      <c r="R46" s="230">
        <f t="shared" ref="R46" si="57">IFERROR(R42+R45," -        ")</f>
        <v>30.266999999999982</v>
      </c>
      <c r="S46" s="232"/>
      <c r="T46" s="230">
        <f t="shared" si="23"/>
        <v>59.153000000000006</v>
      </c>
      <c r="U46" s="230"/>
      <c r="V46" s="10"/>
      <c r="W46" s="12"/>
      <c r="X46" s="12"/>
      <c r="Y46" s="12"/>
      <c r="Z46" s="12"/>
      <c r="AA46" s="25"/>
    </row>
    <row r="47" spans="2:27" x14ac:dyDescent="0.35">
      <c r="B47" s="12" t="s">
        <v>121</v>
      </c>
      <c r="C47" s="20">
        <f>IF(T59=0," -       ",T59)</f>
        <v>0.10306369002496545</v>
      </c>
      <c r="D47" s="16">
        <f>IFERROR($N$59*(1+135.575%)," -        ")</f>
        <v>0.12642242983633931</v>
      </c>
      <c r="E47" s="16">
        <f>IFERROR($N$59*(1+135.575%)^2," -        ")</f>
        <v>0.2978196390869563</v>
      </c>
      <c r="F47" s="10"/>
      <c r="G47" s="220" t="s">
        <v>111</v>
      </c>
      <c r="H47" s="220"/>
      <c r="I47" s="220"/>
      <c r="J47" s="205">
        <f>IFERROR(J46/J13," -        ")</f>
        <v>0.10950835829491375</v>
      </c>
      <c r="K47" s="205"/>
      <c r="L47" s="205">
        <f t="shared" ref="L47" si="58">IFERROR(L46/L13," -        ")</f>
        <v>7.6996205715824134E-2</v>
      </c>
      <c r="M47" s="205"/>
      <c r="N47" s="205">
        <f t="shared" ref="N47" si="59">IFERROR(N46/N13," -        ")</f>
        <v>0.11602137678451308</v>
      </c>
      <c r="O47" s="205"/>
      <c r="P47" s="216">
        <f t="shared" ref="P47" si="60">IFERROR(P46/P13," -        ")</f>
        <v>0.10202153431014997</v>
      </c>
      <c r="Q47" s="205"/>
      <c r="R47" s="205">
        <f t="shared" ref="R47" si="61">IFERROR(R46/R13," -        ")</f>
        <v>0.13429319371727741</v>
      </c>
      <c r="S47" s="217"/>
      <c r="T47" s="205">
        <f t="shared" si="23"/>
        <v>0.14829303619164053</v>
      </c>
      <c r="U47" s="205"/>
      <c r="V47" s="10"/>
      <c r="W47" s="229" t="s">
        <v>134</v>
      </c>
      <c r="X47" s="229"/>
      <c r="Y47" s="229"/>
      <c r="Z47" s="12"/>
      <c r="AA47" s="25"/>
    </row>
    <row r="48" spans="2:27" x14ac:dyDescent="0.35">
      <c r="B48" s="10"/>
      <c r="C48" s="10"/>
      <c r="D48" s="10"/>
      <c r="E48" s="10"/>
      <c r="F48" s="10"/>
      <c r="G48" s="220"/>
      <c r="H48" s="220"/>
      <c r="I48" s="220"/>
      <c r="J48" s="213"/>
      <c r="K48" s="213"/>
      <c r="L48" s="213"/>
      <c r="M48" s="213"/>
      <c r="N48" s="213"/>
      <c r="O48" s="213"/>
      <c r="P48" s="225"/>
      <c r="Q48" s="213"/>
      <c r="R48" s="213"/>
      <c r="S48" s="226"/>
      <c r="T48" s="213"/>
      <c r="U48" s="213"/>
      <c r="V48" s="10"/>
      <c r="W48" s="33"/>
      <c r="X48" s="33" t="s">
        <v>135</v>
      </c>
      <c r="Y48" s="33" t="s">
        <v>136</v>
      </c>
      <c r="Z48" s="33" t="s">
        <v>137</v>
      </c>
      <c r="AA48" s="33"/>
    </row>
    <row r="49" spans="2:27" ht="15" thickBot="1" x14ac:dyDescent="0.4">
      <c r="B49" s="8" t="s">
        <v>138</v>
      </c>
      <c r="C49" s="9"/>
      <c r="D49" s="9"/>
      <c r="E49" s="9"/>
      <c r="F49" s="10"/>
      <c r="G49" s="220" t="s">
        <v>139</v>
      </c>
      <c r="H49" s="220"/>
      <c r="I49" s="220"/>
      <c r="J49" s="213">
        <f>J25</f>
        <v>4.454999999999993</v>
      </c>
      <c r="K49" s="213"/>
      <c r="L49" s="213">
        <f t="shared" ref="L49" si="62">L25</f>
        <v>1.9600000000000128</v>
      </c>
      <c r="M49" s="213"/>
      <c r="N49" s="213">
        <f t="shared" ref="N49" si="63">N25</f>
        <v>15.071000000000012</v>
      </c>
      <c r="O49" s="213"/>
      <c r="P49" s="225">
        <f t="shared" ref="P49" si="64">P25</f>
        <v>9.1599999999999966</v>
      </c>
      <c r="Q49" s="213"/>
      <c r="R49" s="213">
        <f t="shared" ref="R49" si="65">R25</f>
        <v>8.3749999999999822</v>
      </c>
      <c r="S49" s="226"/>
      <c r="T49" s="213">
        <f t="shared" si="23"/>
        <v>14.285999999999998</v>
      </c>
      <c r="U49" s="213"/>
      <c r="V49" s="10"/>
      <c r="W49" s="33" t="s">
        <v>140</v>
      </c>
      <c r="X49" s="33" t="s">
        <v>141</v>
      </c>
      <c r="Y49" s="33" t="s">
        <v>142</v>
      </c>
      <c r="Z49" s="33" t="s">
        <v>141</v>
      </c>
      <c r="AA49" s="33" t="s">
        <v>143</v>
      </c>
    </row>
    <row r="50" spans="2:27" ht="2" customHeight="1" x14ac:dyDescent="0.35">
      <c r="B50" s="2"/>
      <c r="C50" s="2"/>
      <c r="D50" s="2"/>
      <c r="E50" s="2"/>
      <c r="F50" s="10"/>
      <c r="G50" s="220"/>
      <c r="H50" s="220"/>
      <c r="I50" s="220"/>
      <c r="J50" s="213"/>
      <c r="K50" s="213"/>
      <c r="L50" s="213"/>
      <c r="M50" s="213"/>
      <c r="N50" s="213"/>
      <c r="O50" s="213"/>
      <c r="P50" s="225"/>
      <c r="Q50" s="213"/>
      <c r="R50" s="213"/>
      <c r="S50" s="226"/>
      <c r="T50" s="213">
        <f t="shared" si="23"/>
        <v>0</v>
      </c>
      <c r="U50" s="213"/>
      <c r="V50" s="10"/>
      <c r="W50" s="12"/>
      <c r="X50" s="34"/>
      <c r="Y50" s="34"/>
      <c r="Z50" s="12"/>
      <c r="AA50" s="12"/>
    </row>
    <row r="51" spans="2:27" x14ac:dyDescent="0.35">
      <c r="B51" s="220" t="s">
        <v>144</v>
      </c>
      <c r="C51" s="220"/>
      <c r="D51" s="220"/>
      <c r="E51" s="26">
        <f>IFERROR((T42*(1-T26))/(AA15-AA26+AA17+AA18),"-       ")</f>
        <v>7.5020014168824589E-2</v>
      </c>
      <c r="F51" s="10"/>
      <c r="G51" s="220" t="s">
        <v>145</v>
      </c>
      <c r="H51" s="220"/>
      <c r="I51" s="220"/>
      <c r="J51" s="213">
        <f>J34</f>
        <v>0</v>
      </c>
      <c r="K51" s="213"/>
      <c r="L51" s="213">
        <f t="shared" ref="L51" si="66">L34</f>
        <v>0</v>
      </c>
      <c r="M51" s="213"/>
      <c r="N51" s="213">
        <f t="shared" ref="N51" si="67">N34</f>
        <v>0</v>
      </c>
      <c r="O51" s="213"/>
      <c r="P51" s="225">
        <f t="shared" ref="P51" si="68">P34</f>
        <v>0</v>
      </c>
      <c r="Q51" s="213"/>
      <c r="R51" s="213">
        <f t="shared" ref="R51" si="69">R34</f>
        <v>0</v>
      </c>
      <c r="S51" s="226"/>
      <c r="T51" s="213">
        <f t="shared" si="23"/>
        <v>0</v>
      </c>
      <c r="U51" s="213"/>
      <c r="V51" s="10"/>
      <c r="W51" s="12" t="s">
        <v>146</v>
      </c>
      <c r="X51" s="38" t="s">
        <v>197</v>
      </c>
      <c r="Y51" s="16" t="s">
        <v>197</v>
      </c>
      <c r="Z51" s="30" t="str">
        <f ca="1">IF($E$21&gt;Y51,X51,"-       ")</f>
        <v xml:space="preserve">-       </v>
      </c>
      <c r="AA51" s="30" t="str">
        <f ca="1">IFERROR(Z51*Y51,"-       ")</f>
        <v xml:space="preserve">-       </v>
      </c>
    </row>
    <row r="52" spans="2:27" x14ac:dyDescent="0.35">
      <c r="B52" s="220" t="s">
        <v>147</v>
      </c>
      <c r="C52" s="220"/>
      <c r="D52" s="220"/>
      <c r="E52" s="26">
        <f>IFERROR(T55/AA34,"-       ")</f>
        <v>0.13679456992328565</v>
      </c>
      <c r="F52" s="10"/>
      <c r="G52" s="220" t="s">
        <v>122</v>
      </c>
      <c r="H52" s="220"/>
      <c r="I52" s="220"/>
      <c r="J52" s="213">
        <f>J41</f>
        <v>2.9390000000000001</v>
      </c>
      <c r="K52" s="213"/>
      <c r="L52" s="213">
        <f t="shared" ref="L52" si="70">L41</f>
        <v>0.24999999999999994</v>
      </c>
      <c r="M52" s="213"/>
      <c r="N52" s="213">
        <f t="shared" ref="N52" si="71">N41</f>
        <v>1.5720000000000001</v>
      </c>
      <c r="O52" s="213"/>
      <c r="P52" s="225">
        <f>P41</f>
        <v>-1.9079999999999999</v>
      </c>
      <c r="Q52" s="213"/>
      <c r="R52" s="213">
        <f t="shared" ref="R52" si="72">R41</f>
        <v>2.7009999999999996</v>
      </c>
      <c r="S52" s="226"/>
      <c r="T52" s="213">
        <f t="shared" si="23"/>
        <v>6.1809999999999992</v>
      </c>
      <c r="U52" s="213"/>
      <c r="V52" s="10"/>
      <c r="W52" s="12" t="s">
        <v>148</v>
      </c>
      <c r="X52" s="38" t="s">
        <v>197</v>
      </c>
      <c r="Y52" s="16" t="s">
        <v>197</v>
      </c>
      <c r="Z52" s="30" t="str">
        <f t="shared" ref="Z52:Z55" ca="1" si="73">IF($E$21&gt;Y52,X52,"-       ")</f>
        <v xml:space="preserve">-       </v>
      </c>
      <c r="AA52" s="30" t="str">
        <f t="shared" ref="AA52:AA55" ca="1" si="74">IFERROR(Z52*Y52,"-       ")</f>
        <v xml:space="preserve">-       </v>
      </c>
    </row>
    <row r="53" spans="2:27" x14ac:dyDescent="0.35">
      <c r="B53" s="220" t="s">
        <v>149</v>
      </c>
      <c r="C53" s="220"/>
      <c r="D53" s="220"/>
      <c r="E53" s="26">
        <f>IFERROR(T55/AA21,"-       ")</f>
        <v>4.9614325068870507E-2</v>
      </c>
      <c r="F53" s="10"/>
      <c r="G53" s="220" t="s">
        <v>150</v>
      </c>
      <c r="H53" s="220"/>
      <c r="I53" s="220"/>
      <c r="J53" s="209">
        <v>0.23799999999999999</v>
      </c>
      <c r="K53" s="210"/>
      <c r="L53" s="209">
        <v>0.91300000000000003</v>
      </c>
      <c r="M53" s="210"/>
      <c r="N53" s="209">
        <f>2.404-8.765</f>
        <v>-6.3610000000000007</v>
      </c>
      <c r="O53" s="210"/>
      <c r="P53" s="211">
        <f>0.592-5.032</f>
        <v>-4.4400000000000004</v>
      </c>
      <c r="Q53" s="210"/>
      <c r="R53" s="209">
        <f>1.265</f>
        <v>1.2649999999999999</v>
      </c>
      <c r="S53" s="212"/>
      <c r="T53" s="213">
        <f t="shared" si="23"/>
        <v>-0.65600000000000058</v>
      </c>
      <c r="U53" s="213"/>
      <c r="V53" s="10"/>
      <c r="W53" s="12" t="s">
        <v>151</v>
      </c>
      <c r="X53" s="38" t="s">
        <v>197</v>
      </c>
      <c r="Y53" s="16" t="s">
        <v>197</v>
      </c>
      <c r="Z53" s="30" t="str">
        <f t="shared" ca="1" si="73"/>
        <v xml:space="preserve">-       </v>
      </c>
      <c r="AA53" s="30" t="str">
        <f t="shared" ca="1" si="74"/>
        <v xml:space="preserve">-       </v>
      </c>
    </row>
    <row r="54" spans="2:27" x14ac:dyDescent="0.35">
      <c r="B54" s="220" t="s">
        <v>207</v>
      </c>
      <c r="C54" s="220"/>
      <c r="D54" s="220"/>
      <c r="E54" s="26">
        <f ca="1">IFERROR(E14*4/E21,"NA")</f>
        <v>1.5673981191222573E-2</v>
      </c>
      <c r="F54" s="10"/>
      <c r="G54" s="220" t="s">
        <v>153</v>
      </c>
      <c r="H54" s="220"/>
      <c r="I54" s="220"/>
      <c r="J54" s="213">
        <v>0</v>
      </c>
      <c r="K54" s="213"/>
      <c r="L54" s="213">
        <v>0</v>
      </c>
      <c r="M54" s="213"/>
      <c r="N54" s="213">
        <v>0</v>
      </c>
      <c r="O54" s="213"/>
      <c r="P54" s="225">
        <v>0</v>
      </c>
      <c r="Q54" s="213"/>
      <c r="R54" s="213">
        <v>0</v>
      </c>
      <c r="S54" s="226"/>
      <c r="T54" s="213">
        <f t="shared" si="23"/>
        <v>0</v>
      </c>
      <c r="U54" s="213"/>
      <c r="V54" s="10"/>
      <c r="W54" s="12" t="s">
        <v>154</v>
      </c>
      <c r="X54" s="38" t="s">
        <v>197</v>
      </c>
      <c r="Y54" s="16" t="s">
        <v>197</v>
      </c>
      <c r="Z54" s="30" t="str">
        <f t="shared" ca="1" si="73"/>
        <v xml:space="preserve">-       </v>
      </c>
      <c r="AA54" s="30" t="str">
        <f ca="1">IFERROR(Z54*Y54,"-       ")</f>
        <v xml:space="preserve">-       </v>
      </c>
    </row>
    <row r="55" spans="2:27" x14ac:dyDescent="0.35">
      <c r="B55" s="10"/>
      <c r="C55" s="10"/>
      <c r="D55" s="10"/>
      <c r="E55" s="10"/>
      <c r="F55" s="10"/>
      <c r="G55" s="220" t="s">
        <v>155</v>
      </c>
      <c r="H55" s="220"/>
      <c r="I55" s="220"/>
      <c r="J55" s="213">
        <f>IFERROR(J49+J51+J52+J53+J54," -        ")</f>
        <v>7.6319999999999926</v>
      </c>
      <c r="K55" s="213"/>
      <c r="L55" s="213">
        <f t="shared" ref="L55" si="75">IFERROR(L49+L51+L52+L53+L54," -        ")</f>
        <v>3.1230000000000127</v>
      </c>
      <c r="M55" s="213"/>
      <c r="N55" s="213">
        <f t="shared" ref="N55" si="76">IFERROR(N49+N51+N52+N53+N54," -        ")</f>
        <v>10.282000000000011</v>
      </c>
      <c r="O55" s="213"/>
      <c r="P55" s="225">
        <f t="shared" ref="P55" si="77">IFERROR(P49+P51+P52+P53+P54," -        ")</f>
        <v>2.8119999999999967</v>
      </c>
      <c r="Q55" s="213"/>
      <c r="R55" s="213">
        <f t="shared" ref="R55" si="78">IFERROR(R49+R51+R52+R53+R54," -        ")</f>
        <v>12.340999999999983</v>
      </c>
      <c r="S55" s="226"/>
      <c r="T55" s="213">
        <f t="shared" si="23"/>
        <v>19.810999999999996</v>
      </c>
      <c r="U55" s="213"/>
      <c r="V55" s="10"/>
      <c r="W55" s="12" t="s">
        <v>156</v>
      </c>
      <c r="X55" s="38" t="s">
        <v>197</v>
      </c>
      <c r="Y55" s="16" t="s">
        <v>197</v>
      </c>
      <c r="Z55" s="30" t="str">
        <f t="shared" ca="1" si="73"/>
        <v xml:space="preserve">-       </v>
      </c>
      <c r="AA55" s="30" t="str">
        <f t="shared" ca="1" si="74"/>
        <v xml:space="preserve">-       </v>
      </c>
    </row>
    <row r="56" spans="2:27" ht="15" thickBot="1" x14ac:dyDescent="0.4">
      <c r="B56" s="8" t="s">
        <v>157</v>
      </c>
      <c r="C56" s="9"/>
      <c r="D56" s="9"/>
      <c r="E56" s="9"/>
      <c r="F56" s="10"/>
      <c r="G56" s="220" t="s">
        <v>111</v>
      </c>
      <c r="H56" s="220"/>
      <c r="I56" s="220"/>
      <c r="J56" s="205">
        <f>IFERROR(J55/J13," -        ")</f>
        <v>2.2656901716189035E-2</v>
      </c>
      <c r="K56" s="205"/>
      <c r="L56" s="205">
        <f t="shared" ref="L56" si="79">IFERROR(L55/L13," -        ")</f>
        <v>6.5684864087226739E-3</v>
      </c>
      <c r="M56" s="205"/>
      <c r="N56" s="205">
        <f t="shared" ref="N56" si="80">IFERROR(N55/N13," -        ")</f>
        <v>2.1347717401234128E-2</v>
      </c>
      <c r="O56" s="205"/>
      <c r="P56" s="216">
        <f t="shared" ref="P56" si="81">IFERROR(P55/P13," -        ")</f>
        <v>1.0627321892207501E-2</v>
      </c>
      <c r="Q56" s="205"/>
      <c r="R56" s="205">
        <f t="shared" ref="R56" si="82">IFERROR(R55/R13," -        ")</f>
        <v>5.4756411394089911E-2</v>
      </c>
      <c r="S56" s="217"/>
      <c r="T56" s="205">
        <f t="shared" si="23"/>
        <v>6.5476806903116538E-2</v>
      </c>
      <c r="U56" s="205"/>
      <c r="V56" s="10"/>
      <c r="W56" s="18" t="s">
        <v>158</v>
      </c>
      <c r="X56" s="45" t="str">
        <f>IFERROR(X51+X52+X53+X54+X55,"-       ")</f>
        <v xml:space="preserve">-       </v>
      </c>
      <c r="Y56" s="45"/>
      <c r="Z56" s="45" t="str">
        <f ca="1">IFERROR(Z51+Z52+Z53+Z54+Z55,"-       ")</f>
        <v xml:space="preserve">-       </v>
      </c>
      <c r="AA56" s="45" t="str">
        <f ca="1">IF(SUM(AA51:AA55)=0,"-       ",SUM(AA51:AA55))</f>
        <v xml:space="preserve">-       </v>
      </c>
    </row>
    <row r="57" spans="2:27" ht="3.5" customHeight="1" x14ac:dyDescent="0.35">
      <c r="B57" s="2"/>
      <c r="C57" s="2"/>
      <c r="D57" s="2"/>
      <c r="E57" s="2"/>
      <c r="F57" s="10"/>
      <c r="G57" s="220"/>
      <c r="H57" s="220"/>
      <c r="I57" s="220"/>
      <c r="J57" s="224"/>
      <c r="K57" s="224"/>
      <c r="L57" s="224"/>
      <c r="M57" s="224"/>
      <c r="N57" s="224"/>
      <c r="O57" s="224"/>
      <c r="P57" s="227"/>
      <c r="Q57" s="224"/>
      <c r="R57" s="224"/>
      <c r="S57" s="228"/>
      <c r="T57" s="224">
        <f t="shared" si="23"/>
        <v>0</v>
      </c>
      <c r="U57" s="224"/>
      <c r="V57" s="10"/>
      <c r="W57" s="12"/>
      <c r="X57" s="12"/>
      <c r="Y57" s="12"/>
      <c r="Z57" s="12"/>
      <c r="AA57" s="12"/>
    </row>
    <row r="58" spans="2:27" x14ac:dyDescent="0.35">
      <c r="B58" s="220" t="s">
        <v>198</v>
      </c>
      <c r="C58" s="220"/>
      <c r="D58" s="220"/>
      <c r="E58" s="26">
        <f ca="1">IFERROR(AA28/(E27*E21),"-       ")</f>
        <v>0.55971544907178594</v>
      </c>
      <c r="F58" s="10"/>
      <c r="G58" s="220"/>
      <c r="H58" s="220"/>
      <c r="I58" s="220"/>
      <c r="J58" s="213"/>
      <c r="K58" s="213"/>
      <c r="L58" s="213"/>
      <c r="M58" s="213"/>
      <c r="N58" s="213"/>
      <c r="O58" s="213"/>
      <c r="P58" s="225"/>
      <c r="Q58" s="213"/>
      <c r="R58" s="213"/>
      <c r="S58" s="226"/>
      <c r="T58" s="213"/>
      <c r="U58" s="213"/>
      <c r="V58" s="10"/>
      <c r="W58" s="18" t="s">
        <v>160</v>
      </c>
      <c r="X58" s="12"/>
      <c r="Y58" s="12"/>
      <c r="Z58" s="12"/>
      <c r="AA58" s="12"/>
    </row>
    <row r="59" spans="2:27" ht="15" thickBot="1" x14ac:dyDescent="0.4">
      <c r="B59" s="220" t="s">
        <v>161</v>
      </c>
      <c r="C59" s="220"/>
      <c r="D59" s="220"/>
      <c r="E59" s="37">
        <f>IFERROR((AA28+AA24)/T46,"-       ")</f>
        <v>3.2033878247933325</v>
      </c>
      <c r="F59" s="10"/>
      <c r="G59" s="220" t="s">
        <v>162</v>
      </c>
      <c r="H59" s="220"/>
      <c r="I59" s="220"/>
      <c r="J59" s="213">
        <f>IFERROR(J55/J28," -        ")</f>
        <v>3.9926877940850335E-2</v>
      </c>
      <c r="K59" s="213"/>
      <c r="L59" s="213">
        <f>IFERROR(L55/L28," -        ")</f>
        <v>1.6276401079562727E-2</v>
      </c>
      <c r="M59" s="213"/>
      <c r="N59" s="213">
        <f>IFERROR(N55/N28," -        ")</f>
        <v>5.3665469526197322E-2</v>
      </c>
      <c r="O59" s="213"/>
      <c r="P59" s="223">
        <f>IFERROR(P55/P28," -        ")</f>
        <v>1.4676843056571342E-2</v>
      </c>
      <c r="Q59" s="218"/>
      <c r="R59" s="218">
        <f>IFERROR(R55/R28," -        ")</f>
        <v>6.407506355533947E-2</v>
      </c>
      <c r="S59" s="219"/>
      <c r="T59" s="213">
        <f t="shared" si="23"/>
        <v>0.10306369002496545</v>
      </c>
      <c r="U59" s="213"/>
      <c r="V59" s="10"/>
      <c r="W59" s="12"/>
      <c r="X59" s="33"/>
      <c r="Y59" s="33" t="s">
        <v>163</v>
      </c>
      <c r="Z59" s="33" t="s">
        <v>163</v>
      </c>
      <c r="AA59" s="33" t="s">
        <v>164</v>
      </c>
    </row>
    <row r="60" spans="2:27" x14ac:dyDescent="0.35">
      <c r="B60" s="220" t="s">
        <v>165</v>
      </c>
      <c r="C60" s="220"/>
      <c r="D60" s="220"/>
      <c r="E60" s="37">
        <f>IFERROR((AA28+AA24-AA11)/T46,"-       ")</f>
        <v>2.8253850185113176</v>
      </c>
      <c r="F60" s="10"/>
      <c r="G60" s="10"/>
      <c r="H60" s="10"/>
      <c r="I60" s="10"/>
      <c r="J60" s="10"/>
      <c r="K60" s="10"/>
      <c r="L60" s="10"/>
      <c r="M60" s="10"/>
      <c r="N60" s="10"/>
      <c r="O60" s="10"/>
      <c r="P60" s="10"/>
      <c r="Q60" s="10"/>
      <c r="R60" s="10"/>
      <c r="S60" s="10"/>
      <c r="T60" s="10"/>
      <c r="U60" s="10"/>
      <c r="V60" s="10"/>
      <c r="W60" s="12"/>
      <c r="X60" s="33" t="s">
        <v>166</v>
      </c>
      <c r="Y60" s="33" t="s">
        <v>142</v>
      </c>
      <c r="Z60" s="33" t="s">
        <v>167</v>
      </c>
      <c r="AA60" s="33" t="s">
        <v>141</v>
      </c>
    </row>
    <row r="61" spans="2:27" x14ac:dyDescent="0.35">
      <c r="B61" s="220" t="s">
        <v>168</v>
      </c>
      <c r="C61" s="220"/>
      <c r="D61" s="220"/>
      <c r="E61" s="37">
        <f>IFERROR(T46/T19,"-       ")</f>
        <v>4.9750210260723309</v>
      </c>
      <c r="F61" s="10"/>
      <c r="G61" s="10"/>
      <c r="H61" s="10"/>
      <c r="I61" s="10"/>
      <c r="J61" s="10"/>
      <c r="K61" s="10"/>
      <c r="L61" s="10"/>
      <c r="M61" s="10"/>
      <c r="N61" s="10"/>
      <c r="O61" s="10"/>
      <c r="P61" s="10"/>
      <c r="Q61" s="10"/>
      <c r="R61" s="10"/>
      <c r="S61" s="10"/>
      <c r="T61" s="10"/>
      <c r="U61" s="10"/>
      <c r="V61" s="10"/>
      <c r="W61" s="12" t="s">
        <v>169</v>
      </c>
      <c r="X61" s="38" t="s">
        <v>197</v>
      </c>
      <c r="Y61" s="38" t="s">
        <v>197</v>
      </c>
      <c r="Z61" s="38" t="s">
        <v>197</v>
      </c>
      <c r="AA61" s="30" t="str">
        <f>IFERROR(X61/Y61*Z61,"-       ")</f>
        <v xml:space="preserve">-       </v>
      </c>
    </row>
    <row r="62" spans="2:27" ht="15" thickBot="1" x14ac:dyDescent="0.4">
      <c r="B62" s="220" t="s">
        <v>170</v>
      </c>
      <c r="C62" s="220"/>
      <c r="D62" s="220"/>
      <c r="E62" s="37">
        <f>IFERROR((T46-T65)/T19,"-       ")</f>
        <v>2.9173254835996643</v>
      </c>
      <c r="F62" s="10"/>
      <c r="G62" s="1" t="s">
        <v>171</v>
      </c>
      <c r="H62" s="2"/>
      <c r="I62" s="2"/>
      <c r="J62" s="2"/>
      <c r="K62" s="2"/>
      <c r="L62" s="2"/>
      <c r="M62" s="2"/>
      <c r="N62" s="2"/>
      <c r="O62" s="2"/>
      <c r="P62" s="2"/>
      <c r="Q62" s="2"/>
      <c r="R62" s="2"/>
      <c r="S62" s="2"/>
      <c r="T62" s="2"/>
      <c r="U62" s="2"/>
      <c r="V62" s="10"/>
      <c r="W62" s="12" t="s">
        <v>172</v>
      </c>
      <c r="X62" s="38" t="s">
        <v>197</v>
      </c>
      <c r="Y62" s="38" t="s">
        <v>197</v>
      </c>
      <c r="Z62" s="38" t="s">
        <v>197</v>
      </c>
      <c r="AA62" s="30" t="str">
        <f t="shared" ref="AA62:AA65" si="83">IFERROR(X62/Y62*Z62,"-       ")</f>
        <v xml:space="preserve">-       </v>
      </c>
    </row>
    <row r="63" spans="2:27" x14ac:dyDescent="0.35">
      <c r="B63" s="220" t="s">
        <v>173</v>
      </c>
      <c r="C63" s="220"/>
      <c r="D63" s="220"/>
      <c r="E63" s="37">
        <f>IFERROR(T42/T19,"-       ")</f>
        <v>3.4081581160639201</v>
      </c>
      <c r="F63" s="10"/>
      <c r="G63" s="12" t="s">
        <v>130</v>
      </c>
      <c r="H63" s="12"/>
      <c r="I63" s="12"/>
      <c r="J63" s="209">
        <v>17.920999999999999</v>
      </c>
      <c r="K63" s="210"/>
      <c r="L63" s="209">
        <v>20.248000000000001</v>
      </c>
      <c r="M63" s="210"/>
      <c r="N63" s="209">
        <v>19.622</v>
      </c>
      <c r="O63" s="210"/>
      <c r="P63" s="221">
        <v>10.02</v>
      </c>
      <c r="Q63" s="222"/>
      <c r="R63" s="214">
        <v>9.0280000000000005</v>
      </c>
      <c r="S63" s="215"/>
      <c r="T63" s="213">
        <f t="shared" ref="T63:T66" si="84">IFERROR(N63+R63-P63," -        ")</f>
        <v>18.63</v>
      </c>
      <c r="U63" s="213"/>
      <c r="V63" s="10"/>
      <c r="W63" s="12" t="s">
        <v>174</v>
      </c>
      <c r="X63" s="38" t="s">
        <v>197</v>
      </c>
      <c r="Y63" s="38" t="s">
        <v>197</v>
      </c>
      <c r="Z63" s="38" t="s">
        <v>197</v>
      </c>
      <c r="AA63" s="30" t="str">
        <f t="shared" si="83"/>
        <v xml:space="preserve">-       </v>
      </c>
    </row>
    <row r="64" spans="2:27" x14ac:dyDescent="0.35">
      <c r="B64" s="10"/>
      <c r="C64" s="10"/>
      <c r="D64" s="10"/>
      <c r="E64" s="10"/>
      <c r="F64" s="10"/>
      <c r="G64" s="12" t="s">
        <v>175</v>
      </c>
      <c r="H64" s="12"/>
      <c r="I64" s="12"/>
      <c r="J64" s="205">
        <f>IFERROR(J63/J13," -        ")</f>
        <v>5.3201563896203362E-2</v>
      </c>
      <c r="K64" s="205"/>
      <c r="L64" s="205">
        <f t="shared" ref="L64" si="85">IFERROR(L63/L13," -        ")</f>
        <v>4.2586843677174566E-2</v>
      </c>
      <c r="M64" s="205"/>
      <c r="N64" s="205">
        <f t="shared" ref="N64" si="86">IFERROR(N63/N13," -        ")</f>
        <v>4.0739633422195644E-2</v>
      </c>
      <c r="O64" s="205"/>
      <c r="P64" s="216">
        <f t="shared" ref="P64" si="87">IFERROR(P63/P13," -        ")</f>
        <v>3.7868337610213111E-2</v>
      </c>
      <c r="Q64" s="205"/>
      <c r="R64" s="205">
        <f t="shared" ref="R64" si="88">IFERROR(R63/R13," -        ")</f>
        <v>4.0056792971869731E-2</v>
      </c>
      <c r="S64" s="217"/>
      <c r="T64" s="205">
        <f t="shared" si="84"/>
        <v>4.2928088783852257E-2</v>
      </c>
      <c r="U64" s="205"/>
      <c r="V64" s="10"/>
      <c r="W64" s="12" t="s">
        <v>176</v>
      </c>
      <c r="X64" s="38" t="s">
        <v>197</v>
      </c>
      <c r="Y64" s="38" t="s">
        <v>197</v>
      </c>
      <c r="Z64" s="38" t="s">
        <v>197</v>
      </c>
      <c r="AA64" s="30" t="str">
        <f t="shared" si="83"/>
        <v xml:space="preserve">-       </v>
      </c>
    </row>
    <row r="65" spans="2:27" x14ac:dyDescent="0.35">
      <c r="B65" s="1" t="s">
        <v>177</v>
      </c>
      <c r="C65" s="2"/>
      <c r="D65" s="2"/>
      <c r="E65" s="2"/>
      <c r="F65" s="10"/>
      <c r="G65" s="12" t="s">
        <v>178</v>
      </c>
      <c r="H65" s="12"/>
      <c r="I65" s="12"/>
      <c r="J65" s="209">
        <v>23.975000000000001</v>
      </c>
      <c r="K65" s="210"/>
      <c r="L65" s="209">
        <v>15.151</v>
      </c>
      <c r="M65" s="210"/>
      <c r="N65" s="209">
        <v>23.859000000000002</v>
      </c>
      <c r="O65" s="210"/>
      <c r="P65" s="211">
        <v>7.7439999999999998</v>
      </c>
      <c r="Q65" s="210"/>
      <c r="R65" s="209">
        <v>8.3510000000000009</v>
      </c>
      <c r="S65" s="212"/>
      <c r="T65" s="213">
        <f t="shared" si="84"/>
        <v>24.466000000000001</v>
      </c>
      <c r="U65" s="213"/>
      <c r="V65" s="10"/>
      <c r="W65" s="12" t="s">
        <v>179</v>
      </c>
      <c r="X65" s="38" t="s">
        <v>197</v>
      </c>
      <c r="Y65" s="38" t="s">
        <v>197</v>
      </c>
      <c r="Z65" s="38" t="s">
        <v>197</v>
      </c>
      <c r="AA65" s="30" t="str">
        <f t="shared" si="83"/>
        <v xml:space="preserve">-       </v>
      </c>
    </row>
    <row r="66" spans="2:27" ht="15" thickBot="1" x14ac:dyDescent="0.4">
      <c r="B66" s="12"/>
      <c r="C66" s="13" t="s">
        <v>8</v>
      </c>
      <c r="D66" s="13" t="s">
        <v>180</v>
      </c>
      <c r="E66" s="13" t="s">
        <v>181</v>
      </c>
      <c r="F66" s="10"/>
      <c r="G66" s="12" t="s">
        <v>175</v>
      </c>
      <c r="H66" s="12"/>
      <c r="I66" s="12"/>
      <c r="J66" s="205">
        <f>IFERROR(J65/J13," -        ")</f>
        <v>7.1173901814155227E-2</v>
      </c>
      <c r="K66" s="205"/>
      <c r="L66" s="205">
        <f>IFERROR(L65/L13," -        ")</f>
        <v>3.1866518597040289E-2</v>
      </c>
      <c r="M66" s="205"/>
      <c r="N66" s="205">
        <f t="shared" ref="N66" si="89">IFERROR(N65/N13," -        ")</f>
        <v>4.9536587188878094E-2</v>
      </c>
      <c r="O66" s="205"/>
      <c r="P66" s="206">
        <f t="shared" ref="P66" si="90">IFERROR(P65/P13," -        ")</f>
        <v>2.926670723088726E-2</v>
      </c>
      <c r="Q66" s="207"/>
      <c r="R66" s="207">
        <f t="shared" ref="R66" si="91">IFERROR(R65/R13," -        ")</f>
        <v>3.7052977194072238E-2</v>
      </c>
      <c r="S66" s="208"/>
      <c r="T66" s="205">
        <f t="shared" si="84"/>
        <v>5.7322857152063075E-2</v>
      </c>
      <c r="U66" s="205"/>
      <c r="V66" s="10"/>
      <c r="W66" s="12" t="s">
        <v>182</v>
      </c>
      <c r="X66" s="30"/>
      <c r="Y66" s="30"/>
      <c r="Z66" s="30"/>
      <c r="AA66" s="30" t="str">
        <f>IFERROR(AA61+AA62+AA65+AA64+AA63,"-       ")</f>
        <v xml:space="preserve">-       </v>
      </c>
    </row>
    <row r="67" spans="2:27" x14ac:dyDescent="0.35">
      <c r="B67" s="18" t="s">
        <v>183</v>
      </c>
      <c r="C67" s="25"/>
      <c r="D67" s="25"/>
      <c r="E67" s="25"/>
      <c r="F67" s="10"/>
      <c r="G67" s="12"/>
      <c r="H67" s="12"/>
      <c r="I67" s="12"/>
      <c r="J67" s="25"/>
      <c r="K67" s="25"/>
      <c r="L67" s="25"/>
      <c r="M67" s="25"/>
      <c r="N67" s="25"/>
      <c r="O67" s="25"/>
      <c r="P67" s="39"/>
      <c r="Q67" s="39"/>
      <c r="R67" s="39"/>
      <c r="S67" s="39"/>
      <c r="T67" s="25"/>
      <c r="U67" s="25"/>
      <c r="V67" s="10"/>
      <c r="W67" s="12"/>
      <c r="X67" s="12"/>
      <c r="Y67" s="12"/>
      <c r="Z67" s="12"/>
      <c r="AA67" s="12"/>
    </row>
    <row r="68" spans="2:27" x14ac:dyDescent="0.35">
      <c r="B68" s="12" t="s">
        <v>184</v>
      </c>
      <c r="C68" s="26">
        <f>IFERROR(N13/L13-1,"-       ")</f>
        <v>1.3023396683576882E-2</v>
      </c>
      <c r="D68" s="26">
        <f>IFERROR(N46/L46-1,"-       ")</f>
        <v>0.52646962412587373</v>
      </c>
      <c r="E68" s="26">
        <f>IFERROR(N59/L59-1,"-       ")</f>
        <v>2.2971336393019794</v>
      </c>
      <c r="F68" s="10"/>
      <c r="G68" s="10"/>
      <c r="H68" s="10"/>
      <c r="I68" s="10"/>
      <c r="J68" s="10"/>
      <c r="K68" s="10"/>
      <c r="L68" s="10"/>
      <c r="M68" s="10"/>
      <c r="N68" s="10"/>
      <c r="O68" s="10"/>
      <c r="P68" s="10"/>
      <c r="Q68" s="10"/>
      <c r="R68" s="10"/>
      <c r="S68" s="10"/>
      <c r="T68" s="10"/>
      <c r="U68" s="10"/>
      <c r="V68" s="10"/>
      <c r="W68" s="10"/>
      <c r="X68" s="10"/>
      <c r="Y68" s="10"/>
      <c r="Z68" s="10"/>
      <c r="AA68" s="10"/>
    </row>
    <row r="69" spans="2:27" x14ac:dyDescent="0.35">
      <c r="B69" s="12" t="s">
        <v>185</v>
      </c>
      <c r="C69" s="26">
        <f>IFERROR((N13/J13)^0.5-1,"-       ")</f>
        <v>0.19576037240400357</v>
      </c>
      <c r="D69" s="26">
        <f>IFERROR((N46/J46)^0.5-1,"-       ")</f>
        <v>0.23080578839405352</v>
      </c>
      <c r="E69" s="26">
        <f>IFERROR((N59/J59)^0.5-1,"-       ")</f>
        <v>0.1593505987549213</v>
      </c>
      <c r="F69" s="10"/>
      <c r="G69" s="1" t="s">
        <v>186</v>
      </c>
      <c r="H69" s="2"/>
      <c r="I69" s="2"/>
      <c r="J69" s="2"/>
      <c r="K69" s="2"/>
      <c r="L69" s="2"/>
      <c r="M69" s="2"/>
      <c r="N69" s="2"/>
      <c r="O69" s="2"/>
      <c r="P69" s="2"/>
      <c r="Q69" s="2"/>
      <c r="R69" s="2"/>
      <c r="S69" s="2"/>
      <c r="T69" s="2"/>
      <c r="U69" s="2"/>
      <c r="V69" s="2"/>
      <c r="W69" s="2"/>
      <c r="X69" s="2"/>
      <c r="Y69" s="2"/>
      <c r="Z69" s="2"/>
      <c r="AA69" s="2"/>
    </row>
    <row r="70" spans="2:27" x14ac:dyDescent="0.35">
      <c r="B70" s="18" t="s">
        <v>187</v>
      </c>
      <c r="C70" s="26"/>
      <c r="D70" s="26"/>
      <c r="E70" s="26"/>
      <c r="F70" s="10"/>
      <c r="G70" s="34" t="s">
        <v>215</v>
      </c>
      <c r="H70" s="34"/>
      <c r="I70" s="34"/>
      <c r="J70" s="34"/>
      <c r="K70" s="34"/>
      <c r="L70" s="34"/>
      <c r="M70" s="34"/>
      <c r="N70" s="34"/>
      <c r="O70" s="34"/>
      <c r="P70" s="34"/>
      <c r="Q70" s="34"/>
      <c r="R70" s="34"/>
      <c r="S70" s="34"/>
      <c r="T70" s="34"/>
      <c r="U70" s="34"/>
      <c r="V70" s="34"/>
      <c r="W70" s="34"/>
      <c r="X70" s="34"/>
      <c r="Y70" s="34"/>
      <c r="Z70" s="34"/>
      <c r="AA70" s="34"/>
    </row>
    <row r="71" spans="2:27" x14ac:dyDescent="0.35">
      <c r="B71" s="12" t="s">
        <v>184</v>
      </c>
      <c r="C71" s="26">
        <f>IFERROR(D41/$N$13-1,"-       ")</f>
        <v>0.16264000000000012</v>
      </c>
      <c r="D71" s="26">
        <f>IFERROR(D43/N46-1,"-       ")</f>
        <v>0.16921999999999993</v>
      </c>
      <c r="E71" s="26">
        <f>IFERROR(D47/N59-1,"-       ")</f>
        <v>1.3557499999999991</v>
      </c>
      <c r="F71" s="10"/>
      <c r="G71" s="34" t="s">
        <v>216</v>
      </c>
      <c r="H71" s="34"/>
      <c r="I71" s="34"/>
      <c r="J71" s="34"/>
      <c r="K71" s="34"/>
      <c r="L71" s="34"/>
      <c r="M71" s="34"/>
      <c r="N71" s="34"/>
      <c r="O71" s="34"/>
      <c r="P71" s="34"/>
      <c r="Q71" s="34"/>
      <c r="R71" s="34"/>
      <c r="S71" s="34"/>
      <c r="T71" s="34"/>
      <c r="U71" s="34"/>
      <c r="V71" s="34"/>
      <c r="W71" s="34"/>
      <c r="X71" s="34"/>
      <c r="Y71" s="34"/>
      <c r="Z71" s="34"/>
      <c r="AA71" s="34"/>
    </row>
    <row r="72" spans="2:27" x14ac:dyDescent="0.35">
      <c r="B72" s="12" t="s">
        <v>185</v>
      </c>
      <c r="C72" s="26">
        <f>IFERROR((E41/$N$13)^0.5-1,"-       ")</f>
        <v>0.16264000000000012</v>
      </c>
      <c r="D72" s="26">
        <f>IFERROR((E43/$N$46)^0.5-1,"-       ")</f>
        <v>0.16921999999999993</v>
      </c>
      <c r="E72" s="26">
        <f>IFERROR((E47/$N$59)^0.5-1,"-       ")</f>
        <v>1.3557499999999996</v>
      </c>
      <c r="F72" s="10"/>
      <c r="G72" s="34" t="s">
        <v>217</v>
      </c>
      <c r="H72" s="34"/>
      <c r="I72" s="34"/>
      <c r="J72" s="34"/>
      <c r="K72" s="34"/>
      <c r="L72" s="34"/>
      <c r="M72" s="34"/>
      <c r="N72" s="34"/>
      <c r="O72" s="34"/>
      <c r="P72" s="34"/>
      <c r="Q72" s="34"/>
      <c r="R72" s="34"/>
      <c r="S72" s="34"/>
      <c r="T72" s="34"/>
      <c r="U72" s="34"/>
      <c r="V72" s="34"/>
      <c r="W72" s="34"/>
      <c r="X72" s="34"/>
      <c r="Y72" s="34"/>
      <c r="Z72" s="34"/>
      <c r="AA72" s="34"/>
    </row>
    <row r="73" spans="2:27" x14ac:dyDescent="0.35">
      <c r="B73" s="204" t="s">
        <v>191</v>
      </c>
      <c r="C73" s="204"/>
      <c r="D73" s="204"/>
      <c r="E73" s="40">
        <v>0.246</v>
      </c>
      <c r="F73" s="10"/>
      <c r="G73" s="34" t="s">
        <v>218</v>
      </c>
      <c r="H73" s="34"/>
      <c r="I73" s="34"/>
      <c r="J73" s="34"/>
      <c r="K73" s="34"/>
      <c r="L73" s="34"/>
      <c r="M73" s="34"/>
      <c r="N73" s="34"/>
      <c r="O73" s="34"/>
      <c r="P73" s="34"/>
      <c r="Q73" s="34"/>
      <c r="R73" s="34"/>
      <c r="S73" s="34"/>
      <c r="T73" s="34"/>
      <c r="U73" s="34"/>
      <c r="V73" s="34"/>
      <c r="W73" s="34"/>
      <c r="X73" s="34"/>
      <c r="Y73" s="34"/>
      <c r="Z73" s="34"/>
      <c r="AA73" s="34"/>
    </row>
    <row r="74" spans="2:27" x14ac:dyDescent="0.35"/>
  </sheetData>
  <mergeCells count="416">
    <mergeCell ref="B11:C11"/>
    <mergeCell ref="G11:I11"/>
    <mergeCell ref="P11:Q11"/>
    <mergeCell ref="R11:S11"/>
    <mergeCell ref="T11:U11"/>
    <mergeCell ref="W11:Y11"/>
    <mergeCell ref="B2:Q3"/>
    <mergeCell ref="W3:AA5"/>
    <mergeCell ref="B4:J4"/>
    <mergeCell ref="B10:C10"/>
    <mergeCell ref="G10:I10"/>
    <mergeCell ref="J10:O11"/>
    <mergeCell ref="P10:Q10"/>
    <mergeCell ref="R10:S10"/>
    <mergeCell ref="T10:U10"/>
    <mergeCell ref="W10:Y10"/>
    <mergeCell ref="R12:S12"/>
    <mergeCell ref="T12:U12"/>
    <mergeCell ref="W12:Y12"/>
    <mergeCell ref="B13:C13"/>
    <mergeCell ref="G13:I13"/>
    <mergeCell ref="J13:K13"/>
    <mergeCell ref="L13:M13"/>
    <mergeCell ref="N13:O13"/>
    <mergeCell ref="P13:Q13"/>
    <mergeCell ref="R13:S13"/>
    <mergeCell ref="B12:C12"/>
    <mergeCell ref="G12:I12"/>
    <mergeCell ref="J12:K12"/>
    <mergeCell ref="L12:M12"/>
    <mergeCell ref="N12:O12"/>
    <mergeCell ref="P12:Q12"/>
    <mergeCell ref="T13:U13"/>
    <mergeCell ref="W13:Y13"/>
    <mergeCell ref="B14:D14"/>
    <mergeCell ref="G14:I14"/>
    <mergeCell ref="J14:K14"/>
    <mergeCell ref="L14:M14"/>
    <mergeCell ref="N14:O14"/>
    <mergeCell ref="P14:Q14"/>
    <mergeCell ref="R14:S14"/>
    <mergeCell ref="T14:U14"/>
    <mergeCell ref="W14:Y14"/>
    <mergeCell ref="B15:C15"/>
    <mergeCell ref="G15:I15"/>
    <mergeCell ref="J15:K15"/>
    <mergeCell ref="L15:M15"/>
    <mergeCell ref="N15:O15"/>
    <mergeCell ref="P15:Q15"/>
    <mergeCell ref="R15:S15"/>
    <mergeCell ref="T15:U15"/>
    <mergeCell ref="W15:Y15"/>
    <mergeCell ref="R16:S16"/>
    <mergeCell ref="T16:U16"/>
    <mergeCell ref="W16:Y16"/>
    <mergeCell ref="B17:C17"/>
    <mergeCell ref="G17:I17"/>
    <mergeCell ref="J17:K17"/>
    <mergeCell ref="L17:M17"/>
    <mergeCell ref="N17:O17"/>
    <mergeCell ref="P17:Q17"/>
    <mergeCell ref="R17:S17"/>
    <mergeCell ref="B16:C16"/>
    <mergeCell ref="G16:I16"/>
    <mergeCell ref="J16:K16"/>
    <mergeCell ref="L16:M16"/>
    <mergeCell ref="N16:O16"/>
    <mergeCell ref="P16:Q16"/>
    <mergeCell ref="T17:U17"/>
    <mergeCell ref="W17:Y17"/>
    <mergeCell ref="G18:I18"/>
    <mergeCell ref="J18:K18"/>
    <mergeCell ref="L18:M18"/>
    <mergeCell ref="N18:O18"/>
    <mergeCell ref="P18:Q18"/>
    <mergeCell ref="R18:S18"/>
    <mergeCell ref="T18:U18"/>
    <mergeCell ref="W18:Y18"/>
    <mergeCell ref="T19:U19"/>
    <mergeCell ref="W19:Y19"/>
    <mergeCell ref="G20:I20"/>
    <mergeCell ref="J20:K20"/>
    <mergeCell ref="L20:M20"/>
    <mergeCell ref="N20:O20"/>
    <mergeCell ref="P20:Q20"/>
    <mergeCell ref="R20:S20"/>
    <mergeCell ref="T20:U20"/>
    <mergeCell ref="W20:X20"/>
    <mergeCell ref="G19:I19"/>
    <mergeCell ref="J19:K19"/>
    <mergeCell ref="L19:M19"/>
    <mergeCell ref="N19:O19"/>
    <mergeCell ref="P19:Q19"/>
    <mergeCell ref="R19:S19"/>
    <mergeCell ref="R21:S21"/>
    <mergeCell ref="T21:U21"/>
    <mergeCell ref="W21:Y21"/>
    <mergeCell ref="B22:C22"/>
    <mergeCell ref="G22:I22"/>
    <mergeCell ref="J22:K22"/>
    <mergeCell ref="L22:M22"/>
    <mergeCell ref="N22:O22"/>
    <mergeCell ref="P22:Q22"/>
    <mergeCell ref="R22:S22"/>
    <mergeCell ref="B21:C21"/>
    <mergeCell ref="G21:I21"/>
    <mergeCell ref="J21:K21"/>
    <mergeCell ref="L21:M21"/>
    <mergeCell ref="N21:O21"/>
    <mergeCell ref="P21:Q21"/>
    <mergeCell ref="T22:U22"/>
    <mergeCell ref="W22:Y22"/>
    <mergeCell ref="B23:C23"/>
    <mergeCell ref="G23:I23"/>
    <mergeCell ref="J23:K23"/>
    <mergeCell ref="L23:M23"/>
    <mergeCell ref="N23:O23"/>
    <mergeCell ref="P23:Q23"/>
    <mergeCell ref="R23:S23"/>
    <mergeCell ref="T23:U23"/>
    <mergeCell ref="W23:Y23"/>
    <mergeCell ref="B24:C24"/>
    <mergeCell ref="G24:I24"/>
    <mergeCell ref="J24:K24"/>
    <mergeCell ref="L24:M24"/>
    <mergeCell ref="N24:O24"/>
    <mergeCell ref="P24:Q24"/>
    <mergeCell ref="R24:S24"/>
    <mergeCell ref="T24:U24"/>
    <mergeCell ref="W24:Y24"/>
    <mergeCell ref="R25:S25"/>
    <mergeCell ref="T25:U25"/>
    <mergeCell ref="W25:Y25"/>
    <mergeCell ref="B26:C26"/>
    <mergeCell ref="G26:I26"/>
    <mergeCell ref="J26:K26"/>
    <mergeCell ref="L26:M26"/>
    <mergeCell ref="N26:O26"/>
    <mergeCell ref="P26:Q26"/>
    <mergeCell ref="R26:S26"/>
    <mergeCell ref="B25:C25"/>
    <mergeCell ref="G25:I25"/>
    <mergeCell ref="J25:K25"/>
    <mergeCell ref="L25:M25"/>
    <mergeCell ref="N25:O25"/>
    <mergeCell ref="P25:Q25"/>
    <mergeCell ref="T26:U26"/>
    <mergeCell ref="W26:Y26"/>
    <mergeCell ref="G27:I27"/>
    <mergeCell ref="J27:K27"/>
    <mergeCell ref="L27:M27"/>
    <mergeCell ref="N27:O27"/>
    <mergeCell ref="P27:Q27"/>
    <mergeCell ref="R27:S27"/>
    <mergeCell ref="T27:U27"/>
    <mergeCell ref="W27:Y27"/>
    <mergeCell ref="T29:U29"/>
    <mergeCell ref="W29:Y29"/>
    <mergeCell ref="B30:C30"/>
    <mergeCell ref="W30:Y30"/>
    <mergeCell ref="B31:C31"/>
    <mergeCell ref="W31:Y31"/>
    <mergeCell ref="R28:S28"/>
    <mergeCell ref="T28:U28"/>
    <mergeCell ref="W28:Y28"/>
    <mergeCell ref="B29:C29"/>
    <mergeCell ref="G29:I29"/>
    <mergeCell ref="J29:K29"/>
    <mergeCell ref="L29:M29"/>
    <mergeCell ref="N29:O29"/>
    <mergeCell ref="P29:Q29"/>
    <mergeCell ref="R29:S29"/>
    <mergeCell ref="B28:C28"/>
    <mergeCell ref="G28:I28"/>
    <mergeCell ref="J28:K28"/>
    <mergeCell ref="L28:M28"/>
    <mergeCell ref="N28:O28"/>
    <mergeCell ref="P28:Q28"/>
    <mergeCell ref="B34:C34"/>
    <mergeCell ref="G34:I34"/>
    <mergeCell ref="J34:K34"/>
    <mergeCell ref="L34:M34"/>
    <mergeCell ref="N34:O34"/>
    <mergeCell ref="P34:Q34"/>
    <mergeCell ref="B32:C32"/>
    <mergeCell ref="W32:Y32"/>
    <mergeCell ref="G33:I33"/>
    <mergeCell ref="J33:K33"/>
    <mergeCell ref="L33:M33"/>
    <mergeCell ref="N33:O33"/>
    <mergeCell ref="P33:Q33"/>
    <mergeCell ref="R33:S33"/>
    <mergeCell ref="T33:U33"/>
    <mergeCell ref="W33:Y33"/>
    <mergeCell ref="R34:S34"/>
    <mergeCell ref="T34:U34"/>
    <mergeCell ref="W34:Y34"/>
    <mergeCell ref="G35:I35"/>
    <mergeCell ref="J35:K35"/>
    <mergeCell ref="L35:M35"/>
    <mergeCell ref="N35:O35"/>
    <mergeCell ref="P35:Q35"/>
    <mergeCell ref="R35:S35"/>
    <mergeCell ref="T35:U35"/>
    <mergeCell ref="W35:Y35"/>
    <mergeCell ref="G36:I36"/>
    <mergeCell ref="J36:K36"/>
    <mergeCell ref="L36:M36"/>
    <mergeCell ref="N36:O36"/>
    <mergeCell ref="P36:Q36"/>
    <mergeCell ref="R36:S36"/>
    <mergeCell ref="T36:U36"/>
    <mergeCell ref="W36:Y36"/>
    <mergeCell ref="T37:U37"/>
    <mergeCell ref="G38:I38"/>
    <mergeCell ref="J38:K38"/>
    <mergeCell ref="L38:M38"/>
    <mergeCell ref="N38:O38"/>
    <mergeCell ref="P38:Q38"/>
    <mergeCell ref="R38:S38"/>
    <mergeCell ref="T38:U38"/>
    <mergeCell ref="G37:I37"/>
    <mergeCell ref="J37:K37"/>
    <mergeCell ref="L37:M37"/>
    <mergeCell ref="N37:O37"/>
    <mergeCell ref="P37:Q37"/>
    <mergeCell ref="R37:S37"/>
    <mergeCell ref="T39:U39"/>
    <mergeCell ref="G40:I40"/>
    <mergeCell ref="J40:K40"/>
    <mergeCell ref="L40:M40"/>
    <mergeCell ref="N40:O40"/>
    <mergeCell ref="P40:Q40"/>
    <mergeCell ref="R40:S40"/>
    <mergeCell ref="T40:U40"/>
    <mergeCell ref="G39:I39"/>
    <mergeCell ref="J39:K39"/>
    <mergeCell ref="L39:M39"/>
    <mergeCell ref="N39:O39"/>
    <mergeCell ref="P39:Q39"/>
    <mergeCell ref="R39:S39"/>
    <mergeCell ref="W40:Y40"/>
    <mergeCell ref="G41:I41"/>
    <mergeCell ref="J41:K41"/>
    <mergeCell ref="L41:M41"/>
    <mergeCell ref="N41:O41"/>
    <mergeCell ref="P41:Q41"/>
    <mergeCell ref="R41:S41"/>
    <mergeCell ref="T41:U41"/>
    <mergeCell ref="W41:Z41"/>
    <mergeCell ref="T42:U42"/>
    <mergeCell ref="W42:Y42"/>
    <mergeCell ref="G43:I43"/>
    <mergeCell ref="J43:K43"/>
    <mergeCell ref="L43:M43"/>
    <mergeCell ref="N43:O43"/>
    <mergeCell ref="P43:Q43"/>
    <mergeCell ref="R43:S43"/>
    <mergeCell ref="T43:U43"/>
    <mergeCell ref="W43:Y43"/>
    <mergeCell ref="G42:I42"/>
    <mergeCell ref="J42:K42"/>
    <mergeCell ref="L42:M42"/>
    <mergeCell ref="N42:O42"/>
    <mergeCell ref="P42:Q42"/>
    <mergeCell ref="R42:S42"/>
    <mergeCell ref="T44:U44"/>
    <mergeCell ref="W44:Y44"/>
    <mergeCell ref="G45:I45"/>
    <mergeCell ref="J45:K45"/>
    <mergeCell ref="L45:M45"/>
    <mergeCell ref="N45:O45"/>
    <mergeCell ref="P45:Q45"/>
    <mergeCell ref="R45:S45"/>
    <mergeCell ref="T45:U45"/>
    <mergeCell ref="W45:Y45"/>
    <mergeCell ref="G44:I44"/>
    <mergeCell ref="J44:K44"/>
    <mergeCell ref="L44:M44"/>
    <mergeCell ref="N44:O44"/>
    <mergeCell ref="P44:Q44"/>
    <mergeCell ref="R44:S44"/>
    <mergeCell ref="W47:Y47"/>
    <mergeCell ref="G48:I48"/>
    <mergeCell ref="J48:K48"/>
    <mergeCell ref="L48:M48"/>
    <mergeCell ref="N48:O48"/>
    <mergeCell ref="P48:Q48"/>
    <mergeCell ref="R48:S48"/>
    <mergeCell ref="T48:U48"/>
    <mergeCell ref="T46:U46"/>
    <mergeCell ref="G47:I47"/>
    <mergeCell ref="J47:K47"/>
    <mergeCell ref="L47:M47"/>
    <mergeCell ref="N47:O47"/>
    <mergeCell ref="P47:Q47"/>
    <mergeCell ref="R47:S47"/>
    <mergeCell ref="T47:U47"/>
    <mergeCell ref="G46:I46"/>
    <mergeCell ref="J46:K46"/>
    <mergeCell ref="L46:M46"/>
    <mergeCell ref="N46:O46"/>
    <mergeCell ref="P46:Q46"/>
    <mergeCell ref="R46:S46"/>
    <mergeCell ref="T49:U49"/>
    <mergeCell ref="G50:I50"/>
    <mergeCell ref="J50:K50"/>
    <mergeCell ref="L50:M50"/>
    <mergeCell ref="N50:O50"/>
    <mergeCell ref="P50:Q50"/>
    <mergeCell ref="R50:S50"/>
    <mergeCell ref="T50:U50"/>
    <mergeCell ref="G49:I49"/>
    <mergeCell ref="J49:K49"/>
    <mergeCell ref="L49:M49"/>
    <mergeCell ref="N49:O49"/>
    <mergeCell ref="P49:Q49"/>
    <mergeCell ref="R49:S49"/>
    <mergeCell ref="R51:S51"/>
    <mergeCell ref="T51:U51"/>
    <mergeCell ref="B52:D52"/>
    <mergeCell ref="G52:I52"/>
    <mergeCell ref="J52:K52"/>
    <mergeCell ref="L52:M52"/>
    <mergeCell ref="N52:O52"/>
    <mergeCell ref="P52:Q52"/>
    <mergeCell ref="R52:S52"/>
    <mergeCell ref="T52:U52"/>
    <mergeCell ref="B51:D51"/>
    <mergeCell ref="G51:I51"/>
    <mergeCell ref="J51:K51"/>
    <mergeCell ref="L51:M51"/>
    <mergeCell ref="N51:O51"/>
    <mergeCell ref="P51:Q51"/>
    <mergeCell ref="R53:S53"/>
    <mergeCell ref="T53:U53"/>
    <mergeCell ref="B54:D54"/>
    <mergeCell ref="G54:I54"/>
    <mergeCell ref="J54:K54"/>
    <mergeCell ref="L54:M54"/>
    <mergeCell ref="N54:O54"/>
    <mergeCell ref="P54:Q54"/>
    <mergeCell ref="R54:S54"/>
    <mergeCell ref="T54:U54"/>
    <mergeCell ref="B53:D53"/>
    <mergeCell ref="G53:I53"/>
    <mergeCell ref="J53:K53"/>
    <mergeCell ref="L53:M53"/>
    <mergeCell ref="N53:O53"/>
    <mergeCell ref="P53:Q53"/>
    <mergeCell ref="T55:U55"/>
    <mergeCell ref="G56:I56"/>
    <mergeCell ref="J56:K56"/>
    <mergeCell ref="L56:M56"/>
    <mergeCell ref="N56:O56"/>
    <mergeCell ref="P56:Q56"/>
    <mergeCell ref="R56:S56"/>
    <mergeCell ref="T56:U56"/>
    <mergeCell ref="G55:I55"/>
    <mergeCell ref="J55:K55"/>
    <mergeCell ref="L55:M55"/>
    <mergeCell ref="N55:O55"/>
    <mergeCell ref="P55:Q55"/>
    <mergeCell ref="R55:S55"/>
    <mergeCell ref="T57:U57"/>
    <mergeCell ref="B58:D58"/>
    <mergeCell ref="G58:I58"/>
    <mergeCell ref="J58:K58"/>
    <mergeCell ref="L58:M58"/>
    <mergeCell ref="N58:O58"/>
    <mergeCell ref="P58:Q58"/>
    <mergeCell ref="R58:S58"/>
    <mergeCell ref="T58:U58"/>
    <mergeCell ref="G57:I57"/>
    <mergeCell ref="J57:K57"/>
    <mergeCell ref="L57:M57"/>
    <mergeCell ref="N57:O57"/>
    <mergeCell ref="P57:Q57"/>
    <mergeCell ref="R57:S57"/>
    <mergeCell ref="B60:D60"/>
    <mergeCell ref="B61:D61"/>
    <mergeCell ref="B62:D62"/>
    <mergeCell ref="B63:D63"/>
    <mergeCell ref="J63:K63"/>
    <mergeCell ref="L63:M63"/>
    <mergeCell ref="N63:O63"/>
    <mergeCell ref="P63:Q63"/>
    <mergeCell ref="B59:D59"/>
    <mergeCell ref="G59:I59"/>
    <mergeCell ref="J59:K59"/>
    <mergeCell ref="L59:M59"/>
    <mergeCell ref="N59:O59"/>
    <mergeCell ref="P59:Q59"/>
    <mergeCell ref="R63:S63"/>
    <mergeCell ref="T63:U63"/>
    <mergeCell ref="J64:K64"/>
    <mergeCell ref="L64:M64"/>
    <mergeCell ref="N64:O64"/>
    <mergeCell ref="P64:Q64"/>
    <mergeCell ref="R64:S64"/>
    <mergeCell ref="T64:U64"/>
    <mergeCell ref="R59:S59"/>
    <mergeCell ref="T59:U59"/>
    <mergeCell ref="B73:D73"/>
    <mergeCell ref="J66:K66"/>
    <mergeCell ref="L66:M66"/>
    <mergeCell ref="N66:O66"/>
    <mergeCell ref="P66:Q66"/>
    <mergeCell ref="R66:S66"/>
    <mergeCell ref="T66:U66"/>
    <mergeCell ref="J65:K65"/>
    <mergeCell ref="L65:M65"/>
    <mergeCell ref="N65:O65"/>
    <mergeCell ref="P65:Q65"/>
    <mergeCell ref="R65:S65"/>
    <mergeCell ref="T65:U65"/>
  </mergeCells>
  <pageMargins left="0.7" right="0.7" top="0.75" bottom="0.75" header="0.3" footer="0.3"/>
  <drawing r:id="rId1"/>
  <legacyDrawing r:id="rId2"/>
  <picture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902FA2-FA3F-4E63-898B-18E176BEC05D}">
  <dimension ref="A1:AB74"/>
  <sheetViews>
    <sheetView showGridLines="0" zoomScale="121" zoomScaleNormal="130" workbookViewId="0">
      <selection activeCell="D13" sqref="D13"/>
    </sheetView>
  </sheetViews>
  <sheetFormatPr defaultColWidth="0" defaultRowHeight="14.5" customHeight="1" zeroHeight="1" x14ac:dyDescent="0.35"/>
  <cols>
    <col min="1" max="1" width="8.7265625" style="4" customWidth="1"/>
    <col min="2" max="3" width="8.7265625" style="41" customWidth="1"/>
    <col min="4" max="4" width="12.7265625" style="41" customWidth="1"/>
    <col min="5" max="5" width="7.7265625" style="41" customWidth="1"/>
    <col min="6" max="22" width="8.7265625" style="41" customWidth="1"/>
    <col min="23" max="26" width="10.90625" style="41" customWidth="1"/>
    <col min="27" max="27" width="9.26953125" style="41" bestFit="1" customWidth="1"/>
    <col min="28" max="28" width="8.7265625" style="4" customWidth="1"/>
    <col min="29" max="16384" width="8.7265625" style="4" hidden="1"/>
  </cols>
  <sheetData>
    <row r="1" spans="2:27" x14ac:dyDescent="0.35">
      <c r="B1" s="4"/>
      <c r="C1" s="4"/>
      <c r="D1" s="4"/>
      <c r="E1" s="4"/>
      <c r="F1" s="4"/>
      <c r="G1" s="4"/>
      <c r="H1" s="4"/>
      <c r="I1" s="4"/>
      <c r="J1" s="4"/>
      <c r="K1" s="4"/>
      <c r="L1" s="4"/>
      <c r="M1" s="4"/>
      <c r="N1" s="4"/>
      <c r="O1" s="4"/>
      <c r="P1" s="4"/>
      <c r="Q1" s="4"/>
      <c r="R1" s="4"/>
      <c r="S1" s="4"/>
      <c r="T1" s="4"/>
      <c r="U1" s="4"/>
      <c r="V1" s="4"/>
      <c r="W1" s="4"/>
      <c r="X1" s="4"/>
      <c r="Y1" s="4"/>
      <c r="Z1" s="4"/>
      <c r="AA1" s="4"/>
    </row>
    <row r="2" spans="2:27" ht="14.5" customHeight="1" x14ac:dyDescent="0.35">
      <c r="B2" s="258" t="e" vm="6">
        <v>#VALUE!</v>
      </c>
      <c r="C2" s="258"/>
      <c r="D2" s="258"/>
      <c r="E2" s="258"/>
      <c r="F2" s="258"/>
      <c r="G2" s="258"/>
      <c r="H2" s="258"/>
      <c r="I2" s="258"/>
      <c r="J2" s="258"/>
      <c r="K2" s="258"/>
      <c r="L2" s="258"/>
      <c r="M2" s="258"/>
      <c r="N2" s="258"/>
      <c r="O2" s="258"/>
      <c r="P2" s="258"/>
      <c r="Q2" s="258"/>
      <c r="R2" s="5"/>
      <c r="S2" s="5"/>
      <c r="T2" s="5"/>
      <c r="U2" s="5"/>
      <c r="V2" s="5"/>
      <c r="W2" s="6" t="s">
        <v>36</v>
      </c>
      <c r="X2" s="5"/>
      <c r="Y2" s="5"/>
      <c r="Z2" s="5"/>
      <c r="AA2" s="5"/>
    </row>
    <row r="3" spans="2:27" ht="14.5" customHeight="1" x14ac:dyDescent="0.35">
      <c r="B3" s="258"/>
      <c r="C3" s="258"/>
      <c r="D3" s="258"/>
      <c r="E3" s="258"/>
      <c r="F3" s="258"/>
      <c r="G3" s="258"/>
      <c r="H3" s="258"/>
      <c r="I3" s="258"/>
      <c r="J3" s="258"/>
      <c r="K3" s="258"/>
      <c r="L3" s="258"/>
      <c r="M3" s="258"/>
      <c r="N3" s="258"/>
      <c r="O3" s="258"/>
      <c r="P3" s="258"/>
      <c r="Q3" s="258"/>
      <c r="R3" s="5"/>
      <c r="S3" s="5"/>
      <c r="T3" s="5"/>
      <c r="U3" s="5"/>
      <c r="V3" s="5"/>
      <c r="W3" s="260" t="str">
        <f>'Business Infos'!D13</f>
        <v>An Australian mining services contractor headquartered in Perth, providing surface and underground mining, equipment maintenance, and civil construction services. Macmahon generates revenue through long-term contracts focused on mine development and production support.</v>
      </c>
      <c r="X3" s="260"/>
      <c r="Y3" s="260"/>
      <c r="Z3" s="260"/>
      <c r="AA3" s="260"/>
    </row>
    <row r="4" spans="2:27" ht="15.5" customHeight="1" x14ac:dyDescent="0.35">
      <c r="B4" s="261" t="s">
        <v>37</v>
      </c>
      <c r="C4" s="262"/>
      <c r="D4" s="262"/>
      <c r="E4" s="262"/>
      <c r="F4" s="262"/>
      <c r="G4" s="262"/>
      <c r="H4" s="262"/>
      <c r="I4" s="262"/>
      <c r="J4" s="262"/>
      <c r="K4" s="5"/>
      <c r="L4" s="5"/>
      <c r="M4" s="5"/>
      <c r="N4" s="5"/>
      <c r="O4" s="5"/>
      <c r="P4" s="5"/>
      <c r="Q4" s="5"/>
      <c r="R4" s="5"/>
      <c r="S4" s="5"/>
      <c r="T4" s="5"/>
      <c r="U4" s="5"/>
      <c r="V4" s="5"/>
      <c r="W4" s="260"/>
      <c r="X4" s="260"/>
      <c r="Y4" s="260"/>
      <c r="Z4" s="260"/>
      <c r="AA4" s="260"/>
    </row>
    <row r="5" spans="2:27" ht="22" customHeight="1" x14ac:dyDescent="0.35">
      <c r="B5" s="7" t="s">
        <v>38</v>
      </c>
      <c r="C5" s="5"/>
      <c r="D5" s="5"/>
      <c r="E5" s="5"/>
      <c r="F5" s="5"/>
      <c r="G5" s="5"/>
      <c r="H5" s="5"/>
      <c r="I5" s="5"/>
      <c r="J5" s="5"/>
      <c r="K5" s="5"/>
      <c r="L5" s="5"/>
      <c r="M5" s="5"/>
      <c r="N5" s="5"/>
      <c r="O5" s="5"/>
      <c r="P5" s="5"/>
      <c r="Q5" s="5"/>
      <c r="R5" s="5"/>
      <c r="S5" s="5"/>
      <c r="T5" s="5"/>
      <c r="U5" s="5"/>
      <c r="V5" s="5"/>
      <c r="W5" s="260"/>
      <c r="X5" s="260"/>
      <c r="Y5" s="260"/>
      <c r="Z5" s="260"/>
      <c r="AA5" s="260"/>
    </row>
    <row r="6" spans="2:27" x14ac:dyDescent="0.35">
      <c r="B6" s="4"/>
      <c r="C6" s="4"/>
      <c r="D6" s="4"/>
      <c r="E6" s="4"/>
      <c r="F6" s="4"/>
      <c r="G6" s="4"/>
      <c r="H6" s="4"/>
      <c r="I6" s="4"/>
      <c r="J6" s="4"/>
      <c r="K6" s="4"/>
      <c r="L6" s="4"/>
      <c r="M6" s="4"/>
      <c r="N6" s="4"/>
      <c r="O6" s="4"/>
      <c r="P6" s="4"/>
      <c r="Q6" s="4"/>
      <c r="R6" s="4"/>
      <c r="S6" s="4"/>
      <c r="T6" s="4"/>
      <c r="U6" s="4"/>
      <c r="V6" s="4"/>
      <c r="W6"/>
      <c r="X6"/>
      <c r="Y6"/>
      <c r="Z6"/>
      <c r="AA6"/>
    </row>
    <row r="7" spans="2:27" x14ac:dyDescent="0.35">
      <c r="B7" s="4"/>
      <c r="C7" s="4"/>
      <c r="D7" s="4"/>
      <c r="E7" s="4"/>
      <c r="F7" s="4"/>
      <c r="G7" s="4"/>
      <c r="H7" s="4"/>
      <c r="I7" s="4"/>
      <c r="J7" s="4"/>
      <c r="K7" s="4"/>
      <c r="L7" s="4"/>
      <c r="M7" s="4"/>
      <c r="N7" s="4"/>
      <c r="O7" s="4"/>
      <c r="P7" s="4"/>
      <c r="Q7" s="4"/>
      <c r="R7" s="4"/>
      <c r="S7" s="4"/>
      <c r="T7" s="4"/>
      <c r="U7" s="4"/>
      <c r="V7" s="4"/>
      <c r="W7" s="4"/>
      <c r="X7" s="4"/>
      <c r="Y7" s="4"/>
      <c r="Z7" s="4"/>
      <c r="AA7" s="4"/>
    </row>
    <row r="8" spans="2:27" ht="15" thickBot="1" x14ac:dyDescent="0.4">
      <c r="B8" s="8" t="s">
        <v>39</v>
      </c>
      <c r="C8" s="9"/>
      <c r="D8" s="9"/>
      <c r="E8" s="9"/>
      <c r="F8" s="10"/>
      <c r="G8" s="8" t="s">
        <v>40</v>
      </c>
      <c r="H8" s="9"/>
      <c r="I8" s="9"/>
      <c r="J8" s="9"/>
      <c r="K8" s="9"/>
      <c r="L8" s="9"/>
      <c r="M8" s="9"/>
      <c r="N8" s="9"/>
      <c r="O8" s="8"/>
      <c r="P8" s="9"/>
      <c r="Q8" s="9"/>
      <c r="R8" s="9"/>
      <c r="S8" s="9"/>
      <c r="T8" s="9"/>
      <c r="U8" s="9"/>
      <c r="V8" s="10"/>
      <c r="W8" s="8" t="s">
        <v>41</v>
      </c>
      <c r="X8" s="9"/>
      <c r="Y8" s="9"/>
      <c r="Z8" s="9"/>
      <c r="AA8" s="9"/>
    </row>
    <row r="9" spans="2:27" ht="4" customHeight="1" x14ac:dyDescent="0.35">
      <c r="B9" s="2"/>
      <c r="C9" s="2"/>
      <c r="D9" s="2"/>
      <c r="E9" s="2"/>
      <c r="F9" s="10"/>
      <c r="G9" s="2"/>
      <c r="H9" s="2"/>
      <c r="I9" s="2"/>
      <c r="J9" s="2"/>
      <c r="K9" s="2"/>
      <c r="L9" s="2"/>
      <c r="M9" s="2"/>
      <c r="N9" s="2"/>
      <c r="O9" s="2"/>
      <c r="P9" s="2"/>
      <c r="Q9" s="2"/>
      <c r="R9" s="2"/>
      <c r="S9" s="2"/>
      <c r="T9" s="2"/>
      <c r="U9" s="2"/>
      <c r="V9" s="10"/>
      <c r="W9" s="2"/>
      <c r="X9" s="2"/>
      <c r="Y9" s="2"/>
      <c r="Z9" s="2"/>
      <c r="AA9" s="2"/>
    </row>
    <row r="10" spans="2:27" x14ac:dyDescent="0.35">
      <c r="B10" s="263" t="s">
        <v>42</v>
      </c>
      <c r="C10" s="263"/>
      <c r="D10" s="11"/>
      <c r="E10" s="11" t="s">
        <v>21</v>
      </c>
      <c r="F10" s="10"/>
      <c r="G10" s="220"/>
      <c r="H10" s="220"/>
      <c r="I10" s="220"/>
      <c r="J10" s="257" t="s">
        <v>43</v>
      </c>
      <c r="K10" s="264"/>
      <c r="L10" s="264"/>
      <c r="M10" s="264"/>
      <c r="N10" s="264"/>
      <c r="O10" s="264"/>
      <c r="P10" s="257" t="s">
        <v>44</v>
      </c>
      <c r="Q10" s="257"/>
      <c r="R10" s="257" t="s">
        <v>45</v>
      </c>
      <c r="S10" s="257"/>
      <c r="T10" s="220"/>
      <c r="U10" s="220"/>
      <c r="V10" s="10"/>
      <c r="W10" s="220"/>
      <c r="X10" s="220"/>
      <c r="Y10" s="220"/>
      <c r="Z10" s="13" t="s">
        <v>46</v>
      </c>
      <c r="AA10" s="14">
        <v>45657</v>
      </c>
    </row>
    <row r="11" spans="2:27" x14ac:dyDescent="0.35">
      <c r="B11" s="220" t="s">
        <v>5</v>
      </c>
      <c r="C11" s="220"/>
      <c r="D11" s="12"/>
      <c r="E11" s="11" t="str" cm="1">
        <f t="array" aca="1" ref="E11" ca="1">_FV(B2,"Ticker symbol",TRUE)</f>
        <v>MAH</v>
      </c>
      <c r="F11" s="15"/>
      <c r="G11" s="220"/>
      <c r="H11" s="220"/>
      <c r="I11" s="220"/>
      <c r="J11" s="264"/>
      <c r="K11" s="264"/>
      <c r="L11" s="264"/>
      <c r="M11" s="264"/>
      <c r="N11" s="264"/>
      <c r="O11" s="264"/>
      <c r="P11" s="257" t="s">
        <v>47</v>
      </c>
      <c r="Q11" s="257"/>
      <c r="R11" s="257" t="s">
        <v>47</v>
      </c>
      <c r="S11" s="257"/>
      <c r="T11" s="257" t="s">
        <v>3</v>
      </c>
      <c r="U11" s="257"/>
      <c r="V11" s="10"/>
      <c r="W11" s="220" t="s">
        <v>48</v>
      </c>
      <c r="X11" s="220"/>
      <c r="Y11" s="220"/>
      <c r="Z11" s="16">
        <v>194.578</v>
      </c>
      <c r="AA11" s="16">
        <v>221.80600000000001</v>
      </c>
    </row>
    <row r="12" spans="2:27" ht="15" thickBot="1" x14ac:dyDescent="0.4">
      <c r="B12" s="220" t="s">
        <v>49</v>
      </c>
      <c r="C12" s="220"/>
      <c r="D12" s="12"/>
      <c r="E12" s="11" t="s">
        <v>194</v>
      </c>
      <c r="F12" s="10"/>
      <c r="G12" s="220"/>
      <c r="H12" s="220"/>
      <c r="I12" s="220"/>
      <c r="J12" s="257" t="s">
        <v>50</v>
      </c>
      <c r="K12" s="257"/>
      <c r="L12" s="257" t="s">
        <v>51</v>
      </c>
      <c r="M12" s="257"/>
      <c r="N12" s="257" t="s">
        <v>46</v>
      </c>
      <c r="O12" s="257"/>
      <c r="P12" s="250">
        <v>45291</v>
      </c>
      <c r="Q12" s="251"/>
      <c r="R12" s="250">
        <v>45657</v>
      </c>
      <c r="S12" s="251"/>
      <c r="T12" s="252">
        <f>R12</f>
        <v>45657</v>
      </c>
      <c r="U12" s="252"/>
      <c r="V12" s="10"/>
      <c r="W12" s="220" t="s">
        <v>52</v>
      </c>
      <c r="X12" s="220"/>
      <c r="Y12" s="220"/>
      <c r="Z12" s="16">
        <v>392.25599999999997</v>
      </c>
      <c r="AA12" s="16">
        <v>468.86799999999999</v>
      </c>
    </row>
    <row r="13" spans="2:27" x14ac:dyDescent="0.35">
      <c r="B13" s="220" t="s">
        <v>53</v>
      </c>
      <c r="C13" s="220"/>
      <c r="D13" s="12"/>
      <c r="E13" s="17">
        <v>45838</v>
      </c>
      <c r="F13" s="10"/>
      <c r="G13" s="229" t="s">
        <v>8</v>
      </c>
      <c r="H13" s="229"/>
      <c r="I13" s="229"/>
      <c r="J13" s="233">
        <v>1698.046</v>
      </c>
      <c r="K13" s="234"/>
      <c r="L13" s="233">
        <v>1906.15</v>
      </c>
      <c r="M13" s="234"/>
      <c r="N13" s="233">
        <v>2031.261</v>
      </c>
      <c r="O13" s="234"/>
      <c r="P13" s="253">
        <v>966.31799999999998</v>
      </c>
      <c r="Q13" s="254"/>
      <c r="R13" s="255">
        <v>1178.6790000000001</v>
      </c>
      <c r="S13" s="256"/>
      <c r="T13" s="231">
        <f>IFERROR(N13+R13-P13," -        ")</f>
        <v>2243.6220000000003</v>
      </c>
      <c r="U13" s="230"/>
      <c r="V13" s="10"/>
      <c r="W13" s="220" t="s">
        <v>54</v>
      </c>
      <c r="X13" s="220"/>
      <c r="Y13" s="220"/>
      <c r="Z13" s="16">
        <v>105.43</v>
      </c>
      <c r="AA13" s="16">
        <v>100.91</v>
      </c>
    </row>
    <row r="14" spans="2:27" ht="14.5" customHeight="1" x14ac:dyDescent="0.35">
      <c r="B14" s="249" t="s">
        <v>55</v>
      </c>
      <c r="C14" s="249"/>
      <c r="D14" s="249"/>
      <c r="E14" s="42">
        <f>0.0055/2</f>
        <v>2.7499999999999998E-3</v>
      </c>
      <c r="F14" s="10"/>
      <c r="G14" s="220" t="s">
        <v>56</v>
      </c>
      <c r="H14" s="229"/>
      <c r="I14" s="229"/>
      <c r="J14" s="233">
        <v>516.596</v>
      </c>
      <c r="K14" s="234"/>
      <c r="L14" s="233">
        <v>592.43899999999996</v>
      </c>
      <c r="M14" s="233"/>
      <c r="N14" s="233">
        <v>478.04399999999998</v>
      </c>
      <c r="O14" s="265"/>
      <c r="P14" s="235">
        <v>222.089</v>
      </c>
      <c r="Q14" s="234"/>
      <c r="R14" s="233">
        <v>306.60300000000001</v>
      </c>
      <c r="S14" s="236"/>
      <c r="T14" s="230">
        <f t="shared" ref="T14:T29" si="0">IFERROR(N14+R14-P14," -        ")</f>
        <v>562.55799999999999</v>
      </c>
      <c r="U14" s="230"/>
      <c r="V14" s="10"/>
      <c r="W14" s="220" t="s">
        <v>57</v>
      </c>
      <c r="X14" s="220"/>
      <c r="Y14" s="220"/>
      <c r="Z14" s="16">
        <v>7.6390000000000002</v>
      </c>
      <c r="AA14" s="16">
        <f>16.822+2.195</f>
        <v>19.016999999999999</v>
      </c>
    </row>
    <row r="15" spans="2:27" x14ac:dyDescent="0.35">
      <c r="B15" s="220" t="s">
        <v>58</v>
      </c>
      <c r="C15" s="220"/>
      <c r="D15" s="12"/>
      <c r="E15" s="11" t="s">
        <v>65</v>
      </c>
      <c r="F15" s="10"/>
      <c r="G15" s="220" t="s">
        <v>60</v>
      </c>
      <c r="H15" s="220"/>
      <c r="I15" s="220"/>
      <c r="J15" s="230">
        <f>IFERROR(J13-J14," -        ")</f>
        <v>1181.45</v>
      </c>
      <c r="K15" s="230"/>
      <c r="L15" s="230">
        <f t="shared" ref="L15" si="1">IFERROR(L13-L14," -        ")</f>
        <v>1313.7110000000002</v>
      </c>
      <c r="M15" s="230"/>
      <c r="N15" s="230">
        <f t="shared" ref="N15" si="2">IFERROR(N13-N14," -        ")</f>
        <v>1553.2170000000001</v>
      </c>
      <c r="O15" s="230"/>
      <c r="P15" s="231">
        <f>IFERROR(P13-P14," -        ")</f>
        <v>744.22900000000004</v>
      </c>
      <c r="Q15" s="230"/>
      <c r="R15" s="230">
        <f t="shared" ref="R15" si="3">IFERROR(R13-R14," -        ")</f>
        <v>872.07600000000002</v>
      </c>
      <c r="S15" s="232"/>
      <c r="T15" s="230">
        <f t="shared" si="0"/>
        <v>1681.0640000000001</v>
      </c>
      <c r="U15" s="230"/>
      <c r="V15" s="10"/>
      <c r="W15" s="220" t="s">
        <v>61</v>
      </c>
      <c r="X15" s="220"/>
      <c r="Y15" s="220"/>
      <c r="Z15" s="20">
        <f>IFERROR(Z11+Z12+Z13+Z14," -        ")</f>
        <v>699.90299999999991</v>
      </c>
      <c r="AA15" s="20">
        <f>IFERROR(AA11+AA12+AA13+AA14," -        ")</f>
        <v>810.601</v>
      </c>
    </row>
    <row r="16" spans="2:27" x14ac:dyDescent="0.35">
      <c r="B16" s="220" t="s">
        <v>62</v>
      </c>
      <c r="C16" s="220"/>
      <c r="D16" s="12"/>
      <c r="E16" s="21" t="s">
        <v>219</v>
      </c>
      <c r="F16" s="10"/>
      <c r="G16" s="220" t="s">
        <v>64</v>
      </c>
      <c r="H16" s="220"/>
      <c r="I16" s="220"/>
      <c r="J16" s="233">
        <v>811.07399999999996</v>
      </c>
      <c r="K16" s="234"/>
      <c r="L16" s="233">
        <v>916.87900000000002</v>
      </c>
      <c r="M16" s="234"/>
      <c r="N16" s="233">
        <v>1104.268</v>
      </c>
      <c r="O16" s="234"/>
      <c r="P16" s="235">
        <v>522.23699999999997</v>
      </c>
      <c r="Q16" s="234"/>
      <c r="R16" s="233">
        <v>630.423</v>
      </c>
      <c r="S16" s="236"/>
      <c r="T16" s="230">
        <f t="shared" si="0"/>
        <v>1212.4540000000002</v>
      </c>
      <c r="U16" s="230"/>
      <c r="V16" s="10"/>
      <c r="W16" s="220"/>
      <c r="X16" s="220"/>
      <c r="Y16" s="220"/>
      <c r="Z16" s="20"/>
      <c r="AA16" s="20"/>
    </row>
    <row r="17" spans="2:27" x14ac:dyDescent="0.35">
      <c r="B17" s="220" t="s">
        <v>66</v>
      </c>
      <c r="C17" s="220"/>
      <c r="D17" s="12"/>
      <c r="E17" s="22">
        <v>0.38</v>
      </c>
      <c r="F17" s="10"/>
      <c r="G17" s="220" t="s">
        <v>67</v>
      </c>
      <c r="H17" s="220"/>
      <c r="I17" s="220"/>
      <c r="J17" s="233">
        <f>1096.625-J16</f>
        <v>285.55100000000004</v>
      </c>
      <c r="K17" s="234"/>
      <c r="L17" s="233">
        <f>1207.728-L16</f>
        <v>290.84900000000005</v>
      </c>
      <c r="M17" s="234"/>
      <c r="N17" s="233">
        <f>1453.756-N16</f>
        <v>349.48800000000006</v>
      </c>
      <c r="O17" s="234"/>
      <c r="P17" s="235">
        <f>677.278-P16</f>
        <v>155.04100000000005</v>
      </c>
      <c r="Q17" s="234"/>
      <c r="R17" s="233">
        <f>802.945-R16</f>
        <v>172.52200000000005</v>
      </c>
      <c r="S17" s="236"/>
      <c r="T17" s="230">
        <f t="shared" si="0"/>
        <v>366.96900000000005</v>
      </c>
      <c r="U17" s="230"/>
      <c r="V17" s="10"/>
      <c r="W17" s="220" t="s">
        <v>68</v>
      </c>
      <c r="X17" s="220"/>
      <c r="Y17" s="220"/>
      <c r="Z17" s="16">
        <v>671.91200000000003</v>
      </c>
      <c r="AA17" s="16">
        <v>681.36500000000001</v>
      </c>
    </row>
    <row r="18" spans="2:27" x14ac:dyDescent="0.35">
      <c r="B18" s="10"/>
      <c r="C18" s="50"/>
      <c r="E18" s="10"/>
      <c r="F18" s="10"/>
      <c r="G18" s="220" t="s">
        <v>69</v>
      </c>
      <c r="H18" s="220"/>
      <c r="I18" s="220"/>
      <c r="J18" s="248">
        <f>IFERROR(J15-J16-J17," -        ")</f>
        <v>84.825000000000045</v>
      </c>
      <c r="K18" s="230"/>
      <c r="L18" s="248">
        <f>IFERROR(L15-L16-L17," -        ")</f>
        <v>105.98300000000017</v>
      </c>
      <c r="M18" s="230"/>
      <c r="N18" s="248">
        <f>IFERROR(N15-N16-N17," -        ")</f>
        <v>99.461000000000013</v>
      </c>
      <c r="O18" s="230"/>
      <c r="P18" s="231">
        <f>IFERROR(P15-P16-P17," -        ")</f>
        <v>66.951000000000022</v>
      </c>
      <c r="Q18" s="230"/>
      <c r="R18" s="230">
        <f>IFERROR(R15-R16-R17," -        ")</f>
        <v>69.130999999999972</v>
      </c>
      <c r="S18" s="232"/>
      <c r="T18" s="230">
        <f t="shared" si="0"/>
        <v>101.64099999999996</v>
      </c>
      <c r="U18" s="230"/>
      <c r="V18" s="10"/>
      <c r="W18" s="220" t="s">
        <v>70</v>
      </c>
      <c r="X18" s="220"/>
      <c r="Y18" s="220"/>
      <c r="Z18" s="16">
        <f>1.571+8.808</f>
        <v>10.379</v>
      </c>
      <c r="AA18" s="16">
        <v>56.71</v>
      </c>
    </row>
    <row r="19" spans="2:27" ht="15" thickBot="1" x14ac:dyDescent="0.4">
      <c r="B19" s="8" t="s">
        <v>71</v>
      </c>
      <c r="C19" s="9"/>
      <c r="D19" s="9"/>
      <c r="E19" s="9"/>
      <c r="F19" s="10"/>
      <c r="G19" s="220" t="s">
        <v>72</v>
      </c>
      <c r="H19" s="220"/>
      <c r="I19" s="220"/>
      <c r="J19" s="233">
        <v>16.957999999999998</v>
      </c>
      <c r="K19" s="234"/>
      <c r="L19" s="233">
        <v>22.893999999999998</v>
      </c>
      <c r="M19" s="234"/>
      <c r="N19" s="233">
        <v>26.853000000000002</v>
      </c>
      <c r="O19" s="234"/>
      <c r="P19" s="235">
        <v>14.14</v>
      </c>
      <c r="Q19" s="234"/>
      <c r="R19" s="233">
        <v>18.497</v>
      </c>
      <c r="S19" s="236"/>
      <c r="T19" s="230">
        <f t="shared" si="0"/>
        <v>31.21</v>
      </c>
      <c r="U19" s="230"/>
      <c r="V19" s="10"/>
      <c r="W19" s="220" t="s">
        <v>73</v>
      </c>
      <c r="X19" s="220"/>
      <c r="Y19" s="220"/>
      <c r="Z19" s="16">
        <f>751.447-Z18-Z17</f>
        <v>69.155999999999949</v>
      </c>
      <c r="AA19" s="16">
        <f>922.989-AA17-AA18</f>
        <v>184.91400000000002</v>
      </c>
    </row>
    <row r="20" spans="2:27" ht="3.5" customHeight="1" x14ac:dyDescent="0.35">
      <c r="B20" s="2"/>
      <c r="C20" s="2"/>
      <c r="D20" s="2"/>
      <c r="E20" s="2"/>
      <c r="F20" s="10"/>
      <c r="G20" s="220"/>
      <c r="H20" s="220"/>
      <c r="I20" s="220"/>
      <c r="J20" s="244"/>
      <c r="K20" s="244"/>
      <c r="L20" s="244"/>
      <c r="M20" s="244"/>
      <c r="N20" s="244"/>
      <c r="O20" s="244"/>
      <c r="P20" s="245"/>
      <c r="Q20" s="244"/>
      <c r="R20" s="244"/>
      <c r="S20" s="246"/>
      <c r="T20" s="230">
        <f t="shared" si="0"/>
        <v>0</v>
      </c>
      <c r="U20" s="230"/>
      <c r="V20" s="10"/>
      <c r="W20" s="220"/>
      <c r="X20" s="220"/>
      <c r="Y20" s="12"/>
      <c r="Z20" s="20"/>
      <c r="AA20" s="20"/>
    </row>
    <row r="21" spans="2:27" x14ac:dyDescent="0.35">
      <c r="B21" s="220" t="s">
        <v>74</v>
      </c>
      <c r="C21" s="220"/>
      <c r="D21" s="23" cm="1">
        <f t="array" aca="1" ref="D21" ca="1">_FV(B2,"Last trade time",TRUE)</f>
        <v>45763.187460613284</v>
      </c>
      <c r="E21" s="24" cm="1">
        <f t="array" aca="1" ref="E21" ca="1">_FV(B2,"Price")</f>
        <v>0.26500000000000001</v>
      </c>
      <c r="F21" s="10"/>
      <c r="G21" s="220" t="s">
        <v>75</v>
      </c>
      <c r="H21" s="220"/>
      <c r="I21" s="220"/>
      <c r="J21" s="230">
        <f>IFERROR(J18-J19," -        ")</f>
        <v>67.867000000000047</v>
      </c>
      <c r="K21" s="230"/>
      <c r="L21" s="230">
        <f t="shared" ref="L21" si="4">IFERROR(L18-L19," -        ")</f>
        <v>83.089000000000169</v>
      </c>
      <c r="M21" s="230"/>
      <c r="N21" s="230">
        <f t="shared" ref="N21" si="5">IFERROR(N18-N19," -        ")</f>
        <v>72.608000000000004</v>
      </c>
      <c r="O21" s="230"/>
      <c r="P21" s="231">
        <f t="shared" ref="P21" si="6">IFERROR(P18-P19," -        ")</f>
        <v>52.811000000000021</v>
      </c>
      <c r="Q21" s="230"/>
      <c r="R21" s="230">
        <f t="shared" ref="R21" si="7">IFERROR(R18-R19," -        ")</f>
        <v>50.633999999999972</v>
      </c>
      <c r="S21" s="232"/>
      <c r="T21" s="230">
        <f t="shared" si="0"/>
        <v>70.430999999999955</v>
      </c>
      <c r="U21" s="230"/>
      <c r="V21" s="10"/>
      <c r="W21" s="220" t="s">
        <v>76</v>
      </c>
      <c r="X21" s="220"/>
      <c r="Y21" s="220"/>
      <c r="Z21" s="20">
        <f>IFERROR(Z17+Z18+Z19+Z15," -       ")</f>
        <v>1451.35</v>
      </c>
      <c r="AA21" s="20">
        <f>IFERROR(AA17+AA18+AA19+AA15," -       ")</f>
        <v>1733.5900000000001</v>
      </c>
    </row>
    <row r="22" spans="2:27" x14ac:dyDescent="0.35">
      <c r="B22" s="220" t="s">
        <v>77</v>
      </c>
      <c r="C22" s="220"/>
      <c r="D22" s="25"/>
      <c r="E22" s="26">
        <f ca="1">IFERROR(E21/E23,"NA")</f>
        <v>0.67430025445292618</v>
      </c>
      <c r="F22" s="10"/>
      <c r="G22" s="220" t="s">
        <v>78</v>
      </c>
      <c r="H22" s="220"/>
      <c r="I22" s="220"/>
      <c r="J22" s="233">
        <v>18.747</v>
      </c>
      <c r="K22" s="234"/>
      <c r="L22" s="233">
        <v>24.742999999999999</v>
      </c>
      <c r="M22" s="234"/>
      <c r="N22" s="233">
        <v>21.661999999999999</v>
      </c>
      <c r="O22" s="234"/>
      <c r="P22" s="235">
        <v>15.042</v>
      </c>
      <c r="Q22" s="234"/>
      <c r="R22" s="233">
        <v>13.574999999999999</v>
      </c>
      <c r="S22" s="236"/>
      <c r="T22" s="230">
        <f t="shared" si="0"/>
        <v>20.194999999999993</v>
      </c>
      <c r="U22" s="230"/>
      <c r="V22" s="10"/>
      <c r="W22" s="220"/>
      <c r="X22" s="220"/>
      <c r="Y22" s="220"/>
      <c r="Z22" s="20"/>
      <c r="AA22" s="20"/>
    </row>
    <row r="23" spans="2:27" x14ac:dyDescent="0.35">
      <c r="B23" s="220" t="s">
        <v>79</v>
      </c>
      <c r="C23" s="220"/>
      <c r="D23" s="23" cm="1">
        <f t="array" aca="1" ref="D23" ca="1">_FV(B2,"Last trade time",TRUE)</f>
        <v>45763.187460613284</v>
      </c>
      <c r="E23" s="24" cm="1">
        <f t="array" aca="1" ref="E23" ca="1">_FV(B2,"52 week high",TRUE)</f>
        <v>0.39300000000000002</v>
      </c>
      <c r="F23" s="10"/>
      <c r="G23" s="220" t="s">
        <v>80</v>
      </c>
      <c r="H23" s="220"/>
      <c r="I23" s="220"/>
      <c r="J23" s="233">
        <v>0</v>
      </c>
      <c r="K23" s="234"/>
      <c r="L23" s="233">
        <v>0</v>
      </c>
      <c r="M23" s="234"/>
      <c r="N23" s="233">
        <v>0</v>
      </c>
      <c r="O23" s="234"/>
      <c r="P23" s="235">
        <v>0</v>
      </c>
      <c r="Q23" s="234"/>
      <c r="R23" s="233">
        <v>0</v>
      </c>
      <c r="S23" s="236"/>
      <c r="T23" s="230">
        <f t="shared" si="0"/>
        <v>0</v>
      </c>
      <c r="U23" s="230"/>
      <c r="V23" s="10"/>
      <c r="W23" s="220" t="s">
        <v>81</v>
      </c>
      <c r="X23" s="220"/>
      <c r="Y23" s="220"/>
      <c r="Z23" s="16">
        <v>322.70299999999997</v>
      </c>
      <c r="AA23" s="16">
        <v>438.18400000000003</v>
      </c>
    </row>
    <row r="24" spans="2:27" x14ac:dyDescent="0.35">
      <c r="B24" s="220" t="s">
        <v>82</v>
      </c>
      <c r="C24" s="220"/>
      <c r="D24" s="23" cm="1">
        <f t="array" aca="1" ref="D24" ca="1">_FV(B2,"Last trade time",TRUE)</f>
        <v>45763.187460613284</v>
      </c>
      <c r="E24" s="24" cm="1">
        <f t="array" aca="1" ref="E24" ca="1">_FV(B2,"52 week low",TRUE)</f>
        <v>0.223</v>
      </c>
      <c r="F24" s="10"/>
      <c r="G24" s="220" t="s">
        <v>83</v>
      </c>
      <c r="H24" s="220"/>
      <c r="I24" s="220"/>
      <c r="J24" s="233">
        <v>0</v>
      </c>
      <c r="K24" s="234"/>
      <c r="L24" s="233">
        <v>0</v>
      </c>
      <c r="M24" s="234"/>
      <c r="N24" s="233">
        <v>0</v>
      </c>
      <c r="O24" s="234"/>
      <c r="P24" s="235">
        <v>0</v>
      </c>
      <c r="Q24" s="234"/>
      <c r="R24" s="233">
        <v>0</v>
      </c>
      <c r="S24" s="236"/>
      <c r="T24" s="230">
        <f t="shared" si="0"/>
        <v>0</v>
      </c>
      <c r="U24" s="230"/>
      <c r="V24" s="10"/>
      <c r="W24" s="220" t="s">
        <v>84</v>
      </c>
      <c r="X24" s="220"/>
      <c r="Y24" s="220"/>
      <c r="Z24" s="16">
        <f>104.139</f>
        <v>104.139</v>
      </c>
      <c r="AA24" s="16">
        <v>108.754</v>
      </c>
    </row>
    <row r="25" spans="2:27" x14ac:dyDescent="0.35">
      <c r="B25" s="220" t="s">
        <v>85</v>
      </c>
      <c r="C25" s="220"/>
      <c r="D25" s="25"/>
      <c r="E25" s="43">
        <f>E14</f>
        <v>2.7499999999999998E-3</v>
      </c>
      <c r="F25" s="10"/>
      <c r="G25" s="220" t="s">
        <v>86</v>
      </c>
      <c r="H25" s="220"/>
      <c r="I25" s="220"/>
      <c r="J25" s="230">
        <f>IFERROR(J21-J22-J23-J24," -        ")</f>
        <v>49.120000000000047</v>
      </c>
      <c r="K25" s="230"/>
      <c r="L25" s="230">
        <f t="shared" ref="L25" si="8">IFERROR(L21-L22-L23-L24," -        ")</f>
        <v>58.346000000000174</v>
      </c>
      <c r="M25" s="230"/>
      <c r="N25" s="230">
        <f t="shared" ref="N25" si="9">IFERROR(N21-N22-N23-N24," -        ")</f>
        <v>50.946000000000005</v>
      </c>
      <c r="O25" s="230"/>
      <c r="P25" s="231">
        <f t="shared" ref="P25" si="10">IFERROR(P21-P22-P23-P24," -        ")</f>
        <v>37.76900000000002</v>
      </c>
      <c r="Q25" s="230"/>
      <c r="R25" s="230">
        <f t="shared" ref="R25" si="11">IFERROR(R21-R22-R23-R24," -        ")</f>
        <v>37.058999999999969</v>
      </c>
      <c r="S25" s="232"/>
      <c r="T25" s="230">
        <f t="shared" si="0"/>
        <v>50.235999999999947</v>
      </c>
      <c r="U25" s="230"/>
      <c r="V25" s="10"/>
      <c r="W25" s="220" t="s">
        <v>87</v>
      </c>
      <c r="X25" s="220"/>
      <c r="Y25" s="220"/>
      <c r="Z25" s="16">
        <v>131.33699999999999</v>
      </c>
      <c r="AA25" s="16">
        <v>154.47800000000001</v>
      </c>
    </row>
    <row r="26" spans="2:27" x14ac:dyDescent="0.35">
      <c r="B26" s="220"/>
      <c r="C26" s="220"/>
      <c r="D26" s="25"/>
      <c r="E26" s="25"/>
      <c r="F26" s="10"/>
      <c r="G26" s="220" t="s">
        <v>88</v>
      </c>
      <c r="H26" s="220"/>
      <c r="I26" s="220"/>
      <c r="J26" s="205">
        <f>IFERROR(J22/J21," -        ")</f>
        <v>0.27623145269423999</v>
      </c>
      <c r="K26" s="205"/>
      <c r="L26" s="205">
        <f t="shared" ref="L26" si="12">IFERROR(L22/L21," -        ")</f>
        <v>0.29778911769307548</v>
      </c>
      <c r="M26" s="205"/>
      <c r="N26" s="205">
        <f t="shared" ref="N26" si="13">IFERROR(N22/N21," -        ")</f>
        <v>0.29834178052005283</v>
      </c>
      <c r="O26" s="205"/>
      <c r="P26" s="216">
        <f t="shared" ref="P26" si="14">IFERROR(P22/P21," -        ")</f>
        <v>0.28482702467289001</v>
      </c>
      <c r="Q26" s="205"/>
      <c r="R26" s="205">
        <f t="shared" ref="R26" si="15">IFERROR(R22/R21," -        ")</f>
        <v>0.26810048583955459</v>
      </c>
      <c r="S26" s="217"/>
      <c r="T26" s="205">
        <f t="shared" si="0"/>
        <v>0.28161524168671737</v>
      </c>
      <c r="U26" s="205"/>
      <c r="V26" s="28"/>
      <c r="W26" s="247" t="s">
        <v>89</v>
      </c>
      <c r="X26" s="247"/>
      <c r="Y26" s="247"/>
      <c r="Z26" s="20">
        <f>IFERROR(Z23+Z24+Z25," -       ")</f>
        <v>558.17899999999997</v>
      </c>
      <c r="AA26" s="20">
        <f>IFERROR(AA23+AA24+AA25," -       ")</f>
        <v>701.41599999999994</v>
      </c>
    </row>
    <row r="27" spans="2:27" x14ac:dyDescent="0.35">
      <c r="B27" s="29" t="s">
        <v>90</v>
      </c>
      <c r="C27" s="29"/>
      <c r="D27" s="25"/>
      <c r="E27" s="30">
        <f>T28</f>
        <v>2160.3353609999999</v>
      </c>
      <c r="F27" s="10"/>
      <c r="G27" s="220"/>
      <c r="H27" s="220"/>
      <c r="I27" s="220"/>
      <c r="J27" s="244"/>
      <c r="K27" s="244"/>
      <c r="L27" s="244"/>
      <c r="M27" s="244"/>
      <c r="N27" s="244"/>
      <c r="O27" s="244"/>
      <c r="P27" s="245"/>
      <c r="Q27" s="244"/>
      <c r="R27" s="244"/>
      <c r="S27" s="246"/>
      <c r="T27" s="230"/>
      <c r="U27" s="230"/>
      <c r="V27" s="10"/>
      <c r="W27" s="220"/>
      <c r="X27" s="220"/>
      <c r="Y27" s="220"/>
      <c r="Z27" s="20"/>
      <c r="AA27" s="20"/>
    </row>
    <row r="28" spans="2:27" x14ac:dyDescent="0.35">
      <c r="B28" s="229" t="s">
        <v>91</v>
      </c>
      <c r="C28" s="229"/>
      <c r="D28" s="25"/>
      <c r="E28" s="30">
        <f ca="1">IFERROR(E27*E21," -       ")</f>
        <v>572.48887066500004</v>
      </c>
      <c r="F28" s="10"/>
      <c r="G28" s="220" t="s">
        <v>92</v>
      </c>
      <c r="H28" s="220"/>
      <c r="I28" s="220"/>
      <c r="J28" s="233">
        <v>2106.6814260000001</v>
      </c>
      <c r="K28" s="234"/>
      <c r="L28" s="233">
        <v>2104.4723119999999</v>
      </c>
      <c r="M28" s="234"/>
      <c r="N28" s="233">
        <v>2142.57917</v>
      </c>
      <c r="O28" s="234"/>
      <c r="P28" s="235">
        <v>2124.1279060000002</v>
      </c>
      <c r="Q28" s="234"/>
      <c r="R28" s="233">
        <v>2159.6402870000002</v>
      </c>
      <c r="S28" s="236"/>
      <c r="T28" s="230">
        <v>2160.3353609999999</v>
      </c>
      <c r="U28" s="230"/>
      <c r="V28" s="10"/>
      <c r="W28" s="220" t="s">
        <v>93</v>
      </c>
      <c r="X28" s="220"/>
      <c r="Y28" s="220"/>
      <c r="Z28" s="16">
        <v>237.02600000000001</v>
      </c>
      <c r="AA28" s="16">
        <v>349.95100000000002</v>
      </c>
    </row>
    <row r="29" spans="2:27" ht="15" thickBot="1" x14ac:dyDescent="0.4">
      <c r="B29" s="220"/>
      <c r="C29" s="220"/>
      <c r="D29" s="25"/>
      <c r="E29" s="30"/>
      <c r="F29" s="10"/>
      <c r="G29" s="220" t="s">
        <v>94</v>
      </c>
      <c r="H29" s="220"/>
      <c r="I29" s="220"/>
      <c r="J29" s="230">
        <f>IFERROR(J25/J28," -        ")</f>
        <v>2.3316292341963262E-2</v>
      </c>
      <c r="K29" s="230"/>
      <c r="L29" s="230">
        <f t="shared" ref="L29" si="16">IFERROR(L25/L28," -        ")</f>
        <v>2.7724764857823502E-2</v>
      </c>
      <c r="M29" s="230"/>
      <c r="N29" s="230">
        <f>IFERROR(N25/N28," -        ")</f>
        <v>2.3777884483027065E-2</v>
      </c>
      <c r="O29" s="230"/>
      <c r="P29" s="241">
        <f t="shared" ref="P29" si="17">IFERROR(P25/P28," -        ")</f>
        <v>1.7780944308162589E-2</v>
      </c>
      <c r="Q29" s="242"/>
      <c r="R29" s="242">
        <f t="shared" ref="R29" si="18">IFERROR(R25/R28," -        ")</f>
        <v>1.7159802131437071E-2</v>
      </c>
      <c r="S29" s="243"/>
      <c r="T29" s="230">
        <f t="shared" si="0"/>
        <v>2.3156742306301544E-2</v>
      </c>
      <c r="U29" s="230"/>
      <c r="V29" s="10"/>
      <c r="W29" s="220" t="s">
        <v>95</v>
      </c>
      <c r="X29" s="220"/>
      <c r="Y29" s="220"/>
      <c r="Z29" s="16">
        <f>259.656-Z28</f>
        <v>22.629999999999995</v>
      </c>
      <c r="AA29" s="16">
        <f>363.335-AA28</f>
        <v>13.383999999999958</v>
      </c>
    </row>
    <row r="30" spans="2:27" x14ac:dyDescent="0.35">
      <c r="B30" s="220" t="s">
        <v>96</v>
      </c>
      <c r="C30" s="220"/>
      <c r="D30" s="25"/>
      <c r="E30" s="30">
        <f>IF(SUM(AA24,AA28)=0," -       ",SUM(AA24,AA28))</f>
        <v>458.70500000000004</v>
      </c>
      <c r="F30" s="10"/>
      <c r="G30" s="10"/>
      <c r="H30" s="10"/>
      <c r="I30" s="10"/>
      <c r="J30" s="10"/>
      <c r="K30" s="10"/>
      <c r="L30" s="10"/>
      <c r="M30" s="10"/>
      <c r="N30" s="10"/>
      <c r="O30" s="10"/>
      <c r="P30" s="10"/>
      <c r="Q30" s="10"/>
      <c r="R30" s="10"/>
      <c r="S30" s="10"/>
      <c r="T30" s="10"/>
      <c r="U30" s="10"/>
      <c r="V30" s="10"/>
      <c r="W30" s="229" t="s">
        <v>97</v>
      </c>
      <c r="X30" s="229"/>
      <c r="Y30" s="229"/>
      <c r="Z30" s="20">
        <f>IFERROR(Z26+Z28+Z29," -       ")</f>
        <v>817.83499999999992</v>
      </c>
      <c r="AA30" s="20">
        <f>IFERROR(AA26+AA28+AA29," -       ")</f>
        <v>1064.751</v>
      </c>
    </row>
    <row r="31" spans="2:27" x14ac:dyDescent="0.35">
      <c r="B31" s="220" t="s">
        <v>98</v>
      </c>
      <c r="C31" s="220"/>
      <c r="D31" s="25"/>
      <c r="E31" s="30">
        <f>AA33</f>
        <v>0</v>
      </c>
      <c r="F31" s="10"/>
      <c r="G31" s="10"/>
      <c r="H31" s="10"/>
      <c r="I31" s="10"/>
      <c r="J31" s="10"/>
      <c r="K31" s="10"/>
      <c r="L31" s="10"/>
      <c r="M31" s="10"/>
      <c r="N31" s="10"/>
      <c r="O31" s="10"/>
      <c r="P31" s="10"/>
      <c r="Q31" s="10"/>
      <c r="R31" s="10"/>
      <c r="S31" s="10"/>
      <c r="T31" s="10"/>
      <c r="U31" s="10"/>
      <c r="V31" s="10"/>
      <c r="W31" s="220"/>
      <c r="X31" s="220"/>
      <c r="Y31" s="220"/>
      <c r="Z31" s="20"/>
      <c r="AA31" s="20"/>
    </row>
    <row r="32" spans="2:27" ht="15" thickBot="1" x14ac:dyDescent="0.4">
      <c r="B32" s="220" t="s">
        <v>99</v>
      </c>
      <c r="C32" s="220"/>
      <c r="D32" s="25"/>
      <c r="E32" s="30">
        <f>AA32</f>
        <v>0</v>
      </c>
      <c r="F32" s="10"/>
      <c r="G32" s="1" t="s">
        <v>100</v>
      </c>
      <c r="H32" s="2"/>
      <c r="I32" s="2"/>
      <c r="J32" s="2"/>
      <c r="K32" s="2"/>
      <c r="L32" s="2"/>
      <c r="M32" s="2"/>
      <c r="N32" s="2"/>
      <c r="O32" s="2"/>
      <c r="P32" s="2"/>
      <c r="Q32" s="2"/>
      <c r="R32" s="2"/>
      <c r="S32" s="2"/>
      <c r="T32" s="2"/>
      <c r="U32" s="2"/>
      <c r="V32" s="10"/>
      <c r="W32" s="220" t="s">
        <v>101</v>
      </c>
      <c r="X32" s="220"/>
      <c r="Y32" s="220"/>
      <c r="Z32" s="16">
        <v>0</v>
      </c>
      <c r="AA32" s="16">
        <v>0</v>
      </c>
    </row>
    <row r="33" spans="2:27" x14ac:dyDescent="0.35">
      <c r="B33" s="29" t="s">
        <v>102</v>
      </c>
      <c r="C33" s="29"/>
      <c r="D33" s="25"/>
      <c r="E33" s="30">
        <f>AA11</f>
        <v>221.80600000000001</v>
      </c>
      <c r="F33" s="10"/>
      <c r="G33" s="220" t="s">
        <v>103</v>
      </c>
      <c r="H33" s="220"/>
      <c r="I33" s="220"/>
      <c r="J33" s="230">
        <f>J15</f>
        <v>1181.45</v>
      </c>
      <c r="K33" s="230"/>
      <c r="L33" s="230">
        <f t="shared" ref="L33" si="19">L15</f>
        <v>1313.7110000000002</v>
      </c>
      <c r="M33" s="230"/>
      <c r="N33" s="230">
        <f t="shared" ref="N33" si="20">N15</f>
        <v>1553.2170000000001</v>
      </c>
      <c r="O33" s="230"/>
      <c r="P33" s="238">
        <f t="shared" ref="P33" si="21">P15</f>
        <v>744.22900000000004</v>
      </c>
      <c r="Q33" s="239"/>
      <c r="R33" s="239">
        <f t="shared" ref="R33" si="22">R15</f>
        <v>872.07600000000002</v>
      </c>
      <c r="S33" s="240"/>
      <c r="T33" s="230">
        <f t="shared" ref="T33:T59" si="23">IFERROR(N33+R33-P33," -        ")</f>
        <v>1681.0640000000001</v>
      </c>
      <c r="U33" s="230"/>
      <c r="V33" s="10"/>
      <c r="W33" s="220" t="s">
        <v>104</v>
      </c>
      <c r="X33" s="220"/>
      <c r="Y33" s="220"/>
      <c r="Z33" s="16">
        <v>0</v>
      </c>
      <c r="AA33" s="16">
        <v>0</v>
      </c>
    </row>
    <row r="34" spans="2:27" x14ac:dyDescent="0.35">
      <c r="B34" s="229" t="s">
        <v>105</v>
      </c>
      <c r="C34" s="229"/>
      <c r="D34" s="25"/>
      <c r="E34" s="30">
        <f ca="1">IFERROR(E28+E30+E31+E32-E33,"-       ")</f>
        <v>809.38787066500004</v>
      </c>
      <c r="F34" s="10"/>
      <c r="G34" s="220" t="s">
        <v>106</v>
      </c>
      <c r="H34" s="220"/>
      <c r="I34" s="220"/>
      <c r="J34" s="233">
        <v>0</v>
      </c>
      <c r="K34" s="234"/>
      <c r="L34" s="233">
        <v>0</v>
      </c>
      <c r="M34" s="234"/>
      <c r="N34" s="233">
        <v>0</v>
      </c>
      <c r="O34" s="234"/>
      <c r="P34" s="235">
        <v>0</v>
      </c>
      <c r="Q34" s="234"/>
      <c r="R34" s="233">
        <v>0</v>
      </c>
      <c r="S34" s="236"/>
      <c r="T34" s="230">
        <f t="shared" si="23"/>
        <v>0</v>
      </c>
      <c r="U34" s="230"/>
      <c r="V34" s="10"/>
      <c r="W34" s="220" t="s">
        <v>107</v>
      </c>
      <c r="X34" s="220"/>
      <c r="Y34" s="220"/>
      <c r="Z34" s="16">
        <v>633.51499999999999</v>
      </c>
      <c r="AA34" s="16">
        <v>668.83900000000006</v>
      </c>
    </row>
    <row r="35" spans="2:27" x14ac:dyDescent="0.35">
      <c r="B35" s="10"/>
      <c r="C35" s="10"/>
      <c r="D35" s="10"/>
      <c r="E35" s="10"/>
      <c r="F35" s="10"/>
      <c r="G35" s="220" t="s">
        <v>108</v>
      </c>
      <c r="H35" s="220"/>
      <c r="I35" s="220"/>
      <c r="J35" s="230">
        <f>IFERROR(J33+J34," -        ")</f>
        <v>1181.45</v>
      </c>
      <c r="K35" s="230"/>
      <c r="L35" s="230">
        <f t="shared" ref="L35" si="24">IFERROR(L33+L34," -        ")</f>
        <v>1313.7110000000002</v>
      </c>
      <c r="M35" s="230"/>
      <c r="N35" s="230">
        <f t="shared" ref="N35" si="25">IFERROR(N33+N34," -        ")</f>
        <v>1553.2170000000001</v>
      </c>
      <c r="O35" s="230"/>
      <c r="P35" s="231">
        <f t="shared" ref="P35" si="26">IFERROR(P33+P34," -        ")</f>
        <v>744.22900000000004</v>
      </c>
      <c r="Q35" s="230"/>
      <c r="R35" s="230">
        <f t="shared" ref="R35" si="27">IFERROR(R33+R34," -        ")</f>
        <v>872.07600000000002</v>
      </c>
      <c r="S35" s="232"/>
      <c r="T35" s="230">
        <f t="shared" si="23"/>
        <v>1681.0640000000001</v>
      </c>
      <c r="U35" s="230"/>
      <c r="V35" s="10"/>
      <c r="W35" s="220" t="s">
        <v>109</v>
      </c>
      <c r="X35" s="220"/>
      <c r="Y35" s="220"/>
      <c r="Z35" s="20">
        <f>IFERROR(Z30+Z32+Z33+Z34," -       ")</f>
        <v>1451.35</v>
      </c>
      <c r="AA35" s="20">
        <f>IFERROR(AA30+AA32+AA33+AA34," -       ")</f>
        <v>1733.5900000000001</v>
      </c>
    </row>
    <row r="36" spans="2:27" ht="15" thickBot="1" x14ac:dyDescent="0.4">
      <c r="B36" s="8" t="s">
        <v>110</v>
      </c>
      <c r="C36" s="9"/>
      <c r="D36" s="9"/>
      <c r="E36" s="9"/>
      <c r="F36" s="10"/>
      <c r="G36" s="220" t="s">
        <v>111</v>
      </c>
      <c r="H36" s="220"/>
      <c r="I36" s="220"/>
      <c r="J36" s="205">
        <f>IFERROR(J35/J13," -        ")</f>
        <v>0.69577031482068208</v>
      </c>
      <c r="K36" s="205"/>
      <c r="L36" s="205">
        <f t="shared" ref="L36" si="28">IFERROR(L35/L13," -        ")</f>
        <v>0.68919602339794883</v>
      </c>
      <c r="M36" s="205"/>
      <c r="N36" s="205">
        <f t="shared" ref="N36" si="29">IFERROR(N35/N13," -        ")</f>
        <v>0.76465653601383576</v>
      </c>
      <c r="O36" s="205"/>
      <c r="P36" s="216">
        <f t="shared" ref="P36" si="30">IFERROR(P35/P13," -        ")</f>
        <v>0.77016986126720199</v>
      </c>
      <c r="Q36" s="205"/>
      <c r="R36" s="205">
        <f t="shared" ref="R36" si="31">IFERROR(R35/R13," -        ")</f>
        <v>0.73987574225043451</v>
      </c>
      <c r="S36" s="217"/>
      <c r="T36" s="205">
        <f t="shared" si="23"/>
        <v>0.73436241699706828</v>
      </c>
      <c r="U36" s="205"/>
      <c r="V36" s="10"/>
      <c r="W36" s="237" t="s">
        <v>112</v>
      </c>
      <c r="X36" s="237"/>
      <c r="Y36" s="237"/>
      <c r="Z36" s="20">
        <f>IFERROR(Z21-Z35," -       ")</f>
        <v>0</v>
      </c>
      <c r="AA36" s="20">
        <f>IFERROR(AA21-AA35," -       ")</f>
        <v>0</v>
      </c>
    </row>
    <row r="37" spans="2:27" ht="3" customHeight="1" x14ac:dyDescent="0.35">
      <c r="B37" s="2"/>
      <c r="C37" s="2"/>
      <c r="D37" s="2"/>
      <c r="E37" s="2"/>
      <c r="F37" s="10"/>
      <c r="G37" s="220"/>
      <c r="H37" s="220"/>
      <c r="I37" s="220"/>
      <c r="J37" s="224"/>
      <c r="K37" s="224"/>
      <c r="L37" s="224"/>
      <c r="M37" s="224"/>
      <c r="N37" s="224"/>
      <c r="O37" s="224"/>
      <c r="P37" s="227"/>
      <c r="Q37" s="224"/>
      <c r="R37" s="224"/>
      <c r="S37" s="228"/>
      <c r="T37" s="224">
        <f t="shared" si="23"/>
        <v>0</v>
      </c>
      <c r="U37" s="224"/>
      <c r="V37" s="10"/>
      <c r="W37" s="10"/>
      <c r="X37" s="10"/>
      <c r="Y37" s="10"/>
      <c r="Z37" s="10"/>
      <c r="AA37" s="10"/>
    </row>
    <row r="38" spans="2:27" x14ac:dyDescent="0.35">
      <c r="B38" s="12"/>
      <c r="C38" s="13" t="s">
        <v>3</v>
      </c>
      <c r="D38" s="13" t="s">
        <v>113</v>
      </c>
      <c r="E38" s="13" t="s">
        <v>114</v>
      </c>
      <c r="F38" s="10"/>
      <c r="G38" s="220"/>
      <c r="H38" s="220"/>
      <c r="I38" s="220"/>
      <c r="J38" s="213"/>
      <c r="K38" s="213"/>
      <c r="L38" s="213"/>
      <c r="M38" s="213"/>
      <c r="N38" s="213"/>
      <c r="O38" s="213"/>
      <c r="P38" s="225"/>
      <c r="Q38" s="213"/>
      <c r="R38" s="213"/>
      <c r="S38" s="226"/>
      <c r="T38" s="213"/>
      <c r="U38" s="213"/>
      <c r="V38" s="10"/>
      <c r="W38" s="10"/>
      <c r="X38" s="10"/>
      <c r="Y38" s="10"/>
      <c r="Z38" s="10"/>
      <c r="AA38" s="10"/>
    </row>
    <row r="39" spans="2:27" x14ac:dyDescent="0.35">
      <c r="B39" s="12"/>
      <c r="C39" s="14">
        <v>45747</v>
      </c>
      <c r="D39" s="13" t="s">
        <v>115</v>
      </c>
      <c r="E39" s="13" t="s">
        <v>116</v>
      </c>
      <c r="F39" s="10"/>
      <c r="G39" s="220" t="s">
        <v>117</v>
      </c>
      <c r="H39" s="220"/>
      <c r="I39" s="220"/>
      <c r="J39" s="230">
        <f>J18</f>
        <v>84.825000000000045</v>
      </c>
      <c r="K39" s="230"/>
      <c r="L39" s="230">
        <f t="shared" ref="L39" si="32">L18</f>
        <v>105.98300000000017</v>
      </c>
      <c r="M39" s="230"/>
      <c r="N39" s="230">
        <f t="shared" ref="N39" si="33">N18</f>
        <v>99.461000000000013</v>
      </c>
      <c r="O39" s="230"/>
      <c r="P39" s="231">
        <f t="shared" ref="P39" si="34">P18</f>
        <v>66.951000000000022</v>
      </c>
      <c r="Q39" s="230"/>
      <c r="R39" s="230">
        <f t="shared" ref="R39" si="35">R18</f>
        <v>69.130999999999972</v>
      </c>
      <c r="S39" s="232"/>
      <c r="T39" s="230">
        <f t="shared" si="23"/>
        <v>101.64099999999996</v>
      </c>
      <c r="U39" s="230"/>
      <c r="V39" s="10"/>
      <c r="W39" s="1" t="s">
        <v>196</v>
      </c>
      <c r="X39" s="2"/>
      <c r="Y39" s="2"/>
      <c r="Z39" s="2"/>
      <c r="AA39" s="2"/>
    </row>
    <row r="40" spans="2:27" x14ac:dyDescent="0.35">
      <c r="B40" s="12" t="s">
        <v>119</v>
      </c>
      <c r="C40" s="20">
        <f ca="1">IFERROR($E$34/C41,"NA")</f>
        <v>0.36075055007706286</v>
      </c>
      <c r="D40" s="20">
        <f t="shared" ref="D40:E40" ca="1" si="36">IFERROR($E$34/D41,"NA")</f>
        <v>0.38524412422145932</v>
      </c>
      <c r="E40" s="20">
        <f t="shared" ca="1" si="36"/>
        <v>0.37246124054403368</v>
      </c>
      <c r="F40" s="10"/>
      <c r="G40" s="220" t="s">
        <v>106</v>
      </c>
      <c r="H40" s="220"/>
      <c r="I40" s="220"/>
      <c r="J40" s="230">
        <f>J34</f>
        <v>0</v>
      </c>
      <c r="K40" s="230"/>
      <c r="L40" s="230">
        <f t="shared" ref="L40" si="37">L34</f>
        <v>0</v>
      </c>
      <c r="M40" s="230"/>
      <c r="N40" s="230">
        <f t="shared" ref="N40" si="38">N34</f>
        <v>0</v>
      </c>
      <c r="O40" s="230"/>
      <c r="P40" s="231">
        <f t="shared" ref="P40" si="39">P34</f>
        <v>0</v>
      </c>
      <c r="Q40" s="230"/>
      <c r="R40" s="230">
        <f t="shared" ref="R40" si="40">R34</f>
        <v>0</v>
      </c>
      <c r="S40" s="232"/>
      <c r="T40" s="230">
        <f t="shared" si="23"/>
        <v>0</v>
      </c>
      <c r="U40" s="230"/>
      <c r="V40" s="10"/>
      <c r="W40" s="220" t="s">
        <v>120</v>
      </c>
      <c r="X40" s="220"/>
      <c r="Y40" s="220"/>
      <c r="Z40" s="12"/>
      <c r="AA40" s="16" t="s">
        <v>197</v>
      </c>
    </row>
    <row r="41" spans="2:27" x14ac:dyDescent="0.35">
      <c r="B41" s="12" t="s">
        <v>121</v>
      </c>
      <c r="C41" s="20">
        <f>IF(T13=0," -       ",T13)</f>
        <v>2243.6220000000003</v>
      </c>
      <c r="D41" s="16">
        <f>IFERROR($N$13*(1+3.43200373245666%)," -        ")</f>
        <v>2100.9739533359366</v>
      </c>
      <c r="E41" s="16">
        <f>IFERROR($N$13*(1+3.43200373245666%)^2," -        ")</f>
        <v>2173.0794578323685</v>
      </c>
      <c r="F41" s="10"/>
      <c r="G41" s="220" t="s">
        <v>122</v>
      </c>
      <c r="H41" s="220"/>
      <c r="I41" s="220"/>
      <c r="J41" s="233">
        <f>0.273+0.24-0.324-2.361</f>
        <v>-2.1720000000000002</v>
      </c>
      <c r="K41" s="234"/>
      <c r="L41" s="233">
        <f>1.342+0.294-0.474-2.758</f>
        <v>-1.5959999999999999</v>
      </c>
      <c r="M41" s="234"/>
      <c r="N41" s="233">
        <f>1.739+0.372-1.816-1.653</f>
        <v>-1.3579999999999999</v>
      </c>
      <c r="O41" s="234"/>
      <c r="P41" s="235">
        <f>0.715+0.172-0.917</f>
        <v>-3.0000000000000027E-2</v>
      </c>
      <c r="Q41" s="233"/>
      <c r="R41" s="233">
        <f>1.045+0.171</f>
        <v>1.216</v>
      </c>
      <c r="S41" s="236"/>
      <c r="T41" s="230">
        <f t="shared" si="23"/>
        <v>-0.11199999999999988</v>
      </c>
      <c r="U41" s="230"/>
      <c r="V41" s="10"/>
      <c r="W41" s="220" t="s">
        <v>123</v>
      </c>
      <c r="X41" s="220"/>
      <c r="Y41" s="220"/>
      <c r="Z41" s="220"/>
      <c r="AA41" s="20" t="str">
        <f ca="1">Z56</f>
        <v xml:space="preserve">-       </v>
      </c>
    </row>
    <row r="42" spans="2:27" x14ac:dyDescent="0.35">
      <c r="B42" s="12" t="s">
        <v>124</v>
      </c>
      <c r="C42" s="20">
        <f ca="1">IFERROR($E$34/C43,"NA")</f>
        <v>3.7428513919833164</v>
      </c>
      <c r="D42" s="20">
        <f ca="1">IFERROR($E$34/D43,"NA")</f>
        <v>3.4530052050006983</v>
      </c>
      <c r="E42" s="20">
        <f ca="1">IFERROR($E$34/E43,"NA")</f>
        <v>3.1695035007661172</v>
      </c>
      <c r="F42" s="10"/>
      <c r="G42" s="220" t="s">
        <v>125</v>
      </c>
      <c r="H42" s="220"/>
      <c r="I42" s="220"/>
      <c r="J42" s="213">
        <f>IFERROR(J39+J40+J41," -        ")</f>
        <v>82.653000000000048</v>
      </c>
      <c r="K42" s="213"/>
      <c r="L42" s="213">
        <f t="shared" ref="L42" si="41">IFERROR(L39+L40+L41," -        ")</f>
        <v>104.38700000000017</v>
      </c>
      <c r="M42" s="213"/>
      <c r="N42" s="213">
        <f t="shared" ref="N42" si="42">IFERROR(N39+N40+N41," -        ")</f>
        <v>98.103000000000009</v>
      </c>
      <c r="O42" s="213"/>
      <c r="P42" s="225">
        <f t="shared" ref="P42" si="43">IFERROR(P39+P40+P41," -        ")</f>
        <v>66.921000000000021</v>
      </c>
      <c r="Q42" s="213"/>
      <c r="R42" s="213">
        <f t="shared" ref="R42" si="44">IFERROR(R39+R40+R41," -        ")</f>
        <v>70.346999999999966</v>
      </c>
      <c r="S42" s="226"/>
      <c r="T42" s="213">
        <f t="shared" si="23"/>
        <v>101.52899999999997</v>
      </c>
      <c r="U42" s="213"/>
      <c r="V42" s="10"/>
      <c r="W42" s="220" t="s">
        <v>126</v>
      </c>
      <c r="X42" s="220"/>
      <c r="Y42" s="220"/>
      <c r="Z42" s="12"/>
      <c r="AA42" s="20" t="str">
        <f ca="1">IFERROR(AA56/E21,"-       ")</f>
        <v xml:space="preserve">-       </v>
      </c>
    </row>
    <row r="43" spans="2:27" x14ac:dyDescent="0.35">
      <c r="B43" s="12" t="s">
        <v>121</v>
      </c>
      <c r="C43" s="20">
        <f>IF(T46=0," -       ",T46)</f>
        <v>216.24899999999997</v>
      </c>
      <c r="D43" s="16">
        <f>IFERROR($N$46*(1+8.9446723805812%)," -        ")</f>
        <v>234.40099930716332</v>
      </c>
      <c r="E43" s="16">
        <f>IFERROR($N$46*(1+8.9446723805812%)^2," -        ")</f>
        <v>255.36740075199751</v>
      </c>
      <c r="F43" s="10"/>
      <c r="G43" s="220" t="s">
        <v>111</v>
      </c>
      <c r="H43" s="220"/>
      <c r="I43" s="220"/>
      <c r="J43" s="205">
        <f>IFERROR(J42/J13," -        ")</f>
        <v>4.8675359795906613E-2</v>
      </c>
      <c r="K43" s="205"/>
      <c r="L43" s="205">
        <f t="shared" ref="L43" si="45">IFERROR(L42/L13," -        ")</f>
        <v>5.476326626970604E-2</v>
      </c>
      <c r="M43" s="205"/>
      <c r="N43" s="205">
        <f t="shared" ref="N43" si="46">IFERROR(N42/N13," -        ")</f>
        <v>4.8296599993796964E-2</v>
      </c>
      <c r="O43" s="205"/>
      <c r="P43" s="216">
        <f t="shared" ref="P43" si="47">IFERROR(P42/P13," -        ")</f>
        <v>6.9253599746667269E-2</v>
      </c>
      <c r="Q43" s="205"/>
      <c r="R43" s="205">
        <f t="shared" ref="R43" si="48">IFERROR(R42/R13," -        ")</f>
        <v>5.9682916213829179E-2</v>
      </c>
      <c r="S43" s="217"/>
      <c r="T43" s="205">
        <f t="shared" si="23"/>
        <v>3.8725916460958867E-2</v>
      </c>
      <c r="U43" s="205"/>
      <c r="V43" s="10"/>
      <c r="W43" s="220" t="s">
        <v>127</v>
      </c>
      <c r="X43" s="220"/>
      <c r="Y43" s="220"/>
      <c r="Z43" s="12"/>
      <c r="AA43" s="20" t="str">
        <f ca="1">IFERROR(AA40+AA41-AA42,"-       ")</f>
        <v xml:space="preserve">-       </v>
      </c>
    </row>
    <row r="44" spans="2:27" x14ac:dyDescent="0.35">
      <c r="B44" s="12" t="s">
        <v>128</v>
      </c>
      <c r="C44" s="20">
        <f ca="1">IFERROR($E$34/C45,"NA")</f>
        <v>7.9719870250371843</v>
      </c>
      <c r="D44" s="20">
        <f t="shared" ref="D44:E44" ca="1" si="49">IFERROR($E$34/D45,"NA")</f>
        <v>7.6062881015360926</v>
      </c>
      <c r="E44" s="20">
        <f t="shared" ca="1" si="49"/>
        <v>7.0124719747170525</v>
      </c>
      <c r="F44" s="10"/>
      <c r="G44" s="220"/>
      <c r="H44" s="220"/>
      <c r="I44" s="220"/>
      <c r="J44" s="213"/>
      <c r="K44" s="213"/>
      <c r="L44" s="213"/>
      <c r="M44" s="213"/>
      <c r="N44" s="213"/>
      <c r="O44" s="213"/>
      <c r="P44" s="225"/>
      <c r="Q44" s="213"/>
      <c r="R44" s="213"/>
      <c r="S44" s="226"/>
      <c r="T44" s="213"/>
      <c r="U44" s="213"/>
      <c r="V44" s="10"/>
      <c r="W44" s="220" t="s">
        <v>129</v>
      </c>
      <c r="X44" s="220"/>
      <c r="Y44" s="220"/>
      <c r="Z44" s="12"/>
      <c r="AA44" s="20" t="str">
        <f>AA66</f>
        <v xml:space="preserve">-       </v>
      </c>
    </row>
    <row r="45" spans="2:27" x14ac:dyDescent="0.35">
      <c r="B45" s="12" t="s">
        <v>121</v>
      </c>
      <c r="C45" s="20">
        <f>IF(T42=0," -       ",T42)</f>
        <v>101.52899999999997</v>
      </c>
      <c r="D45" s="16">
        <f>IFERROR($N$42*(1+8.468%)," -        ")</f>
        <v>106.41036204000002</v>
      </c>
      <c r="E45" s="16">
        <f>IFERROR($N$42*(1+8.468%)^2," -        ")</f>
        <v>115.42119149754723</v>
      </c>
      <c r="F45" s="10"/>
      <c r="G45" s="220" t="s">
        <v>130</v>
      </c>
      <c r="H45" s="220"/>
      <c r="I45" s="220"/>
      <c r="J45" s="230">
        <f>J63</f>
        <v>126.205</v>
      </c>
      <c r="K45" s="230"/>
      <c r="L45" s="230">
        <f t="shared" ref="L45" si="50">L63</f>
        <v>113.19499999999999</v>
      </c>
      <c r="M45" s="230"/>
      <c r="N45" s="230">
        <f t="shared" ref="N45" si="51">N63</f>
        <v>117.053</v>
      </c>
      <c r="O45" s="230"/>
      <c r="P45" s="231">
        <f t="shared" ref="P45" si="52">P63</f>
        <v>107.81100000000001</v>
      </c>
      <c r="Q45" s="230"/>
      <c r="R45" s="230">
        <f t="shared" ref="R45" si="53">R63</f>
        <v>105.47799999999999</v>
      </c>
      <c r="S45" s="232"/>
      <c r="T45" s="230">
        <f t="shared" si="23"/>
        <v>114.72</v>
      </c>
      <c r="U45" s="230"/>
      <c r="V45" s="10"/>
      <c r="W45" s="229" t="s">
        <v>131</v>
      </c>
      <c r="X45" s="229"/>
      <c r="Y45" s="229"/>
      <c r="Z45" s="12"/>
      <c r="AA45" s="32" t="str">
        <f ca="1">IFERROR(AA43+AA44,"-       ")</f>
        <v xml:space="preserve">-       </v>
      </c>
    </row>
    <row r="46" spans="2:27" x14ac:dyDescent="0.35">
      <c r="B46" s="12" t="s">
        <v>132</v>
      </c>
      <c r="C46" s="20">
        <f ca="1">IFERROR($E$21/C47,"NA")</f>
        <v>12.301537599104979</v>
      </c>
      <c r="D46" s="20">
        <f t="shared" ref="D46:E46" ca="1" si="54">IFERROR($E$21/D47,"NA")</f>
        <v>10.337237058708213</v>
      </c>
      <c r="E46" s="20">
        <f t="shared" ca="1" si="54"/>
        <v>10.017284976556983</v>
      </c>
      <c r="F46" s="10"/>
      <c r="G46" s="220" t="s">
        <v>133</v>
      </c>
      <c r="H46" s="220"/>
      <c r="I46" s="220"/>
      <c r="J46" s="230">
        <f>IFERROR(J42+J45," -        ")</f>
        <v>208.85800000000006</v>
      </c>
      <c r="K46" s="230"/>
      <c r="L46" s="230">
        <f t="shared" ref="L46" si="55">IFERROR(L42+L45," -        ")</f>
        <v>217.58200000000016</v>
      </c>
      <c r="M46" s="230"/>
      <c r="N46" s="230">
        <f t="shared" ref="N46" si="56">IFERROR(N42+N45," -        ")</f>
        <v>215.15600000000001</v>
      </c>
      <c r="O46" s="230"/>
      <c r="P46" s="231">
        <f t="shared" ref="P46" si="57">IFERROR(P42+P45," -        ")</f>
        <v>174.73200000000003</v>
      </c>
      <c r="Q46" s="230"/>
      <c r="R46" s="230">
        <f t="shared" ref="R46" si="58">IFERROR(R42+R45," -        ")</f>
        <v>175.82499999999996</v>
      </c>
      <c r="S46" s="232"/>
      <c r="T46" s="230">
        <f t="shared" si="23"/>
        <v>216.24899999999997</v>
      </c>
      <c r="U46" s="230"/>
      <c r="V46" s="10"/>
      <c r="W46" s="12"/>
      <c r="X46" s="12"/>
      <c r="Y46" s="12"/>
      <c r="Z46" s="12"/>
      <c r="AA46" s="25"/>
    </row>
    <row r="47" spans="2:27" x14ac:dyDescent="0.35">
      <c r="B47" s="12" t="s">
        <v>121</v>
      </c>
      <c r="C47" s="20">
        <f>IF(T59=0," -       ",T59)</f>
        <v>2.1542022520768509E-2</v>
      </c>
      <c r="D47" s="16">
        <f>IFERROR($N$59*(1+3.194%)," -        ")</f>
        <v>2.5635476723130848E-2</v>
      </c>
      <c r="E47" s="16">
        <f>IFERROR($N$59*(1+3.194%)^2," -        ")</f>
        <v>2.6454273849667649E-2</v>
      </c>
      <c r="F47" s="10"/>
      <c r="G47" s="220" t="s">
        <v>111</v>
      </c>
      <c r="H47" s="220"/>
      <c r="I47" s="220"/>
      <c r="J47" s="205">
        <f>IFERROR(J46/J13," -        ")</f>
        <v>0.12299902358357787</v>
      </c>
      <c r="K47" s="205"/>
      <c r="L47" s="205">
        <f t="shared" ref="L47" si="59">IFERROR(L46/L13," -        ")</f>
        <v>0.11414736510767787</v>
      </c>
      <c r="M47" s="205"/>
      <c r="N47" s="205">
        <f t="shared" ref="N47" si="60">IFERROR(N46/N13," -        ")</f>
        <v>0.10592238023572549</v>
      </c>
      <c r="O47" s="205"/>
      <c r="P47" s="216">
        <f t="shared" ref="P47" si="61">IFERROR(P46/P13," -        ")</f>
        <v>0.18082246217083819</v>
      </c>
      <c r="Q47" s="205"/>
      <c r="R47" s="205">
        <f t="shared" ref="R47" si="62">IFERROR(R46/R13," -        ")</f>
        <v>0.14917123321956186</v>
      </c>
      <c r="S47" s="217"/>
      <c r="T47" s="205">
        <f t="shared" si="23"/>
        <v>7.4271151284449166E-2</v>
      </c>
      <c r="U47" s="205"/>
      <c r="V47" s="10"/>
      <c r="W47" s="229" t="s">
        <v>134</v>
      </c>
      <c r="X47" s="229"/>
      <c r="Y47" s="229"/>
      <c r="Z47" s="12"/>
      <c r="AA47" s="25"/>
    </row>
    <row r="48" spans="2:27" x14ac:dyDescent="0.35">
      <c r="B48" s="10"/>
      <c r="C48" s="10"/>
      <c r="D48" s="10"/>
      <c r="E48" s="10"/>
      <c r="F48" s="10"/>
      <c r="G48" s="220"/>
      <c r="H48" s="220"/>
      <c r="I48" s="220"/>
      <c r="J48" s="213"/>
      <c r="K48" s="213"/>
      <c r="L48" s="213"/>
      <c r="M48" s="213"/>
      <c r="N48" s="213"/>
      <c r="O48" s="213"/>
      <c r="P48" s="225"/>
      <c r="Q48" s="213"/>
      <c r="R48" s="213"/>
      <c r="S48" s="226"/>
      <c r="T48" s="213"/>
      <c r="U48" s="213"/>
      <c r="V48" s="10"/>
      <c r="W48" s="33"/>
      <c r="X48" s="33" t="s">
        <v>135</v>
      </c>
      <c r="Y48" s="33" t="s">
        <v>136</v>
      </c>
      <c r="Z48" s="33" t="s">
        <v>137</v>
      </c>
      <c r="AA48" s="33"/>
    </row>
    <row r="49" spans="2:27" ht="15" thickBot="1" x14ac:dyDescent="0.4">
      <c r="B49" s="8" t="s">
        <v>138</v>
      </c>
      <c r="C49" s="9"/>
      <c r="D49" s="9"/>
      <c r="E49" s="9"/>
      <c r="F49" s="10"/>
      <c r="G49" s="220" t="s">
        <v>139</v>
      </c>
      <c r="H49" s="220"/>
      <c r="I49" s="220"/>
      <c r="J49" s="213">
        <f>J25</f>
        <v>49.120000000000047</v>
      </c>
      <c r="K49" s="213"/>
      <c r="L49" s="213">
        <f t="shared" ref="L49" si="63">L25</f>
        <v>58.346000000000174</v>
      </c>
      <c r="M49" s="213"/>
      <c r="N49" s="213">
        <f t="shared" ref="N49" si="64">N25</f>
        <v>50.946000000000005</v>
      </c>
      <c r="O49" s="213"/>
      <c r="P49" s="225">
        <f t="shared" ref="P49" si="65">P25</f>
        <v>37.76900000000002</v>
      </c>
      <c r="Q49" s="213"/>
      <c r="R49" s="213">
        <f t="shared" ref="R49" si="66">R25</f>
        <v>37.058999999999969</v>
      </c>
      <c r="S49" s="226"/>
      <c r="T49" s="213">
        <f t="shared" si="23"/>
        <v>50.235999999999947</v>
      </c>
      <c r="U49" s="213"/>
      <c r="V49" s="10"/>
      <c r="W49" s="33" t="s">
        <v>140</v>
      </c>
      <c r="X49" s="33" t="s">
        <v>141</v>
      </c>
      <c r="Y49" s="33" t="s">
        <v>142</v>
      </c>
      <c r="Z49" s="33" t="s">
        <v>141</v>
      </c>
      <c r="AA49" s="33" t="s">
        <v>143</v>
      </c>
    </row>
    <row r="50" spans="2:27" ht="2" customHeight="1" x14ac:dyDescent="0.35">
      <c r="B50" s="2"/>
      <c r="C50" s="2"/>
      <c r="D50" s="2"/>
      <c r="E50" s="2"/>
      <c r="F50" s="10"/>
      <c r="G50" s="220"/>
      <c r="H50" s="220"/>
      <c r="I50" s="220"/>
      <c r="J50" s="213"/>
      <c r="K50" s="213"/>
      <c r="L50" s="213"/>
      <c r="M50" s="213"/>
      <c r="N50" s="213"/>
      <c r="O50" s="213"/>
      <c r="P50" s="225"/>
      <c r="Q50" s="213"/>
      <c r="R50" s="213"/>
      <c r="S50" s="226"/>
      <c r="T50" s="213">
        <f t="shared" si="23"/>
        <v>0</v>
      </c>
      <c r="U50" s="213"/>
      <c r="V50" s="10"/>
      <c r="W50" s="12"/>
      <c r="X50" s="34"/>
      <c r="Y50" s="34"/>
      <c r="Z50" s="12"/>
      <c r="AA50" s="12"/>
    </row>
    <row r="51" spans="2:27" x14ac:dyDescent="0.35">
      <c r="B51" s="220" t="s">
        <v>144</v>
      </c>
      <c r="C51" s="220"/>
      <c r="D51" s="220"/>
      <c r="E51" s="26">
        <f>IFERROR((T42*(1-T26))/(AA15-AA26+AA17+AA18),"-       ")</f>
        <v>8.6085600791715927E-2</v>
      </c>
      <c r="F51" s="10"/>
      <c r="G51" s="220" t="s">
        <v>145</v>
      </c>
      <c r="H51" s="220"/>
      <c r="I51" s="220"/>
      <c r="J51" s="213">
        <f>J34</f>
        <v>0</v>
      </c>
      <c r="K51" s="213"/>
      <c r="L51" s="213">
        <f t="shared" ref="L51" si="67">L34</f>
        <v>0</v>
      </c>
      <c r="M51" s="213"/>
      <c r="N51" s="213">
        <f t="shared" ref="N51" si="68">N34</f>
        <v>0</v>
      </c>
      <c r="O51" s="213"/>
      <c r="P51" s="225">
        <f t="shared" ref="P51" si="69">P34</f>
        <v>0</v>
      </c>
      <c r="Q51" s="213"/>
      <c r="R51" s="213">
        <f t="shared" ref="R51" si="70">R34</f>
        <v>0</v>
      </c>
      <c r="S51" s="226"/>
      <c r="T51" s="213">
        <f t="shared" si="23"/>
        <v>0</v>
      </c>
      <c r="U51" s="213"/>
      <c r="V51" s="10"/>
      <c r="W51" s="12" t="s">
        <v>146</v>
      </c>
      <c r="X51" s="38" t="s">
        <v>197</v>
      </c>
      <c r="Y51" s="16" t="s">
        <v>197</v>
      </c>
      <c r="Z51" s="30" t="str">
        <f ca="1">IF($E$21&gt;Y51,X51,"-       ")</f>
        <v xml:space="preserve">-       </v>
      </c>
      <c r="AA51" s="30" t="str">
        <f ca="1">IFERROR(Z51*Y51,"-       ")</f>
        <v xml:space="preserve">-       </v>
      </c>
    </row>
    <row r="52" spans="2:27" x14ac:dyDescent="0.35">
      <c r="B52" s="220" t="s">
        <v>147</v>
      </c>
      <c r="C52" s="220"/>
      <c r="D52" s="220"/>
      <c r="E52" s="26">
        <f>IFERROR(T55/AA34,"-       ")</f>
        <v>6.983743471896818E-2</v>
      </c>
      <c r="F52" s="10"/>
      <c r="G52" s="220" t="s">
        <v>122</v>
      </c>
      <c r="H52" s="220"/>
      <c r="I52" s="220"/>
      <c r="J52" s="213">
        <f>J41</f>
        <v>-2.1720000000000002</v>
      </c>
      <c r="K52" s="213"/>
      <c r="L52" s="213">
        <f t="shared" ref="L52" si="71">L41</f>
        <v>-1.5959999999999999</v>
      </c>
      <c r="M52" s="213"/>
      <c r="N52" s="213">
        <f t="shared" ref="N52" si="72">N41</f>
        <v>-1.3579999999999999</v>
      </c>
      <c r="O52" s="213"/>
      <c r="P52" s="225">
        <f t="shared" ref="P52" si="73">P41</f>
        <v>-3.0000000000000027E-2</v>
      </c>
      <c r="Q52" s="213"/>
      <c r="R52" s="213">
        <f t="shared" ref="R52" si="74">R41</f>
        <v>1.216</v>
      </c>
      <c r="S52" s="226"/>
      <c r="T52" s="213">
        <f t="shared" si="23"/>
        <v>-0.11199999999999988</v>
      </c>
      <c r="U52" s="213"/>
      <c r="V52" s="10"/>
      <c r="W52" s="12" t="s">
        <v>148</v>
      </c>
      <c r="X52" s="38" t="s">
        <v>197</v>
      </c>
      <c r="Y52" s="16" t="s">
        <v>197</v>
      </c>
      <c r="Z52" s="30" t="str">
        <f t="shared" ref="Z52:Z55" ca="1" si="75">IF($E$21&gt;Y52,X52,"-       ")</f>
        <v xml:space="preserve">-       </v>
      </c>
      <c r="AA52" s="30" t="str">
        <f t="shared" ref="AA52:AA55" ca="1" si="76">IFERROR(Z52*Y52,"-       ")</f>
        <v xml:space="preserve">-       </v>
      </c>
    </row>
    <row r="53" spans="2:27" x14ac:dyDescent="0.35">
      <c r="B53" s="220" t="s">
        <v>149</v>
      </c>
      <c r="C53" s="220"/>
      <c r="D53" s="220"/>
      <c r="E53" s="26">
        <f>IFERROR(T55/AA21,"-       ")</f>
        <v>2.6944087125560227E-2</v>
      </c>
      <c r="F53" s="10"/>
      <c r="G53" s="220" t="s">
        <v>150</v>
      </c>
      <c r="H53" s="220"/>
      <c r="I53" s="220"/>
      <c r="J53" s="209">
        <f>2.395-21.945</f>
        <v>-19.55</v>
      </c>
      <c r="K53" s="210"/>
      <c r="L53" s="209">
        <v>0.92</v>
      </c>
      <c r="M53" s="210"/>
      <c r="N53" s="209">
        <v>3.6379999999999999</v>
      </c>
      <c r="O53" s="210"/>
      <c r="P53" s="211">
        <v>-1.204</v>
      </c>
      <c r="Q53" s="210"/>
      <c r="R53" s="209">
        <v>-8.2560000000000002</v>
      </c>
      <c r="S53" s="212"/>
      <c r="T53" s="213">
        <f t="shared" si="23"/>
        <v>-3.4140000000000006</v>
      </c>
      <c r="U53" s="213"/>
      <c r="V53" s="10"/>
      <c r="W53" s="12" t="s">
        <v>151</v>
      </c>
      <c r="X53" s="38" t="s">
        <v>197</v>
      </c>
      <c r="Y53" s="16" t="s">
        <v>197</v>
      </c>
      <c r="Z53" s="30" t="str">
        <f t="shared" ca="1" si="75"/>
        <v xml:space="preserve">-       </v>
      </c>
      <c r="AA53" s="30" t="str">
        <f t="shared" ca="1" si="76"/>
        <v xml:space="preserve">-       </v>
      </c>
    </row>
    <row r="54" spans="2:27" x14ac:dyDescent="0.35">
      <c r="B54" s="220" t="s">
        <v>207</v>
      </c>
      <c r="C54" s="220"/>
      <c r="D54" s="220"/>
      <c r="E54" s="26">
        <f ca="1">IFERROR(E14*4/E21,"NA")</f>
        <v>4.1509433962264149E-2</v>
      </c>
      <c r="F54" s="10"/>
      <c r="G54" s="220" t="s">
        <v>153</v>
      </c>
      <c r="H54" s="220"/>
      <c r="I54" s="220"/>
      <c r="J54" s="213">
        <v>0</v>
      </c>
      <c r="K54" s="213"/>
      <c r="L54" s="213">
        <v>0</v>
      </c>
      <c r="M54" s="213"/>
      <c r="N54" s="213">
        <v>0</v>
      </c>
      <c r="O54" s="213"/>
      <c r="P54" s="225">
        <v>0</v>
      </c>
      <c r="Q54" s="213"/>
      <c r="R54" s="213">
        <v>0</v>
      </c>
      <c r="S54" s="226"/>
      <c r="T54" s="213">
        <f t="shared" si="23"/>
        <v>0</v>
      </c>
      <c r="U54" s="213"/>
      <c r="V54" s="10"/>
      <c r="W54" s="12" t="s">
        <v>154</v>
      </c>
      <c r="X54" s="38" t="s">
        <v>197</v>
      </c>
      <c r="Y54" s="16" t="s">
        <v>197</v>
      </c>
      <c r="Z54" s="30" t="str">
        <f t="shared" ca="1" si="75"/>
        <v xml:space="preserve">-       </v>
      </c>
      <c r="AA54" s="30" t="str">
        <f ca="1">IFERROR(Z54*Y54,"-       ")</f>
        <v xml:space="preserve">-       </v>
      </c>
    </row>
    <row r="55" spans="2:27" x14ac:dyDescent="0.35">
      <c r="B55" s="10"/>
      <c r="C55" s="10"/>
      <c r="D55" s="10"/>
      <c r="E55" s="10"/>
      <c r="F55" s="10"/>
      <c r="G55" s="220" t="s">
        <v>155</v>
      </c>
      <c r="H55" s="220"/>
      <c r="I55" s="220"/>
      <c r="J55" s="213">
        <f>IFERROR(J49+J51+J52+J53+J54," -        ")</f>
        <v>27.398000000000049</v>
      </c>
      <c r="K55" s="213"/>
      <c r="L55" s="213">
        <f t="shared" ref="L55" si="77">IFERROR(L49+L51+L52+L53+L54," -        ")</f>
        <v>57.670000000000179</v>
      </c>
      <c r="M55" s="213"/>
      <c r="N55" s="213">
        <f t="shared" ref="N55" si="78">IFERROR(N49+N51+N52+N53+N54," -        ")</f>
        <v>53.226000000000006</v>
      </c>
      <c r="O55" s="213"/>
      <c r="P55" s="225">
        <f t="shared" ref="P55" si="79">IFERROR(P49+P51+P52+P53+P54," -        ")</f>
        <v>36.535000000000018</v>
      </c>
      <c r="Q55" s="213"/>
      <c r="R55" s="213">
        <f t="shared" ref="R55" si="80">IFERROR(R49+R51+R52+R53+R54," -        ")</f>
        <v>30.01899999999997</v>
      </c>
      <c r="S55" s="226"/>
      <c r="T55" s="213">
        <f t="shared" si="23"/>
        <v>46.709999999999958</v>
      </c>
      <c r="U55" s="213"/>
      <c r="V55" s="10"/>
      <c r="W55" s="12" t="s">
        <v>156</v>
      </c>
      <c r="X55" s="38" t="s">
        <v>197</v>
      </c>
      <c r="Y55" s="16" t="s">
        <v>197</v>
      </c>
      <c r="Z55" s="30" t="str">
        <f t="shared" ca="1" si="75"/>
        <v xml:space="preserve">-       </v>
      </c>
      <c r="AA55" s="30" t="str">
        <f t="shared" ca="1" si="76"/>
        <v xml:space="preserve">-       </v>
      </c>
    </row>
    <row r="56" spans="2:27" ht="15" thickBot="1" x14ac:dyDescent="0.4">
      <c r="B56" s="8" t="s">
        <v>157</v>
      </c>
      <c r="C56" s="9"/>
      <c r="D56" s="9"/>
      <c r="E56" s="9"/>
      <c r="F56" s="10"/>
      <c r="G56" s="220" t="s">
        <v>111</v>
      </c>
      <c r="H56" s="220"/>
      <c r="I56" s="220"/>
      <c r="J56" s="205">
        <f>IFERROR(J55/J13," -        ")</f>
        <v>1.6135016365869975E-2</v>
      </c>
      <c r="K56" s="205"/>
      <c r="L56" s="205">
        <f t="shared" ref="L56" si="81">IFERROR(L55/L13," -        ")</f>
        <v>3.0254701886000671E-2</v>
      </c>
      <c r="M56" s="205"/>
      <c r="N56" s="205">
        <f t="shared" ref="N56" si="82">IFERROR(N55/N13," -        ")</f>
        <v>2.6203427329132004E-2</v>
      </c>
      <c r="O56" s="205"/>
      <c r="P56" s="216">
        <f t="shared" ref="P56" si="83">IFERROR(P55/P13," -        ")</f>
        <v>3.7808464708305151E-2</v>
      </c>
      <c r="Q56" s="205"/>
      <c r="R56" s="205">
        <f t="shared" ref="R56" si="84">IFERROR(R55/R13," -        ")</f>
        <v>2.5468342101623909E-2</v>
      </c>
      <c r="S56" s="217"/>
      <c r="T56" s="205">
        <f t="shared" si="23"/>
        <v>1.3863304722450759E-2</v>
      </c>
      <c r="U56" s="205"/>
      <c r="V56" s="10"/>
      <c r="W56" s="18" t="s">
        <v>158</v>
      </c>
      <c r="X56" s="45" t="str">
        <f>IFERROR(X51+X52+X53+X54+X55,"-       ")</f>
        <v xml:space="preserve">-       </v>
      </c>
      <c r="Y56" s="45"/>
      <c r="Z56" s="45" t="str">
        <f ca="1">IFERROR(Z51+Z52+Z53+Z54+Z55,"-       ")</f>
        <v xml:space="preserve">-       </v>
      </c>
      <c r="AA56" s="45" t="str">
        <f ca="1">IF(SUM(AA51:AA55)=0,"-       ",SUM(AA51:AA55))</f>
        <v xml:space="preserve">-       </v>
      </c>
    </row>
    <row r="57" spans="2:27" ht="3.5" customHeight="1" x14ac:dyDescent="0.35">
      <c r="B57" s="2"/>
      <c r="C57" s="2"/>
      <c r="D57" s="2"/>
      <c r="E57" s="2"/>
      <c r="F57" s="10"/>
      <c r="G57" s="220"/>
      <c r="H57" s="220"/>
      <c r="I57" s="220"/>
      <c r="J57" s="224"/>
      <c r="K57" s="224"/>
      <c r="L57" s="224"/>
      <c r="M57" s="224"/>
      <c r="N57" s="224"/>
      <c r="O57" s="224"/>
      <c r="P57" s="227"/>
      <c r="Q57" s="224"/>
      <c r="R57" s="224"/>
      <c r="S57" s="228"/>
      <c r="T57" s="224">
        <f t="shared" si="23"/>
        <v>0</v>
      </c>
      <c r="U57" s="224"/>
      <c r="V57" s="10"/>
      <c r="W57" s="12"/>
      <c r="X57" s="12"/>
      <c r="Y57" s="12"/>
      <c r="Z57" s="12"/>
      <c r="AA57" s="12"/>
    </row>
    <row r="58" spans="2:27" x14ac:dyDescent="0.35">
      <c r="B58" s="220" t="s">
        <v>198</v>
      </c>
      <c r="C58" s="220"/>
      <c r="D58" s="220"/>
      <c r="E58" s="26">
        <f ca="1">IFERROR(AA28/(E27*E21),"-       ")</f>
        <v>0.61128000548464601</v>
      </c>
      <c r="F58" s="10"/>
      <c r="G58" s="220"/>
      <c r="H58" s="220"/>
      <c r="I58" s="220"/>
      <c r="J58" s="213"/>
      <c r="K58" s="213"/>
      <c r="L58" s="213"/>
      <c r="M58" s="213"/>
      <c r="N58" s="213"/>
      <c r="O58" s="213"/>
      <c r="P58" s="225"/>
      <c r="Q58" s="213"/>
      <c r="R58" s="213"/>
      <c r="S58" s="226"/>
      <c r="T58" s="213"/>
      <c r="U58" s="213"/>
      <c r="V58" s="10"/>
      <c r="W58" s="18" t="s">
        <v>160</v>
      </c>
      <c r="X58" s="12"/>
      <c r="Y58" s="12"/>
      <c r="Z58" s="12"/>
      <c r="AA58" s="12"/>
    </row>
    <row r="59" spans="2:27" ht="15" thickBot="1" x14ac:dyDescent="0.4">
      <c r="B59" s="220" t="s">
        <v>161</v>
      </c>
      <c r="C59" s="220"/>
      <c r="D59" s="220"/>
      <c r="E59" s="37">
        <f>IFERROR((AA28+AA24)/T46,"-       ")</f>
        <v>2.1211889997179183</v>
      </c>
      <c r="F59" s="10"/>
      <c r="G59" s="220" t="s">
        <v>162</v>
      </c>
      <c r="H59" s="220"/>
      <c r="I59" s="220"/>
      <c r="J59" s="213">
        <f>IFERROR(J55/J28," -        ")</f>
        <v>1.3005288631618688E-2</v>
      </c>
      <c r="K59" s="213"/>
      <c r="L59" s="213">
        <f>IFERROR(L55/L28," -        ")</f>
        <v>2.7403544190701703E-2</v>
      </c>
      <c r="M59" s="213"/>
      <c r="N59" s="213">
        <f>IFERROR(N55/N28," -        ")</f>
        <v>2.4842022523723129E-2</v>
      </c>
      <c r="O59" s="213"/>
      <c r="P59" s="223">
        <f>IFERROR(P55/P28," -        ")</f>
        <v>1.7200000007909135E-2</v>
      </c>
      <c r="Q59" s="218"/>
      <c r="R59" s="218">
        <f>IFERROR(R55/R28," -        ")</f>
        <v>1.3900000004954513E-2</v>
      </c>
      <c r="S59" s="219"/>
      <c r="T59" s="213">
        <f t="shared" si="23"/>
        <v>2.1542022520768509E-2</v>
      </c>
      <c r="U59" s="213"/>
      <c r="V59" s="10"/>
      <c r="W59" s="12"/>
      <c r="X59" s="33"/>
      <c r="Y59" s="33" t="s">
        <v>163</v>
      </c>
      <c r="Z59" s="33" t="s">
        <v>163</v>
      </c>
      <c r="AA59" s="33" t="s">
        <v>164</v>
      </c>
    </row>
    <row r="60" spans="2:27" x14ac:dyDescent="0.35">
      <c r="B60" s="220" t="s">
        <v>165</v>
      </c>
      <c r="C60" s="220"/>
      <c r="D60" s="220"/>
      <c r="E60" s="37">
        <f>IFERROR((AA28+AA24-AA11)/T46,"-       ")</f>
        <v>1.0954917710602132</v>
      </c>
      <c r="F60" s="10"/>
      <c r="G60" s="10"/>
      <c r="H60" s="10"/>
      <c r="I60" s="10"/>
      <c r="J60" s="10"/>
      <c r="K60" s="10"/>
      <c r="L60" s="10"/>
      <c r="M60" s="10"/>
      <c r="N60" s="10"/>
      <c r="O60" s="10"/>
      <c r="P60" s="10"/>
      <c r="Q60" s="10"/>
      <c r="R60" s="10"/>
      <c r="S60" s="10"/>
      <c r="T60" s="10"/>
      <c r="U60" s="10"/>
      <c r="V60" s="10"/>
      <c r="W60" s="12"/>
      <c r="X60" s="33" t="s">
        <v>166</v>
      </c>
      <c r="Y60" s="33" t="s">
        <v>142</v>
      </c>
      <c r="Z60" s="33" t="s">
        <v>167</v>
      </c>
      <c r="AA60" s="33" t="s">
        <v>141</v>
      </c>
    </row>
    <row r="61" spans="2:27" x14ac:dyDescent="0.35">
      <c r="B61" s="220" t="s">
        <v>168</v>
      </c>
      <c r="C61" s="220"/>
      <c r="D61" s="220"/>
      <c r="E61" s="37">
        <f>IFERROR(T46/T19,"-       ")</f>
        <v>6.9288369112463943</v>
      </c>
      <c r="F61" s="10"/>
      <c r="G61" s="10"/>
      <c r="H61" s="10"/>
      <c r="I61" s="10"/>
      <c r="J61" s="10"/>
      <c r="K61" s="10"/>
      <c r="L61" s="10"/>
      <c r="M61" s="10"/>
      <c r="N61" s="10"/>
      <c r="O61" s="10"/>
      <c r="P61" s="10"/>
      <c r="Q61" s="10"/>
      <c r="R61" s="10"/>
      <c r="S61" s="10"/>
      <c r="T61" s="10"/>
      <c r="U61" s="10"/>
      <c r="V61" s="10"/>
      <c r="W61" s="12" t="s">
        <v>169</v>
      </c>
      <c r="X61" s="38" t="s">
        <v>197</v>
      </c>
      <c r="Y61" s="38" t="s">
        <v>197</v>
      </c>
      <c r="Z61" s="38" t="s">
        <v>197</v>
      </c>
      <c r="AA61" s="30" t="str">
        <f>IFERROR(X61/Y61*Z61,"-       ")</f>
        <v xml:space="preserve">-       </v>
      </c>
    </row>
    <row r="62" spans="2:27" ht="15" thickBot="1" x14ac:dyDescent="0.4">
      <c r="B62" s="220" t="s">
        <v>170</v>
      </c>
      <c r="C62" s="220"/>
      <c r="D62" s="220"/>
      <c r="E62" s="37">
        <f>IFERROR((T46-T65)/T19,"-       ")</f>
        <v>2.3389298301826318</v>
      </c>
      <c r="F62" s="10"/>
      <c r="G62" s="1" t="s">
        <v>171</v>
      </c>
      <c r="H62" s="2"/>
      <c r="I62" s="2"/>
      <c r="J62" s="2"/>
      <c r="K62" s="2"/>
      <c r="L62" s="2"/>
      <c r="M62" s="2"/>
      <c r="N62" s="2"/>
      <c r="O62" s="2"/>
      <c r="P62" s="2"/>
      <c r="Q62" s="2"/>
      <c r="R62" s="2"/>
      <c r="S62" s="2"/>
      <c r="T62" s="2"/>
      <c r="U62" s="2"/>
      <c r="V62" s="10"/>
      <c r="W62" s="12" t="s">
        <v>172</v>
      </c>
      <c r="X62" s="38" t="s">
        <v>197</v>
      </c>
      <c r="Y62" s="38" t="s">
        <v>197</v>
      </c>
      <c r="Z62" s="38" t="s">
        <v>197</v>
      </c>
      <c r="AA62" s="30" t="str">
        <f t="shared" ref="AA62:AA65" si="85">IFERROR(X62/Y62*Z62,"-       ")</f>
        <v xml:space="preserve">-       </v>
      </c>
    </row>
    <row r="63" spans="2:27" x14ac:dyDescent="0.35">
      <c r="B63" s="220" t="s">
        <v>173</v>
      </c>
      <c r="C63" s="220"/>
      <c r="D63" s="220"/>
      <c r="E63" s="37">
        <f>IFERROR(T42/T19,"-       ")</f>
        <v>3.2530919577058626</v>
      </c>
      <c r="F63" s="10"/>
      <c r="G63" s="12" t="s">
        <v>130</v>
      </c>
      <c r="H63" s="12"/>
      <c r="I63" s="12"/>
      <c r="J63" s="209">
        <v>126.205</v>
      </c>
      <c r="K63" s="210"/>
      <c r="L63" s="209">
        <v>113.19499999999999</v>
      </c>
      <c r="M63" s="210"/>
      <c r="N63" s="209">
        <v>117.053</v>
      </c>
      <c r="O63" s="210"/>
      <c r="P63" s="221">
        <v>107.81100000000001</v>
      </c>
      <c r="Q63" s="222"/>
      <c r="R63" s="214">
        <v>105.47799999999999</v>
      </c>
      <c r="S63" s="215"/>
      <c r="T63" s="213">
        <f t="shared" ref="T63:T66" si="86">IFERROR(N63+R63-P63," -        ")</f>
        <v>114.72</v>
      </c>
      <c r="U63" s="213"/>
      <c r="V63" s="10"/>
      <c r="W63" s="12" t="s">
        <v>174</v>
      </c>
      <c r="X63" s="38" t="s">
        <v>197</v>
      </c>
      <c r="Y63" s="38" t="s">
        <v>197</v>
      </c>
      <c r="Z63" s="38" t="s">
        <v>197</v>
      </c>
      <c r="AA63" s="30" t="str">
        <f t="shared" si="85"/>
        <v xml:space="preserve">-       </v>
      </c>
    </row>
    <row r="64" spans="2:27" x14ac:dyDescent="0.35">
      <c r="B64" s="10"/>
      <c r="C64" s="10"/>
      <c r="D64" s="10"/>
      <c r="E64" s="10"/>
      <c r="F64" s="10"/>
      <c r="G64" s="12" t="s">
        <v>175</v>
      </c>
      <c r="H64" s="12"/>
      <c r="I64" s="12"/>
      <c r="J64" s="205">
        <f>IFERROR(J63/J13," -        ")</f>
        <v>7.4323663787671232E-2</v>
      </c>
      <c r="K64" s="205"/>
      <c r="L64" s="205">
        <f t="shared" ref="L64" si="87">IFERROR(L63/L13," -        ")</f>
        <v>5.938409883797182E-2</v>
      </c>
      <c r="M64" s="205"/>
      <c r="N64" s="205">
        <f t="shared" ref="N64" si="88">IFERROR(N63/N13," -        ")</f>
        <v>5.7625780241928534E-2</v>
      </c>
      <c r="O64" s="205"/>
      <c r="P64" s="216">
        <f t="shared" ref="P64" si="89">IFERROR(P63/P13," -        ")</f>
        <v>0.11156886242417094</v>
      </c>
      <c r="Q64" s="205"/>
      <c r="R64" s="205">
        <f t="shared" ref="R64" si="90">IFERROR(R63/R13," -        ")</f>
        <v>8.9488317005732676E-2</v>
      </c>
      <c r="S64" s="217"/>
      <c r="T64" s="205">
        <f t="shared" si="86"/>
        <v>3.5545234823490285E-2</v>
      </c>
      <c r="U64" s="205"/>
      <c r="V64" s="10"/>
      <c r="W64" s="12" t="s">
        <v>176</v>
      </c>
      <c r="X64" s="38" t="s">
        <v>197</v>
      </c>
      <c r="Y64" s="38" t="s">
        <v>197</v>
      </c>
      <c r="Z64" s="38" t="s">
        <v>197</v>
      </c>
      <c r="AA64" s="30" t="str">
        <f t="shared" si="85"/>
        <v xml:space="preserve">-       </v>
      </c>
    </row>
    <row r="65" spans="2:27" x14ac:dyDescent="0.35">
      <c r="B65" s="1" t="s">
        <v>177</v>
      </c>
      <c r="C65" s="2"/>
      <c r="D65" s="2"/>
      <c r="E65" s="2"/>
      <c r="F65" s="10"/>
      <c r="G65" s="12" t="s">
        <v>178</v>
      </c>
      <c r="H65" s="12"/>
      <c r="I65" s="12"/>
      <c r="J65" s="209">
        <v>162.559</v>
      </c>
      <c r="K65" s="210"/>
      <c r="L65" s="209">
        <v>193.22800000000001</v>
      </c>
      <c r="M65" s="210"/>
      <c r="N65" s="209">
        <v>149.98500000000001</v>
      </c>
      <c r="O65" s="210"/>
      <c r="P65" s="211">
        <v>89.46</v>
      </c>
      <c r="Q65" s="210"/>
      <c r="R65" s="209">
        <v>82.725999999999999</v>
      </c>
      <c r="S65" s="212"/>
      <c r="T65" s="213">
        <f t="shared" si="86"/>
        <v>143.25100000000003</v>
      </c>
      <c r="U65" s="213"/>
      <c r="V65" s="10"/>
      <c r="W65" s="12" t="s">
        <v>179</v>
      </c>
      <c r="X65" s="38" t="s">
        <v>197</v>
      </c>
      <c r="Y65" s="38" t="s">
        <v>197</v>
      </c>
      <c r="Z65" s="38" t="s">
        <v>197</v>
      </c>
      <c r="AA65" s="30" t="str">
        <f t="shared" si="85"/>
        <v xml:space="preserve">-       </v>
      </c>
    </row>
    <row r="66" spans="2:27" ht="15" thickBot="1" x14ac:dyDescent="0.4">
      <c r="B66" s="12"/>
      <c r="C66" s="13" t="s">
        <v>8</v>
      </c>
      <c r="D66" s="13" t="s">
        <v>180</v>
      </c>
      <c r="E66" s="13" t="s">
        <v>181</v>
      </c>
      <c r="F66" s="10"/>
      <c r="G66" s="12" t="s">
        <v>175</v>
      </c>
      <c r="H66" s="12"/>
      <c r="I66" s="12"/>
      <c r="J66" s="205">
        <f>IFERROR(J65/J13," -        ")</f>
        <v>9.5732977787409759E-2</v>
      </c>
      <c r="K66" s="205"/>
      <c r="L66" s="205">
        <f>IFERROR(L65/L13," -        ")</f>
        <v>0.10137082601054481</v>
      </c>
      <c r="M66" s="205"/>
      <c r="N66" s="205">
        <f t="shared" ref="N66" si="91">IFERROR(N65/N13," -        ")</f>
        <v>7.3838369367599743E-2</v>
      </c>
      <c r="O66" s="205"/>
      <c r="P66" s="206">
        <f t="shared" ref="P66" si="92">IFERROR(P65/P13," -        ")</f>
        <v>9.2578219592308122E-2</v>
      </c>
      <c r="Q66" s="207"/>
      <c r="R66" s="207">
        <f t="shared" ref="R66" si="93">IFERROR(R65/R13," -        ")</f>
        <v>7.0185351567305432E-2</v>
      </c>
      <c r="S66" s="208"/>
      <c r="T66" s="205">
        <f t="shared" si="86"/>
        <v>5.1445501342597053E-2</v>
      </c>
      <c r="U66" s="205"/>
      <c r="V66" s="10"/>
      <c r="W66" s="12" t="s">
        <v>182</v>
      </c>
      <c r="X66" s="30"/>
      <c r="Y66" s="30"/>
      <c r="Z66" s="30"/>
      <c r="AA66" s="30" t="str">
        <f>IFERROR(AA61+AA62+AA65+AA64+AA63,"-       ")</f>
        <v xml:space="preserve">-       </v>
      </c>
    </row>
    <row r="67" spans="2:27" x14ac:dyDescent="0.35">
      <c r="B67" s="18" t="s">
        <v>183</v>
      </c>
      <c r="C67" s="25"/>
      <c r="D67" s="25"/>
      <c r="E67" s="25"/>
      <c r="F67" s="10"/>
      <c r="G67" s="12"/>
      <c r="H67" s="12"/>
      <c r="I67" s="12"/>
      <c r="J67" s="25"/>
      <c r="K67" s="25"/>
      <c r="L67" s="25"/>
      <c r="M67" s="25"/>
      <c r="N67" s="25"/>
      <c r="O67" s="25"/>
      <c r="P67" s="39"/>
      <c r="Q67" s="39"/>
      <c r="R67" s="39"/>
      <c r="S67" s="39"/>
      <c r="T67" s="25"/>
      <c r="U67" s="25"/>
      <c r="V67" s="10"/>
      <c r="W67" s="12"/>
      <c r="X67" s="12"/>
      <c r="Y67" s="12"/>
      <c r="Z67" s="12"/>
      <c r="AA67" s="12"/>
    </row>
    <row r="68" spans="2:27" x14ac:dyDescent="0.35">
      <c r="B68" s="12" t="s">
        <v>184</v>
      </c>
      <c r="C68" s="26">
        <f>IFERROR(N13/L13-1,"-       ")</f>
        <v>6.5635443170789287E-2</v>
      </c>
      <c r="D68" s="26">
        <f>IFERROR(N46/L46-1,"-       ")</f>
        <v>-1.114981937844195E-2</v>
      </c>
      <c r="E68" s="26">
        <f>IFERROR(N59/L59-1,"-       ")</f>
        <v>-9.3474101348092198E-2</v>
      </c>
      <c r="F68" s="10"/>
      <c r="G68" s="10"/>
      <c r="H68" s="10"/>
      <c r="I68" s="10"/>
      <c r="J68" s="10"/>
      <c r="K68" s="10"/>
      <c r="L68" s="10"/>
      <c r="M68" s="10"/>
      <c r="N68" s="10"/>
      <c r="O68" s="10"/>
      <c r="P68" s="10"/>
      <c r="Q68" s="10"/>
      <c r="R68" s="10"/>
      <c r="S68" s="10"/>
      <c r="T68" s="10"/>
      <c r="U68" s="10"/>
      <c r="V68" s="10"/>
      <c r="W68" s="10"/>
      <c r="X68" s="10"/>
      <c r="Y68" s="10"/>
      <c r="Z68" s="10"/>
      <c r="AA68" s="10"/>
    </row>
    <row r="69" spans="2:27" x14ac:dyDescent="0.35">
      <c r="B69" s="12" t="s">
        <v>185</v>
      </c>
      <c r="C69" s="26">
        <f>IFERROR((N13/J13)^0.5-1,"-       ")</f>
        <v>9.3725000917370016E-2</v>
      </c>
      <c r="D69" s="26">
        <f>IFERROR((N46/J46)^0.5-1,"-       ")</f>
        <v>1.4965250149199916E-2</v>
      </c>
      <c r="E69" s="26">
        <f>IFERROR((N59/J59)^0.5-1,"-       ")</f>
        <v>0.38208094096869005</v>
      </c>
      <c r="F69" s="10"/>
      <c r="G69" s="1" t="s">
        <v>186</v>
      </c>
      <c r="H69" s="2"/>
      <c r="I69" s="2"/>
      <c r="J69" s="2"/>
      <c r="K69" s="2"/>
      <c r="L69" s="2"/>
      <c r="M69" s="2"/>
      <c r="N69" s="2"/>
      <c r="O69" s="2"/>
      <c r="P69" s="2"/>
      <c r="Q69" s="2"/>
      <c r="R69" s="2"/>
      <c r="S69" s="2"/>
      <c r="T69" s="2"/>
      <c r="U69" s="2"/>
      <c r="V69" s="2"/>
      <c r="W69" s="2"/>
      <c r="X69" s="2"/>
      <c r="Y69" s="2"/>
      <c r="Z69" s="2"/>
      <c r="AA69" s="2"/>
    </row>
    <row r="70" spans="2:27" x14ac:dyDescent="0.35">
      <c r="B70" s="18" t="s">
        <v>187</v>
      </c>
      <c r="C70" s="26"/>
      <c r="D70" s="26"/>
      <c r="E70" s="26"/>
      <c r="F70" s="10"/>
      <c r="G70" s="34" t="s">
        <v>220</v>
      </c>
      <c r="H70" s="34"/>
      <c r="I70" s="34"/>
      <c r="J70" s="34"/>
      <c r="K70" s="34"/>
      <c r="L70" s="34"/>
      <c r="M70" s="34"/>
      <c r="N70" s="34"/>
      <c r="O70" s="34"/>
      <c r="P70" s="34"/>
      <c r="Q70" s="34"/>
      <c r="R70" s="34"/>
      <c r="S70" s="34"/>
      <c r="T70" s="34"/>
      <c r="U70" s="34"/>
      <c r="V70" s="34"/>
      <c r="W70" s="34"/>
      <c r="X70" s="34"/>
      <c r="Y70" s="34"/>
      <c r="Z70" s="34"/>
      <c r="AA70" s="34"/>
    </row>
    <row r="71" spans="2:27" x14ac:dyDescent="0.35">
      <c r="B71" s="12" t="s">
        <v>184</v>
      </c>
      <c r="C71" s="26">
        <f>IFERROR(D41/$N$13-1,"-       ")</f>
        <v>3.4320037324566677E-2</v>
      </c>
      <c r="D71" s="26">
        <f>IFERROR(D43/N46-1,"-       ")</f>
        <v>8.9446723805812089E-2</v>
      </c>
      <c r="E71" s="26">
        <f>IFERROR(D47/N59-1,"-       ")</f>
        <v>3.1940000000000079E-2</v>
      </c>
      <c r="F71" s="10"/>
      <c r="G71" s="34" t="s">
        <v>221</v>
      </c>
      <c r="H71" s="34"/>
      <c r="I71" s="34"/>
      <c r="J71" s="34"/>
      <c r="K71" s="34"/>
      <c r="L71" s="34"/>
      <c r="M71" s="34"/>
      <c r="N71" s="34"/>
      <c r="O71" s="34"/>
      <c r="P71" s="34"/>
      <c r="Q71" s="34"/>
      <c r="R71" s="34"/>
      <c r="S71" s="34"/>
      <c r="T71" s="34"/>
      <c r="U71" s="34"/>
      <c r="V71" s="34"/>
      <c r="W71" s="34"/>
      <c r="X71" s="34"/>
      <c r="Y71" s="34"/>
      <c r="Z71" s="34"/>
      <c r="AA71" s="34"/>
    </row>
    <row r="72" spans="2:27" x14ac:dyDescent="0.35">
      <c r="B72" s="12" t="s">
        <v>185</v>
      </c>
      <c r="C72" s="26">
        <f>IFERROR((E41/$N$13)^0.5-1,"-       ")</f>
        <v>3.4320037324566677E-2</v>
      </c>
      <c r="D72" s="26">
        <f>IFERROR((E43/$N$46)^0.5-1,"-       ")</f>
        <v>8.9446723805812089E-2</v>
      </c>
      <c r="E72" s="26">
        <f>IFERROR((E47/$N$59)^0.5-1,"-       ")</f>
        <v>3.1940000000000079E-2</v>
      </c>
      <c r="F72" s="10"/>
      <c r="G72" s="34" t="s">
        <v>222</v>
      </c>
      <c r="H72" s="34"/>
      <c r="I72" s="34"/>
      <c r="J72" s="34"/>
      <c r="K72" s="34"/>
      <c r="L72" s="34"/>
      <c r="M72" s="34"/>
      <c r="N72" s="34"/>
      <c r="O72" s="34"/>
      <c r="P72" s="34"/>
      <c r="Q72" s="34"/>
      <c r="R72" s="34"/>
      <c r="S72" s="34"/>
      <c r="T72" s="34"/>
      <c r="U72" s="34"/>
      <c r="V72" s="34"/>
      <c r="W72" s="34"/>
      <c r="X72" s="34"/>
      <c r="Y72" s="34"/>
      <c r="Z72" s="34"/>
      <c r="AA72" s="34"/>
    </row>
    <row r="73" spans="2:27" x14ac:dyDescent="0.35">
      <c r="B73" s="204" t="s">
        <v>191</v>
      </c>
      <c r="C73" s="204"/>
      <c r="D73" s="204"/>
      <c r="E73" s="40">
        <v>0.10299999999999999</v>
      </c>
      <c r="F73" s="10"/>
      <c r="G73" s="34" t="s">
        <v>223</v>
      </c>
      <c r="H73" s="34"/>
      <c r="I73" s="34"/>
      <c r="J73" s="34"/>
      <c r="K73" s="34"/>
      <c r="L73" s="34"/>
      <c r="M73" s="34"/>
      <c r="N73" s="34"/>
      <c r="O73" s="34"/>
      <c r="P73" s="34"/>
      <c r="Q73" s="34"/>
      <c r="R73" s="34"/>
      <c r="S73" s="34"/>
      <c r="T73" s="34"/>
      <c r="U73" s="34"/>
      <c r="V73" s="34"/>
      <c r="W73" s="34"/>
      <c r="X73" s="34"/>
      <c r="Y73" s="34"/>
      <c r="Z73" s="34"/>
      <c r="AA73" s="34"/>
    </row>
    <row r="74" spans="2:27" x14ac:dyDescent="0.35"/>
  </sheetData>
  <mergeCells count="416">
    <mergeCell ref="B11:C11"/>
    <mergeCell ref="G11:I11"/>
    <mergeCell ref="P11:Q11"/>
    <mergeCell ref="R11:S11"/>
    <mergeCell ref="T11:U11"/>
    <mergeCell ref="W11:Y11"/>
    <mergeCell ref="B2:Q3"/>
    <mergeCell ref="W3:AA5"/>
    <mergeCell ref="B4:J4"/>
    <mergeCell ref="B10:C10"/>
    <mergeCell ref="G10:I10"/>
    <mergeCell ref="J10:O11"/>
    <mergeCell ref="P10:Q10"/>
    <mergeCell ref="R10:S10"/>
    <mergeCell ref="T10:U10"/>
    <mergeCell ref="W10:Y10"/>
    <mergeCell ref="R12:S12"/>
    <mergeCell ref="T12:U12"/>
    <mergeCell ref="W12:Y12"/>
    <mergeCell ref="B13:C13"/>
    <mergeCell ref="G13:I13"/>
    <mergeCell ref="J13:K13"/>
    <mergeCell ref="L13:M13"/>
    <mergeCell ref="N13:O13"/>
    <mergeCell ref="P13:Q13"/>
    <mergeCell ref="R13:S13"/>
    <mergeCell ref="B12:C12"/>
    <mergeCell ref="G12:I12"/>
    <mergeCell ref="J12:K12"/>
    <mergeCell ref="L12:M12"/>
    <mergeCell ref="N12:O12"/>
    <mergeCell ref="P12:Q12"/>
    <mergeCell ref="T13:U13"/>
    <mergeCell ref="W13:Y13"/>
    <mergeCell ref="B14:D14"/>
    <mergeCell ref="G14:I14"/>
    <mergeCell ref="J14:K14"/>
    <mergeCell ref="L14:M14"/>
    <mergeCell ref="N14:O14"/>
    <mergeCell ref="P14:Q14"/>
    <mergeCell ref="R14:S14"/>
    <mergeCell ref="T14:U14"/>
    <mergeCell ref="W14:Y14"/>
    <mergeCell ref="B15:C15"/>
    <mergeCell ref="G15:I15"/>
    <mergeCell ref="J15:K15"/>
    <mergeCell ref="L15:M15"/>
    <mergeCell ref="N15:O15"/>
    <mergeCell ref="P15:Q15"/>
    <mergeCell ref="R15:S15"/>
    <mergeCell ref="T15:U15"/>
    <mergeCell ref="W15:Y15"/>
    <mergeCell ref="R16:S16"/>
    <mergeCell ref="T16:U16"/>
    <mergeCell ref="W16:Y16"/>
    <mergeCell ref="B17:C17"/>
    <mergeCell ref="G17:I17"/>
    <mergeCell ref="J17:K17"/>
    <mergeCell ref="L17:M17"/>
    <mergeCell ref="N17:O17"/>
    <mergeCell ref="P17:Q17"/>
    <mergeCell ref="R17:S17"/>
    <mergeCell ref="B16:C16"/>
    <mergeCell ref="G16:I16"/>
    <mergeCell ref="J16:K16"/>
    <mergeCell ref="L16:M16"/>
    <mergeCell ref="N16:O16"/>
    <mergeCell ref="P16:Q16"/>
    <mergeCell ref="T17:U17"/>
    <mergeCell ref="W17:Y17"/>
    <mergeCell ref="G18:I18"/>
    <mergeCell ref="J18:K18"/>
    <mergeCell ref="L18:M18"/>
    <mergeCell ref="N18:O18"/>
    <mergeCell ref="P18:Q18"/>
    <mergeCell ref="R18:S18"/>
    <mergeCell ref="T18:U18"/>
    <mergeCell ref="W18:Y18"/>
    <mergeCell ref="T19:U19"/>
    <mergeCell ref="W19:Y19"/>
    <mergeCell ref="G20:I20"/>
    <mergeCell ref="J20:K20"/>
    <mergeCell ref="L20:M20"/>
    <mergeCell ref="N20:O20"/>
    <mergeCell ref="P20:Q20"/>
    <mergeCell ref="R20:S20"/>
    <mergeCell ref="T20:U20"/>
    <mergeCell ref="W20:X20"/>
    <mergeCell ref="G19:I19"/>
    <mergeCell ref="J19:K19"/>
    <mergeCell ref="L19:M19"/>
    <mergeCell ref="N19:O19"/>
    <mergeCell ref="P19:Q19"/>
    <mergeCell ref="R19:S19"/>
    <mergeCell ref="R21:S21"/>
    <mergeCell ref="T21:U21"/>
    <mergeCell ref="W21:Y21"/>
    <mergeCell ref="B22:C22"/>
    <mergeCell ref="G22:I22"/>
    <mergeCell ref="J22:K22"/>
    <mergeCell ref="L22:M22"/>
    <mergeCell ref="N22:O22"/>
    <mergeCell ref="P22:Q22"/>
    <mergeCell ref="R22:S22"/>
    <mergeCell ref="B21:C21"/>
    <mergeCell ref="G21:I21"/>
    <mergeCell ref="J21:K21"/>
    <mergeCell ref="L21:M21"/>
    <mergeCell ref="N21:O21"/>
    <mergeCell ref="P21:Q21"/>
    <mergeCell ref="T22:U22"/>
    <mergeCell ref="W22:Y22"/>
    <mergeCell ref="B23:C23"/>
    <mergeCell ref="G23:I23"/>
    <mergeCell ref="J23:K23"/>
    <mergeCell ref="L23:M23"/>
    <mergeCell ref="N23:O23"/>
    <mergeCell ref="P23:Q23"/>
    <mergeCell ref="R23:S23"/>
    <mergeCell ref="T23:U23"/>
    <mergeCell ref="W23:Y23"/>
    <mergeCell ref="B24:C24"/>
    <mergeCell ref="G24:I24"/>
    <mergeCell ref="J24:K24"/>
    <mergeCell ref="L24:M24"/>
    <mergeCell ref="N24:O24"/>
    <mergeCell ref="P24:Q24"/>
    <mergeCell ref="R24:S24"/>
    <mergeCell ref="T24:U24"/>
    <mergeCell ref="W24:Y24"/>
    <mergeCell ref="R25:S25"/>
    <mergeCell ref="T25:U25"/>
    <mergeCell ref="W25:Y25"/>
    <mergeCell ref="B26:C26"/>
    <mergeCell ref="G26:I26"/>
    <mergeCell ref="J26:K26"/>
    <mergeCell ref="L26:M26"/>
    <mergeCell ref="N26:O26"/>
    <mergeCell ref="P26:Q26"/>
    <mergeCell ref="R26:S26"/>
    <mergeCell ref="B25:C25"/>
    <mergeCell ref="G25:I25"/>
    <mergeCell ref="J25:K25"/>
    <mergeCell ref="L25:M25"/>
    <mergeCell ref="N25:O25"/>
    <mergeCell ref="P25:Q25"/>
    <mergeCell ref="T26:U26"/>
    <mergeCell ref="W26:Y26"/>
    <mergeCell ref="G27:I27"/>
    <mergeCell ref="J27:K27"/>
    <mergeCell ref="L27:M27"/>
    <mergeCell ref="N27:O27"/>
    <mergeCell ref="P27:Q27"/>
    <mergeCell ref="R27:S27"/>
    <mergeCell ref="T27:U27"/>
    <mergeCell ref="W27:Y27"/>
    <mergeCell ref="T29:U29"/>
    <mergeCell ref="W29:Y29"/>
    <mergeCell ref="B30:C30"/>
    <mergeCell ref="W30:Y30"/>
    <mergeCell ref="B31:C31"/>
    <mergeCell ref="W31:Y31"/>
    <mergeCell ref="R28:S28"/>
    <mergeCell ref="T28:U28"/>
    <mergeCell ref="W28:Y28"/>
    <mergeCell ref="B29:C29"/>
    <mergeCell ref="G29:I29"/>
    <mergeCell ref="J29:K29"/>
    <mergeCell ref="L29:M29"/>
    <mergeCell ref="N29:O29"/>
    <mergeCell ref="P29:Q29"/>
    <mergeCell ref="R29:S29"/>
    <mergeCell ref="B28:C28"/>
    <mergeCell ref="G28:I28"/>
    <mergeCell ref="J28:K28"/>
    <mergeCell ref="L28:M28"/>
    <mergeCell ref="N28:O28"/>
    <mergeCell ref="P28:Q28"/>
    <mergeCell ref="B34:C34"/>
    <mergeCell ref="G34:I34"/>
    <mergeCell ref="J34:K34"/>
    <mergeCell ref="L34:M34"/>
    <mergeCell ref="N34:O34"/>
    <mergeCell ref="P34:Q34"/>
    <mergeCell ref="B32:C32"/>
    <mergeCell ref="W32:Y32"/>
    <mergeCell ref="G33:I33"/>
    <mergeCell ref="J33:K33"/>
    <mergeCell ref="L33:M33"/>
    <mergeCell ref="N33:O33"/>
    <mergeCell ref="P33:Q33"/>
    <mergeCell ref="R33:S33"/>
    <mergeCell ref="T33:U33"/>
    <mergeCell ref="W33:Y33"/>
    <mergeCell ref="R34:S34"/>
    <mergeCell ref="T34:U34"/>
    <mergeCell ref="W34:Y34"/>
    <mergeCell ref="G35:I35"/>
    <mergeCell ref="J35:K35"/>
    <mergeCell ref="L35:M35"/>
    <mergeCell ref="N35:O35"/>
    <mergeCell ref="P35:Q35"/>
    <mergeCell ref="R35:S35"/>
    <mergeCell ref="T35:U35"/>
    <mergeCell ref="W35:Y35"/>
    <mergeCell ref="G36:I36"/>
    <mergeCell ref="J36:K36"/>
    <mergeCell ref="L36:M36"/>
    <mergeCell ref="N36:O36"/>
    <mergeCell ref="P36:Q36"/>
    <mergeCell ref="R36:S36"/>
    <mergeCell ref="T36:U36"/>
    <mergeCell ref="W36:Y36"/>
    <mergeCell ref="T37:U37"/>
    <mergeCell ref="G38:I38"/>
    <mergeCell ref="J38:K38"/>
    <mergeCell ref="L38:M38"/>
    <mergeCell ref="N38:O38"/>
    <mergeCell ref="P38:Q38"/>
    <mergeCell ref="R38:S38"/>
    <mergeCell ref="T38:U38"/>
    <mergeCell ref="G37:I37"/>
    <mergeCell ref="J37:K37"/>
    <mergeCell ref="L37:M37"/>
    <mergeCell ref="N37:O37"/>
    <mergeCell ref="P37:Q37"/>
    <mergeCell ref="R37:S37"/>
    <mergeCell ref="T39:U39"/>
    <mergeCell ref="G40:I40"/>
    <mergeCell ref="J40:K40"/>
    <mergeCell ref="L40:M40"/>
    <mergeCell ref="N40:O40"/>
    <mergeCell ref="P40:Q40"/>
    <mergeCell ref="R40:S40"/>
    <mergeCell ref="T40:U40"/>
    <mergeCell ref="G39:I39"/>
    <mergeCell ref="J39:K39"/>
    <mergeCell ref="L39:M39"/>
    <mergeCell ref="N39:O39"/>
    <mergeCell ref="P39:Q39"/>
    <mergeCell ref="R39:S39"/>
    <mergeCell ref="W40:Y40"/>
    <mergeCell ref="G41:I41"/>
    <mergeCell ref="J41:K41"/>
    <mergeCell ref="L41:M41"/>
    <mergeCell ref="N41:O41"/>
    <mergeCell ref="P41:Q41"/>
    <mergeCell ref="R41:S41"/>
    <mergeCell ref="T41:U41"/>
    <mergeCell ref="W41:Z41"/>
    <mergeCell ref="T42:U42"/>
    <mergeCell ref="W42:Y42"/>
    <mergeCell ref="G43:I43"/>
    <mergeCell ref="J43:K43"/>
    <mergeCell ref="L43:M43"/>
    <mergeCell ref="N43:O43"/>
    <mergeCell ref="P43:Q43"/>
    <mergeCell ref="R43:S43"/>
    <mergeCell ref="T43:U43"/>
    <mergeCell ref="W43:Y43"/>
    <mergeCell ref="G42:I42"/>
    <mergeCell ref="J42:K42"/>
    <mergeCell ref="L42:M42"/>
    <mergeCell ref="N42:O42"/>
    <mergeCell ref="P42:Q42"/>
    <mergeCell ref="R42:S42"/>
    <mergeCell ref="T44:U44"/>
    <mergeCell ref="W44:Y44"/>
    <mergeCell ref="G45:I45"/>
    <mergeCell ref="J45:K45"/>
    <mergeCell ref="L45:M45"/>
    <mergeCell ref="N45:O45"/>
    <mergeCell ref="P45:Q45"/>
    <mergeCell ref="R45:S45"/>
    <mergeCell ref="T45:U45"/>
    <mergeCell ref="W45:Y45"/>
    <mergeCell ref="G44:I44"/>
    <mergeCell ref="J44:K44"/>
    <mergeCell ref="L44:M44"/>
    <mergeCell ref="N44:O44"/>
    <mergeCell ref="P44:Q44"/>
    <mergeCell ref="R44:S44"/>
    <mergeCell ref="W47:Y47"/>
    <mergeCell ref="G48:I48"/>
    <mergeCell ref="J48:K48"/>
    <mergeCell ref="L48:M48"/>
    <mergeCell ref="N48:O48"/>
    <mergeCell ref="P48:Q48"/>
    <mergeCell ref="R48:S48"/>
    <mergeCell ref="T48:U48"/>
    <mergeCell ref="T46:U46"/>
    <mergeCell ref="G47:I47"/>
    <mergeCell ref="J47:K47"/>
    <mergeCell ref="L47:M47"/>
    <mergeCell ref="N47:O47"/>
    <mergeCell ref="P47:Q47"/>
    <mergeCell ref="R47:S47"/>
    <mergeCell ref="T47:U47"/>
    <mergeCell ref="G46:I46"/>
    <mergeCell ref="J46:K46"/>
    <mergeCell ref="L46:M46"/>
    <mergeCell ref="N46:O46"/>
    <mergeCell ref="P46:Q46"/>
    <mergeCell ref="R46:S46"/>
    <mergeCell ref="T49:U49"/>
    <mergeCell ref="G50:I50"/>
    <mergeCell ref="J50:K50"/>
    <mergeCell ref="L50:M50"/>
    <mergeCell ref="N50:O50"/>
    <mergeCell ref="P50:Q50"/>
    <mergeCell ref="R50:S50"/>
    <mergeCell ref="T50:U50"/>
    <mergeCell ref="G49:I49"/>
    <mergeCell ref="J49:K49"/>
    <mergeCell ref="L49:M49"/>
    <mergeCell ref="N49:O49"/>
    <mergeCell ref="P49:Q49"/>
    <mergeCell ref="R49:S49"/>
    <mergeCell ref="R51:S51"/>
    <mergeCell ref="T51:U51"/>
    <mergeCell ref="B52:D52"/>
    <mergeCell ref="G52:I52"/>
    <mergeCell ref="J52:K52"/>
    <mergeCell ref="L52:M52"/>
    <mergeCell ref="N52:O52"/>
    <mergeCell ref="P52:Q52"/>
    <mergeCell ref="R52:S52"/>
    <mergeCell ref="T52:U52"/>
    <mergeCell ref="B51:D51"/>
    <mergeCell ref="G51:I51"/>
    <mergeCell ref="J51:K51"/>
    <mergeCell ref="L51:M51"/>
    <mergeCell ref="N51:O51"/>
    <mergeCell ref="P51:Q51"/>
    <mergeCell ref="R53:S53"/>
    <mergeCell ref="T53:U53"/>
    <mergeCell ref="B54:D54"/>
    <mergeCell ref="G54:I54"/>
    <mergeCell ref="J54:K54"/>
    <mergeCell ref="L54:M54"/>
    <mergeCell ref="N54:O54"/>
    <mergeCell ref="P54:Q54"/>
    <mergeCell ref="R54:S54"/>
    <mergeCell ref="T54:U54"/>
    <mergeCell ref="B53:D53"/>
    <mergeCell ref="G53:I53"/>
    <mergeCell ref="J53:K53"/>
    <mergeCell ref="L53:M53"/>
    <mergeCell ref="N53:O53"/>
    <mergeCell ref="P53:Q53"/>
    <mergeCell ref="T55:U55"/>
    <mergeCell ref="G56:I56"/>
    <mergeCell ref="J56:K56"/>
    <mergeCell ref="L56:M56"/>
    <mergeCell ref="N56:O56"/>
    <mergeCell ref="P56:Q56"/>
    <mergeCell ref="R56:S56"/>
    <mergeCell ref="T56:U56"/>
    <mergeCell ref="G55:I55"/>
    <mergeCell ref="J55:K55"/>
    <mergeCell ref="L55:M55"/>
    <mergeCell ref="N55:O55"/>
    <mergeCell ref="P55:Q55"/>
    <mergeCell ref="R55:S55"/>
    <mergeCell ref="T57:U57"/>
    <mergeCell ref="B58:D58"/>
    <mergeCell ref="G58:I58"/>
    <mergeCell ref="J58:K58"/>
    <mergeCell ref="L58:M58"/>
    <mergeCell ref="N58:O58"/>
    <mergeCell ref="P58:Q58"/>
    <mergeCell ref="R58:S58"/>
    <mergeCell ref="T58:U58"/>
    <mergeCell ref="G57:I57"/>
    <mergeCell ref="J57:K57"/>
    <mergeCell ref="L57:M57"/>
    <mergeCell ref="N57:O57"/>
    <mergeCell ref="P57:Q57"/>
    <mergeCell ref="R57:S57"/>
    <mergeCell ref="B60:D60"/>
    <mergeCell ref="B61:D61"/>
    <mergeCell ref="B62:D62"/>
    <mergeCell ref="B63:D63"/>
    <mergeCell ref="J63:K63"/>
    <mergeCell ref="L63:M63"/>
    <mergeCell ref="N63:O63"/>
    <mergeCell ref="P63:Q63"/>
    <mergeCell ref="B59:D59"/>
    <mergeCell ref="G59:I59"/>
    <mergeCell ref="J59:K59"/>
    <mergeCell ref="L59:M59"/>
    <mergeCell ref="N59:O59"/>
    <mergeCell ref="P59:Q59"/>
    <mergeCell ref="R63:S63"/>
    <mergeCell ref="T63:U63"/>
    <mergeCell ref="J64:K64"/>
    <mergeCell ref="L64:M64"/>
    <mergeCell ref="N64:O64"/>
    <mergeCell ref="P64:Q64"/>
    <mergeCell ref="R64:S64"/>
    <mergeCell ref="T64:U64"/>
    <mergeCell ref="R59:S59"/>
    <mergeCell ref="T59:U59"/>
    <mergeCell ref="B73:D73"/>
    <mergeCell ref="J66:K66"/>
    <mergeCell ref="L66:M66"/>
    <mergeCell ref="N66:O66"/>
    <mergeCell ref="P66:Q66"/>
    <mergeCell ref="R66:S66"/>
    <mergeCell ref="T66:U66"/>
    <mergeCell ref="J65:K65"/>
    <mergeCell ref="L65:M65"/>
    <mergeCell ref="N65:O65"/>
    <mergeCell ref="P65:Q65"/>
    <mergeCell ref="R65:S65"/>
    <mergeCell ref="T65:U65"/>
  </mergeCells>
  <pageMargins left="0.7" right="0.7" top="0.75" bottom="0.75" header="0.3" footer="0.3"/>
  <drawing r:id="rId1"/>
  <picture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A517EF-A20A-405B-A96C-85DBF14C731D}">
  <dimension ref="A1:AB74"/>
  <sheetViews>
    <sheetView showGridLines="0" topLeftCell="A4" zoomScale="105" zoomScaleNormal="85" workbookViewId="0">
      <selection activeCell="E22" sqref="E22"/>
    </sheetView>
  </sheetViews>
  <sheetFormatPr defaultColWidth="0" defaultRowHeight="14.5" customHeight="1" zeroHeight="1" x14ac:dyDescent="0.35"/>
  <cols>
    <col min="1" max="1" width="8.7265625" style="4" customWidth="1"/>
    <col min="2" max="3" width="8.7265625" style="41" customWidth="1"/>
    <col min="4" max="4" width="12.7265625" style="41" customWidth="1"/>
    <col min="5" max="5" width="7.7265625" style="41" customWidth="1"/>
    <col min="6" max="22" width="8.7265625" style="41" customWidth="1"/>
    <col min="23" max="26" width="10.90625" style="41" customWidth="1"/>
    <col min="27" max="27" width="9.26953125" style="41" bestFit="1" customWidth="1"/>
    <col min="28" max="28" width="8.7265625" style="4" customWidth="1"/>
    <col min="29" max="16384" width="8.7265625" style="4" hidden="1"/>
  </cols>
  <sheetData>
    <row r="1" spans="2:27" x14ac:dyDescent="0.35">
      <c r="B1" s="4"/>
      <c r="C1" s="4"/>
      <c r="D1" s="4"/>
      <c r="E1" s="4"/>
      <c r="F1" s="4"/>
      <c r="G1" s="4"/>
      <c r="H1" s="4"/>
      <c r="I1" s="4"/>
      <c r="J1" s="4"/>
      <c r="K1" s="4"/>
      <c r="L1" s="4"/>
      <c r="M1" s="4"/>
      <c r="N1" s="4"/>
      <c r="O1" s="4"/>
      <c r="P1" s="4"/>
      <c r="Q1" s="4"/>
      <c r="R1" s="4"/>
      <c r="S1" s="4"/>
      <c r="T1" s="4"/>
      <c r="U1" s="4"/>
      <c r="V1" s="4"/>
      <c r="W1" s="4"/>
      <c r="X1" s="4"/>
      <c r="Y1" s="4"/>
      <c r="Z1" s="4"/>
      <c r="AA1" s="4"/>
    </row>
    <row r="2" spans="2:27" ht="14.5" customHeight="1" x14ac:dyDescent="0.35">
      <c r="B2" s="258" t="e" vm="7">
        <v>#VALUE!</v>
      </c>
      <c r="C2" s="258"/>
      <c r="D2" s="258"/>
      <c r="E2" s="258"/>
      <c r="F2" s="258"/>
      <c r="G2" s="258"/>
      <c r="H2" s="258"/>
      <c r="I2" s="258"/>
      <c r="J2" s="258"/>
      <c r="K2" s="258"/>
      <c r="L2" s="258"/>
      <c r="M2" s="258"/>
      <c r="N2" s="258"/>
      <c r="O2" s="258"/>
      <c r="P2" s="258"/>
      <c r="Q2" s="258"/>
      <c r="R2" s="5"/>
      <c r="S2" s="5"/>
      <c r="T2" s="5"/>
      <c r="U2" s="5"/>
      <c r="V2" s="5"/>
      <c r="W2" s="46" t="s">
        <v>36</v>
      </c>
      <c r="X2" s="5"/>
      <c r="Y2" s="5"/>
      <c r="Z2" s="5"/>
      <c r="AA2" s="5"/>
    </row>
    <row r="3" spans="2:27" ht="14.5" customHeight="1" x14ac:dyDescent="0.35">
      <c r="B3" s="258"/>
      <c r="C3" s="258"/>
      <c r="D3" s="258"/>
      <c r="E3" s="258"/>
      <c r="F3" s="258"/>
      <c r="G3" s="258"/>
      <c r="H3" s="258"/>
      <c r="I3" s="258"/>
      <c r="J3" s="258"/>
      <c r="K3" s="258"/>
      <c r="L3" s="258"/>
      <c r="M3" s="258"/>
      <c r="N3" s="258"/>
      <c r="O3" s="258"/>
      <c r="P3" s="258"/>
      <c r="Q3" s="258"/>
      <c r="R3" s="5"/>
      <c r="S3" s="5"/>
      <c r="T3" s="5"/>
      <c r="U3" s="5"/>
      <c r="V3" s="5"/>
      <c r="W3" s="260" t="str">
        <f>'Business Infos'!D15</f>
        <v>Global leader in explosives and blasting systems. Provides end-to-end mining and quarrying blast solutions to improve productivity and safety across sites. Strong R&amp;D and tech capabilities.</v>
      </c>
      <c r="X3" s="260"/>
      <c r="Y3" s="260"/>
      <c r="Z3" s="260"/>
      <c r="AA3" s="260"/>
    </row>
    <row r="4" spans="2:27" ht="15.5" customHeight="1" x14ac:dyDescent="0.35">
      <c r="B4" s="261" t="s">
        <v>37</v>
      </c>
      <c r="C4" s="262"/>
      <c r="D4" s="262"/>
      <c r="E4" s="262"/>
      <c r="F4" s="262"/>
      <c r="G4" s="262"/>
      <c r="H4" s="262"/>
      <c r="I4" s="262"/>
      <c r="J4" s="262"/>
      <c r="K4" s="5"/>
      <c r="L4" s="5"/>
      <c r="M4" s="5"/>
      <c r="N4" s="5"/>
      <c r="O4" s="5"/>
      <c r="P4" s="5"/>
      <c r="Q4" s="5"/>
      <c r="R4" s="5"/>
      <c r="S4" s="5"/>
      <c r="T4" s="5"/>
      <c r="U4" s="5"/>
      <c r="V4" s="5"/>
      <c r="W4" s="260" t="s">
        <v>193</v>
      </c>
      <c r="X4" s="260"/>
      <c r="Y4" s="260"/>
      <c r="Z4" s="260"/>
      <c r="AA4" s="260"/>
    </row>
    <row r="5" spans="2:27" ht="22" customHeight="1" x14ac:dyDescent="0.35">
      <c r="B5" s="7" t="s">
        <v>38</v>
      </c>
      <c r="C5" s="5"/>
      <c r="D5" s="5"/>
      <c r="E5" s="5"/>
      <c r="F5" s="5"/>
      <c r="G5" s="5"/>
      <c r="H5" s="5"/>
      <c r="I5" s="5"/>
      <c r="J5" s="5"/>
      <c r="K5" s="5"/>
      <c r="L5" s="5"/>
      <c r="M5" s="5"/>
      <c r="N5" s="5"/>
      <c r="O5" s="5"/>
      <c r="P5" s="5"/>
      <c r="Q5" s="5"/>
      <c r="R5" s="5"/>
      <c r="S5" s="5"/>
      <c r="T5" s="5"/>
      <c r="U5" s="5"/>
      <c r="V5" s="5"/>
      <c r="W5" s="260"/>
      <c r="X5" s="260"/>
      <c r="Y5" s="260"/>
      <c r="Z5" s="260"/>
      <c r="AA5" s="260"/>
    </row>
    <row r="6" spans="2:27" x14ac:dyDescent="0.35">
      <c r="B6" s="4"/>
      <c r="C6" s="4"/>
      <c r="D6" s="4"/>
      <c r="E6" s="4"/>
      <c r="F6" s="4"/>
      <c r="G6" s="4"/>
      <c r="H6" s="4"/>
      <c r="I6" s="4"/>
      <c r="J6" s="4"/>
      <c r="K6" s="4"/>
      <c r="L6" s="4"/>
      <c r="M6" s="4"/>
      <c r="N6" s="4"/>
      <c r="O6" s="4"/>
      <c r="P6" s="4"/>
      <c r="Q6" s="4"/>
      <c r="R6" s="4"/>
      <c r="S6" s="4"/>
      <c r="T6" s="4"/>
      <c r="U6" s="4"/>
      <c r="V6" s="4"/>
      <c r="W6"/>
      <c r="X6"/>
      <c r="Y6"/>
      <c r="Z6"/>
      <c r="AA6"/>
    </row>
    <row r="7" spans="2:27" x14ac:dyDescent="0.35">
      <c r="B7" s="4"/>
      <c r="C7" s="4"/>
      <c r="D7" s="4"/>
      <c r="E7" s="4"/>
      <c r="F7" s="4"/>
      <c r="G7" s="4"/>
      <c r="H7" s="4"/>
      <c r="I7" s="4"/>
      <c r="J7" s="4"/>
      <c r="K7" s="4"/>
      <c r="L7" s="4"/>
      <c r="M7" s="4"/>
      <c r="N7" s="4"/>
      <c r="O7" s="4"/>
      <c r="P7" s="4"/>
      <c r="Q7" s="4"/>
      <c r="R7" s="4"/>
      <c r="S7" s="4"/>
      <c r="T7" s="4"/>
      <c r="U7" s="4"/>
      <c r="V7" s="4"/>
      <c r="W7" s="4"/>
      <c r="X7" s="4"/>
      <c r="Y7" s="4"/>
      <c r="Z7" s="4"/>
      <c r="AA7" s="4"/>
    </row>
    <row r="8" spans="2:27" ht="15" thickBot="1" x14ac:dyDescent="0.4">
      <c r="B8" s="8" t="s">
        <v>39</v>
      </c>
      <c r="C8" s="9"/>
      <c r="D8" s="9"/>
      <c r="E8" s="9"/>
      <c r="F8" s="10"/>
      <c r="G8" s="8" t="s">
        <v>40</v>
      </c>
      <c r="H8" s="9"/>
      <c r="I8" s="9"/>
      <c r="J8" s="9"/>
      <c r="K8" s="9"/>
      <c r="L8" s="9"/>
      <c r="M8" s="9"/>
      <c r="N8" s="9"/>
      <c r="O8" s="8"/>
      <c r="P8" s="9"/>
      <c r="Q8" s="9"/>
      <c r="R8" s="9"/>
      <c r="S8" s="9"/>
      <c r="T8" s="9"/>
      <c r="U8" s="9"/>
      <c r="V8" s="10"/>
      <c r="W8" s="8" t="s">
        <v>41</v>
      </c>
      <c r="X8" s="9"/>
      <c r="Y8" s="9"/>
      <c r="Z8" s="9"/>
      <c r="AA8" s="9"/>
    </row>
    <row r="9" spans="2:27" ht="4" customHeight="1" x14ac:dyDescent="0.35">
      <c r="B9" s="2"/>
      <c r="C9" s="2"/>
      <c r="D9" s="2"/>
      <c r="E9" s="2"/>
      <c r="F9" s="10"/>
      <c r="G9" s="2"/>
      <c r="H9" s="2"/>
      <c r="I9" s="2"/>
      <c r="J9" s="2"/>
      <c r="K9" s="2"/>
      <c r="L9" s="2"/>
      <c r="M9" s="2"/>
      <c r="N9" s="2"/>
      <c r="O9" s="2"/>
      <c r="P9" s="2"/>
      <c r="Q9" s="2"/>
      <c r="R9" s="2"/>
      <c r="S9" s="2"/>
      <c r="T9" s="2"/>
      <c r="U9" s="2"/>
      <c r="V9" s="10"/>
      <c r="W9" s="2"/>
      <c r="X9" s="2"/>
      <c r="Y9" s="2"/>
      <c r="Z9" s="2"/>
      <c r="AA9" s="2"/>
    </row>
    <row r="10" spans="2:27" x14ac:dyDescent="0.35">
      <c r="B10" s="263" t="s">
        <v>42</v>
      </c>
      <c r="C10" s="263"/>
      <c r="D10" s="11"/>
      <c r="E10" s="11" t="str" cm="1">
        <f t="array" aca="1" ref="E10" ca="1">_FV(B2,"Official name",TRUE)</f>
        <v>ORICA LIMITED</v>
      </c>
      <c r="F10" s="10"/>
      <c r="G10" s="220"/>
      <c r="H10" s="220"/>
      <c r="I10" s="220"/>
      <c r="J10" s="257" t="s">
        <v>43</v>
      </c>
      <c r="K10" s="264"/>
      <c r="L10" s="264"/>
      <c r="M10" s="264"/>
      <c r="N10" s="264"/>
      <c r="O10" s="264"/>
      <c r="P10" s="257" t="s">
        <v>44</v>
      </c>
      <c r="Q10" s="257"/>
      <c r="R10" s="257" t="s">
        <v>45</v>
      </c>
      <c r="S10" s="257"/>
      <c r="T10" s="220"/>
      <c r="U10" s="220"/>
      <c r="V10" s="10"/>
      <c r="W10" s="220"/>
      <c r="X10" s="220"/>
      <c r="Y10" s="220"/>
      <c r="Z10" s="13" t="s">
        <v>46</v>
      </c>
      <c r="AA10" s="14">
        <v>45565</v>
      </c>
    </row>
    <row r="11" spans="2:27" x14ac:dyDescent="0.35">
      <c r="B11" s="220" t="s">
        <v>5</v>
      </c>
      <c r="C11" s="220"/>
      <c r="D11" s="12"/>
      <c r="E11" s="11" t="str" cm="1">
        <f t="array" aca="1" ref="E11" ca="1">_FV(B2,"Ticker symbol",TRUE)</f>
        <v>ORI</v>
      </c>
      <c r="F11" s="15"/>
      <c r="G11" s="220"/>
      <c r="H11" s="220"/>
      <c r="I11" s="220"/>
      <c r="J11" s="264"/>
      <c r="K11" s="264"/>
      <c r="L11" s="264"/>
      <c r="M11" s="264"/>
      <c r="N11" s="264"/>
      <c r="O11" s="264"/>
      <c r="P11" s="257" t="s">
        <v>47</v>
      </c>
      <c r="Q11" s="257"/>
      <c r="R11" s="257" t="s">
        <v>47</v>
      </c>
      <c r="S11" s="257"/>
      <c r="T11" s="257" t="s">
        <v>3</v>
      </c>
      <c r="U11" s="257"/>
      <c r="V11" s="10"/>
      <c r="W11" s="220" t="s">
        <v>48</v>
      </c>
      <c r="X11" s="220"/>
      <c r="Y11" s="220"/>
      <c r="Z11" s="16">
        <v>580.70000000000005</v>
      </c>
      <c r="AA11" s="16">
        <v>580.70000000000005</v>
      </c>
    </row>
    <row r="12" spans="2:27" ht="15" thickBot="1" x14ac:dyDescent="0.4">
      <c r="B12" s="220" t="s">
        <v>49</v>
      </c>
      <c r="C12" s="220"/>
      <c r="D12" s="12"/>
      <c r="E12" s="11" t="s">
        <v>194</v>
      </c>
      <c r="F12" s="10"/>
      <c r="G12" s="220"/>
      <c r="H12" s="220"/>
      <c r="I12" s="220"/>
      <c r="J12" s="257" t="s">
        <v>50</v>
      </c>
      <c r="K12" s="257"/>
      <c r="L12" s="257" t="s">
        <v>51</v>
      </c>
      <c r="M12" s="257"/>
      <c r="N12" s="257" t="s">
        <v>46</v>
      </c>
      <c r="O12" s="257"/>
      <c r="P12" s="250">
        <v>45199</v>
      </c>
      <c r="Q12" s="251"/>
      <c r="R12" s="250">
        <v>45565</v>
      </c>
      <c r="S12" s="251"/>
      <c r="T12" s="252">
        <v>45565</v>
      </c>
      <c r="U12" s="252"/>
      <c r="V12" s="10"/>
      <c r="W12" s="220" t="s">
        <v>52</v>
      </c>
      <c r="X12" s="220"/>
      <c r="Y12" s="220"/>
      <c r="Z12" s="16">
        <v>914.2</v>
      </c>
      <c r="AA12" s="16">
        <v>914.2</v>
      </c>
    </row>
    <row r="13" spans="2:27" x14ac:dyDescent="0.35">
      <c r="B13" s="220" t="s">
        <v>53</v>
      </c>
      <c r="C13" s="220"/>
      <c r="D13" s="12"/>
      <c r="E13" s="17">
        <v>45930</v>
      </c>
      <c r="F13" s="10"/>
      <c r="G13" s="229" t="s">
        <v>8</v>
      </c>
      <c r="H13" s="229"/>
      <c r="I13" s="229"/>
      <c r="J13" s="233">
        <v>7096.4</v>
      </c>
      <c r="K13" s="234"/>
      <c r="L13" s="233">
        <v>7945.3</v>
      </c>
      <c r="M13" s="234"/>
      <c r="N13" s="233">
        <v>7662.8</v>
      </c>
      <c r="O13" s="234"/>
      <c r="P13" s="305"/>
      <c r="Q13" s="306"/>
      <c r="R13" s="307"/>
      <c r="S13" s="308"/>
      <c r="T13" s="231">
        <f>IFERROR(N13+R13-P13," -        ")</f>
        <v>7662.8</v>
      </c>
      <c r="U13" s="230"/>
      <c r="V13" s="10"/>
      <c r="W13" s="220" t="s">
        <v>54</v>
      </c>
      <c r="X13" s="220"/>
      <c r="Y13" s="220"/>
      <c r="Z13" s="16">
        <v>868.9</v>
      </c>
      <c r="AA13" s="16">
        <v>868.9</v>
      </c>
    </row>
    <row r="14" spans="2:27" ht="14.5" customHeight="1" x14ac:dyDescent="0.35">
      <c r="B14" s="249" t="s">
        <v>55</v>
      </c>
      <c r="C14" s="249"/>
      <c r="D14" s="249"/>
      <c r="E14" s="42">
        <v>0.14000000000000001</v>
      </c>
      <c r="F14" s="10"/>
      <c r="G14" s="220" t="s">
        <v>56</v>
      </c>
      <c r="H14" s="229"/>
      <c r="I14" s="229"/>
      <c r="J14" s="233">
        <v>4687.6000000000004</v>
      </c>
      <c r="K14" s="234"/>
      <c r="L14" s="233">
        <v>5111.5</v>
      </c>
      <c r="M14" s="233"/>
      <c r="N14" s="233">
        <v>4557.6000000000004</v>
      </c>
      <c r="O14" s="265"/>
      <c r="P14" s="292"/>
      <c r="Q14" s="295"/>
      <c r="R14" s="293"/>
      <c r="S14" s="294"/>
      <c r="T14" s="230">
        <f t="shared" ref="T14:T29" si="0">IFERROR(N14+R14-P14," -        ")</f>
        <v>4557.6000000000004</v>
      </c>
      <c r="U14" s="230"/>
      <c r="V14" s="10"/>
      <c r="W14" s="220" t="s">
        <v>57</v>
      </c>
      <c r="X14" s="220"/>
      <c r="Y14" s="220"/>
      <c r="Z14" s="16">
        <v>170.5</v>
      </c>
      <c r="AA14" s="16">
        <v>170.5</v>
      </c>
    </row>
    <row r="15" spans="2:27" x14ac:dyDescent="0.35">
      <c r="B15" s="220" t="s">
        <v>58</v>
      </c>
      <c r="C15" s="220"/>
      <c r="D15" s="12"/>
      <c r="E15" s="11" t="s">
        <v>65</v>
      </c>
      <c r="F15" s="10"/>
      <c r="G15" s="220" t="s">
        <v>60</v>
      </c>
      <c r="H15" s="220"/>
      <c r="I15" s="220"/>
      <c r="J15" s="230">
        <f>IFERROR(J13-J14," -        ")</f>
        <v>2408.7999999999993</v>
      </c>
      <c r="K15" s="230"/>
      <c r="L15" s="230">
        <f t="shared" ref="L15" si="1">IFERROR(L13-L14," -        ")</f>
        <v>2833.8</v>
      </c>
      <c r="M15" s="230"/>
      <c r="N15" s="230">
        <f t="shared" ref="N15" si="2">IFERROR(N13-N14," -        ")</f>
        <v>3105.2</v>
      </c>
      <c r="O15" s="230"/>
      <c r="P15" s="289"/>
      <c r="Q15" s="290"/>
      <c r="R15" s="290"/>
      <c r="S15" s="291"/>
      <c r="T15" s="230">
        <f t="shared" si="0"/>
        <v>3105.2</v>
      </c>
      <c r="U15" s="230"/>
      <c r="V15" s="10"/>
      <c r="W15" s="220" t="s">
        <v>61</v>
      </c>
      <c r="X15" s="220"/>
      <c r="Y15" s="220"/>
      <c r="Z15" s="20">
        <f>IFERROR(Z11+Z12+Z13+Z14," -        ")</f>
        <v>2534.3000000000002</v>
      </c>
      <c r="AA15" s="20">
        <f>IFERROR(AA11+AA12+AA13+AA14," -        ")</f>
        <v>2534.3000000000002</v>
      </c>
    </row>
    <row r="16" spans="2:27" x14ac:dyDescent="0.35">
      <c r="B16" s="220" t="s">
        <v>62</v>
      </c>
      <c r="C16" s="220"/>
      <c r="D16" s="12"/>
      <c r="E16" s="21" t="s">
        <v>224</v>
      </c>
      <c r="F16" s="10"/>
      <c r="G16" s="220" t="s">
        <v>64</v>
      </c>
      <c r="H16" s="220"/>
      <c r="I16" s="220"/>
      <c r="J16" s="233">
        <v>1530.8</v>
      </c>
      <c r="K16" s="234"/>
      <c r="L16" s="233">
        <v>1774.7</v>
      </c>
      <c r="M16" s="234"/>
      <c r="N16" s="233">
        <v>1930.6</v>
      </c>
      <c r="O16" s="234"/>
      <c r="P16" s="292"/>
      <c r="Q16" s="295"/>
      <c r="R16" s="293"/>
      <c r="S16" s="294"/>
      <c r="T16" s="230">
        <f t="shared" si="0"/>
        <v>1930.6</v>
      </c>
      <c r="U16" s="230"/>
      <c r="V16" s="10"/>
      <c r="W16" s="220"/>
      <c r="X16" s="220"/>
      <c r="Y16" s="220"/>
      <c r="Z16" s="20"/>
      <c r="AA16" s="20"/>
    </row>
    <row r="17" spans="2:27" x14ac:dyDescent="0.35">
      <c r="B17" s="220" t="s">
        <v>66</v>
      </c>
      <c r="C17" s="220"/>
      <c r="D17" s="12"/>
      <c r="E17" s="22">
        <v>0.38</v>
      </c>
      <c r="F17" s="10"/>
      <c r="G17" s="220" t="s">
        <v>67</v>
      </c>
      <c r="H17" s="220"/>
      <c r="I17" s="220"/>
      <c r="J17" s="233">
        <f>1916.6-J16</f>
        <v>385.79999999999995</v>
      </c>
      <c r="K17" s="234"/>
      <c r="L17" s="233">
        <f>2167.2-L16</f>
        <v>392.49999999999977</v>
      </c>
      <c r="M17" s="234"/>
      <c r="N17" s="233">
        <f>2396.5-N16</f>
        <v>465.90000000000009</v>
      </c>
      <c r="O17" s="234"/>
      <c r="P17" s="292"/>
      <c r="Q17" s="295"/>
      <c r="R17" s="293"/>
      <c r="S17" s="294"/>
      <c r="T17" s="230">
        <f t="shared" si="0"/>
        <v>465.90000000000009</v>
      </c>
      <c r="U17" s="230"/>
      <c r="V17" s="10"/>
      <c r="W17" s="220" t="s">
        <v>68</v>
      </c>
      <c r="X17" s="220"/>
      <c r="Y17" s="220"/>
      <c r="Z17" s="16">
        <v>3627.4</v>
      </c>
      <c r="AA17" s="16">
        <v>3627.4</v>
      </c>
    </row>
    <row r="18" spans="2:27" x14ac:dyDescent="0.35">
      <c r="B18" s="10"/>
      <c r="C18" s="50"/>
      <c r="E18" s="10"/>
      <c r="F18" s="10"/>
      <c r="G18" s="220" t="s">
        <v>69</v>
      </c>
      <c r="H18" s="220"/>
      <c r="I18" s="220"/>
      <c r="J18" s="248">
        <f>IFERROR(J15-J16-J17," -        ")</f>
        <v>492.19999999999936</v>
      </c>
      <c r="K18" s="230"/>
      <c r="L18" s="248">
        <f>IFERROR(L15-L16-L17," -        ")</f>
        <v>666.60000000000036</v>
      </c>
      <c r="M18" s="230"/>
      <c r="N18" s="248">
        <f>IFERROR(N15-N16-N17," -        ")</f>
        <v>708.69999999999982</v>
      </c>
      <c r="O18" s="230"/>
      <c r="P18" s="289"/>
      <c r="Q18" s="290"/>
      <c r="R18" s="290"/>
      <c r="S18" s="291"/>
      <c r="T18" s="230">
        <f t="shared" si="0"/>
        <v>708.69999999999982</v>
      </c>
      <c r="U18" s="230"/>
      <c r="V18" s="10"/>
      <c r="W18" s="220" t="s">
        <v>70</v>
      </c>
      <c r="X18" s="220"/>
      <c r="Y18" s="220"/>
      <c r="Z18" s="16">
        <f>2152.4+419.5</f>
        <v>2571.9</v>
      </c>
      <c r="AA18" s="16">
        <f>2152.4+419.5</f>
        <v>2571.9</v>
      </c>
    </row>
    <row r="19" spans="2:27" ht="15" thickBot="1" x14ac:dyDescent="0.4">
      <c r="B19" s="8" t="s">
        <v>71</v>
      </c>
      <c r="C19" s="9"/>
      <c r="D19" s="9"/>
      <c r="E19" s="9"/>
      <c r="F19" s="10"/>
      <c r="G19" s="220" t="s">
        <v>72</v>
      </c>
      <c r="H19" s="220"/>
      <c r="I19" s="220"/>
      <c r="J19" s="233">
        <v>102.4</v>
      </c>
      <c r="K19" s="234"/>
      <c r="L19" s="233">
        <v>151.1</v>
      </c>
      <c r="M19" s="234"/>
      <c r="N19" s="233">
        <v>191.2</v>
      </c>
      <c r="O19" s="234"/>
      <c r="P19" s="292"/>
      <c r="Q19" s="295"/>
      <c r="R19" s="293"/>
      <c r="S19" s="294"/>
      <c r="T19" s="230">
        <f t="shared" si="0"/>
        <v>191.2</v>
      </c>
      <c r="U19" s="230"/>
      <c r="V19" s="10"/>
      <c r="W19" s="220" t="s">
        <v>73</v>
      </c>
      <c r="X19" s="220"/>
      <c r="Y19" s="220"/>
      <c r="Z19" s="16">
        <f>320.7+369.9+174.1</f>
        <v>864.69999999999993</v>
      </c>
      <c r="AA19" s="16">
        <f>320.7+369.9+174.1</f>
        <v>864.69999999999993</v>
      </c>
    </row>
    <row r="20" spans="2:27" ht="3.5" customHeight="1" x14ac:dyDescent="0.35">
      <c r="B20" s="2"/>
      <c r="C20" s="2"/>
      <c r="D20" s="2"/>
      <c r="E20" s="2"/>
      <c r="F20" s="10"/>
      <c r="G20" s="220"/>
      <c r="H20" s="220"/>
      <c r="I20" s="220"/>
      <c r="J20" s="244"/>
      <c r="K20" s="244"/>
      <c r="L20" s="244"/>
      <c r="M20" s="244"/>
      <c r="N20" s="244"/>
      <c r="O20" s="244"/>
      <c r="P20" s="302"/>
      <c r="Q20" s="303"/>
      <c r="R20" s="303"/>
      <c r="S20" s="304"/>
      <c r="T20" s="230">
        <f t="shared" si="0"/>
        <v>0</v>
      </c>
      <c r="U20" s="230"/>
      <c r="V20" s="10"/>
      <c r="W20" s="220"/>
      <c r="X20" s="220"/>
      <c r="Y20" s="12"/>
      <c r="Z20" s="20"/>
      <c r="AA20" s="20"/>
    </row>
    <row r="21" spans="2:27" x14ac:dyDescent="0.35">
      <c r="B21" s="220" t="s">
        <v>74</v>
      </c>
      <c r="C21" s="220"/>
      <c r="D21" s="23" cm="1">
        <f t="array" aca="1" ref="D21" ca="1">_FV(B2,"Last trade time",TRUE)</f>
        <v>45763.187579525002</v>
      </c>
      <c r="E21" s="24" cm="1">
        <f t="array" aca="1" ref="E21" ca="1">_FV(B2,"Price")</f>
        <v>15.71</v>
      </c>
      <c r="F21" s="10"/>
      <c r="G21" s="220" t="s">
        <v>75</v>
      </c>
      <c r="H21" s="220"/>
      <c r="I21" s="220"/>
      <c r="J21" s="230">
        <f>IFERROR(J18-J19," -        ")</f>
        <v>389.79999999999939</v>
      </c>
      <c r="K21" s="230"/>
      <c r="L21" s="230">
        <f t="shared" ref="L21" si="3">IFERROR(L18-L19," -        ")</f>
        <v>515.50000000000034</v>
      </c>
      <c r="M21" s="230"/>
      <c r="N21" s="230">
        <f t="shared" ref="N21" si="4">IFERROR(N18-N19," -        ")</f>
        <v>517.49999999999977</v>
      </c>
      <c r="O21" s="230"/>
      <c r="P21" s="289"/>
      <c r="Q21" s="290"/>
      <c r="R21" s="290"/>
      <c r="S21" s="291"/>
      <c r="T21" s="230">
        <f t="shared" si="0"/>
        <v>517.49999999999977</v>
      </c>
      <c r="U21" s="230"/>
      <c r="V21" s="10"/>
      <c r="W21" s="220" t="s">
        <v>76</v>
      </c>
      <c r="X21" s="220"/>
      <c r="Y21" s="220"/>
      <c r="Z21" s="20">
        <f>IFERROR(Z17+Z18+Z19+Z15," -       ")</f>
        <v>9598.2999999999993</v>
      </c>
      <c r="AA21" s="20">
        <f>IFERROR(AA17+AA18+AA19+AA15," -       ")</f>
        <v>9598.2999999999993</v>
      </c>
    </row>
    <row r="22" spans="2:27" x14ac:dyDescent="0.35">
      <c r="B22" s="220" t="s">
        <v>77</v>
      </c>
      <c r="C22" s="220"/>
      <c r="D22" s="25"/>
      <c r="E22" s="26">
        <f ca="1">IFERROR(E21/E23,"NA")</f>
        <v>0.82836804640126549</v>
      </c>
      <c r="F22" s="10"/>
      <c r="G22" s="220" t="s">
        <v>78</v>
      </c>
      <c r="H22" s="220"/>
      <c r="I22" s="220"/>
      <c r="J22" s="233">
        <v>140.9</v>
      </c>
      <c r="K22" s="234"/>
      <c r="L22" s="233">
        <v>131.80000000000001</v>
      </c>
      <c r="M22" s="234"/>
      <c r="N22" s="233">
        <v>188.9</v>
      </c>
      <c r="O22" s="234"/>
      <c r="P22" s="292"/>
      <c r="Q22" s="295"/>
      <c r="R22" s="293"/>
      <c r="S22" s="294"/>
      <c r="T22" s="230">
        <f t="shared" si="0"/>
        <v>188.9</v>
      </c>
      <c r="U22" s="230"/>
      <c r="V22" s="10"/>
      <c r="W22" s="220"/>
      <c r="X22" s="220"/>
      <c r="Y22" s="220"/>
      <c r="Z22" s="20"/>
      <c r="AA22" s="20"/>
    </row>
    <row r="23" spans="2:27" x14ac:dyDescent="0.35">
      <c r="B23" s="220" t="s">
        <v>79</v>
      </c>
      <c r="C23" s="220"/>
      <c r="D23" s="23" cm="1">
        <f t="array" aca="1" ref="D23" ca="1">_FV(B2,"Last trade time",TRUE)</f>
        <v>45763.187579525002</v>
      </c>
      <c r="E23" s="24" cm="1">
        <f t="array" aca="1" ref="E23" ca="1">_FV(B2,"52 week high",TRUE)</f>
        <v>18.965</v>
      </c>
      <c r="F23" s="10"/>
      <c r="G23" s="220" t="s">
        <v>80</v>
      </c>
      <c r="H23" s="220"/>
      <c r="I23" s="220"/>
      <c r="J23" s="233">
        <v>-11.1</v>
      </c>
      <c r="K23" s="234"/>
      <c r="L23" s="233">
        <v>-44.3</v>
      </c>
      <c r="M23" s="234"/>
      <c r="N23" s="233">
        <v>34.200000000000003</v>
      </c>
      <c r="O23" s="234"/>
      <c r="P23" s="292"/>
      <c r="Q23" s="295"/>
      <c r="R23" s="293"/>
      <c r="S23" s="294"/>
      <c r="T23" s="230">
        <f t="shared" si="0"/>
        <v>34.200000000000003</v>
      </c>
      <c r="U23" s="230"/>
      <c r="V23" s="10"/>
      <c r="W23" s="220" t="s">
        <v>81</v>
      </c>
      <c r="X23" s="220"/>
      <c r="Y23" s="220"/>
      <c r="Z23" s="16">
        <v>1599.4</v>
      </c>
      <c r="AA23" s="16">
        <v>1599.4</v>
      </c>
    </row>
    <row r="24" spans="2:27" x14ac:dyDescent="0.35">
      <c r="B24" s="220" t="s">
        <v>82</v>
      </c>
      <c r="C24" s="220"/>
      <c r="D24" s="23" cm="1">
        <f t="array" aca="1" ref="D24" ca="1">_FV(B2,"Last trade time",TRUE)</f>
        <v>45763.187579525002</v>
      </c>
      <c r="E24" s="24" cm="1">
        <f t="array" aca="1" ref="E24" ca="1">_FV(B2,"52 week low",TRUE)</f>
        <v>14.88</v>
      </c>
      <c r="F24" s="10"/>
      <c r="G24" s="220" t="s">
        <v>83</v>
      </c>
      <c r="H24" s="220"/>
      <c r="I24" s="220"/>
      <c r="J24" s="233">
        <v>0</v>
      </c>
      <c r="K24" s="234"/>
      <c r="L24" s="233">
        <v>0</v>
      </c>
      <c r="M24" s="234"/>
      <c r="N24" s="233">
        <v>0</v>
      </c>
      <c r="O24" s="234"/>
      <c r="P24" s="292"/>
      <c r="Q24" s="295"/>
      <c r="R24" s="293"/>
      <c r="S24" s="294"/>
      <c r="T24" s="230">
        <f t="shared" si="0"/>
        <v>0</v>
      </c>
      <c r="U24" s="230"/>
      <c r="V24" s="10"/>
      <c r="W24" s="220" t="s">
        <v>84</v>
      </c>
      <c r="X24" s="220"/>
      <c r="Y24" s="220"/>
      <c r="Z24" s="16">
        <v>169.3</v>
      </c>
      <c r="AA24" s="16">
        <v>169.3</v>
      </c>
    </row>
    <row r="25" spans="2:27" x14ac:dyDescent="0.35">
      <c r="B25" s="220" t="s">
        <v>85</v>
      </c>
      <c r="C25" s="220"/>
      <c r="D25" s="25"/>
      <c r="E25" s="43">
        <f>E14</f>
        <v>0.14000000000000001</v>
      </c>
      <c r="F25" s="10"/>
      <c r="G25" s="220" t="s">
        <v>86</v>
      </c>
      <c r="H25" s="220"/>
      <c r="I25" s="220"/>
      <c r="J25" s="230">
        <f>IFERROR(J21-J22-J23-J24," -        ")</f>
        <v>259.99999999999937</v>
      </c>
      <c r="K25" s="230"/>
      <c r="L25" s="230">
        <f t="shared" ref="L25" si="5">IFERROR(L21-L22-L23-L24," -        ")</f>
        <v>428.00000000000034</v>
      </c>
      <c r="M25" s="230"/>
      <c r="N25" s="230">
        <f t="shared" ref="N25" si="6">IFERROR(N21-N22-N23-N24," -        ")</f>
        <v>294.39999999999981</v>
      </c>
      <c r="O25" s="230"/>
      <c r="P25" s="289"/>
      <c r="Q25" s="290"/>
      <c r="R25" s="290"/>
      <c r="S25" s="291"/>
      <c r="T25" s="230">
        <f t="shared" si="0"/>
        <v>294.39999999999981</v>
      </c>
      <c r="U25" s="230"/>
      <c r="V25" s="10"/>
      <c r="W25" s="220" t="s">
        <v>87</v>
      </c>
      <c r="X25" s="220"/>
      <c r="Y25" s="220"/>
      <c r="Z25" s="16">
        <f>252.3+100</f>
        <v>352.3</v>
      </c>
      <c r="AA25" s="16">
        <f>252.3+100</f>
        <v>352.3</v>
      </c>
    </row>
    <row r="26" spans="2:27" x14ac:dyDescent="0.35">
      <c r="B26" s="220"/>
      <c r="C26" s="220"/>
      <c r="D26" s="25"/>
      <c r="E26" s="25"/>
      <c r="F26" s="10"/>
      <c r="G26" s="220" t="s">
        <v>88</v>
      </c>
      <c r="H26" s="220"/>
      <c r="I26" s="220"/>
      <c r="J26" s="205">
        <f>IFERROR(J22/J21," -        ")</f>
        <v>0.36146741918932845</v>
      </c>
      <c r="K26" s="205"/>
      <c r="L26" s="205">
        <f t="shared" ref="L26" si="7">IFERROR(L22/L21," -        ")</f>
        <v>0.25567410281280295</v>
      </c>
      <c r="M26" s="205"/>
      <c r="N26" s="205">
        <f t="shared" ref="N26" si="8">IFERROR(N22/N21," -        ")</f>
        <v>0.36502415458937215</v>
      </c>
      <c r="O26" s="205"/>
      <c r="P26" s="275"/>
      <c r="Q26" s="276"/>
      <c r="R26" s="276"/>
      <c r="S26" s="277"/>
      <c r="T26" s="205">
        <f t="shared" si="0"/>
        <v>0.36502415458937215</v>
      </c>
      <c r="U26" s="205"/>
      <c r="V26" s="28"/>
      <c r="W26" s="247" t="s">
        <v>89</v>
      </c>
      <c r="X26" s="247"/>
      <c r="Y26" s="247"/>
      <c r="Z26" s="20">
        <f>IFERROR(Z23+Z24+Z25," -       ")</f>
        <v>2121</v>
      </c>
      <c r="AA26" s="20">
        <f>IFERROR(AA23+AA24+AA25," -       ")</f>
        <v>2121</v>
      </c>
    </row>
    <row r="27" spans="2:27" x14ac:dyDescent="0.35">
      <c r="B27" s="29" t="s">
        <v>90</v>
      </c>
      <c r="C27" s="29"/>
      <c r="D27" s="25"/>
      <c r="E27" s="30">
        <f>T28</f>
        <v>479.38425599999999</v>
      </c>
      <c r="F27" s="10"/>
      <c r="G27" s="220"/>
      <c r="H27" s="220"/>
      <c r="I27" s="220"/>
      <c r="J27" s="244"/>
      <c r="K27" s="244"/>
      <c r="L27" s="244"/>
      <c r="M27" s="244"/>
      <c r="N27" s="244"/>
      <c r="O27" s="244"/>
      <c r="P27" s="302"/>
      <c r="Q27" s="303"/>
      <c r="R27" s="303"/>
      <c r="S27" s="304"/>
      <c r="T27" s="230"/>
      <c r="U27" s="230"/>
      <c r="V27" s="10"/>
      <c r="W27" s="220"/>
      <c r="X27" s="220"/>
      <c r="Y27" s="220"/>
      <c r="Z27" s="20"/>
      <c r="AA27" s="20"/>
    </row>
    <row r="28" spans="2:27" x14ac:dyDescent="0.35">
      <c r="B28" s="229" t="s">
        <v>91</v>
      </c>
      <c r="C28" s="229"/>
      <c r="D28" s="25"/>
      <c r="E28" s="30">
        <f ca="1">IFERROR(E27*E21," -       ")</f>
        <v>7531.1266617600004</v>
      </c>
      <c r="F28" s="10"/>
      <c r="G28" s="220" t="s">
        <v>92</v>
      </c>
      <c r="H28" s="220"/>
      <c r="I28" s="220"/>
      <c r="J28" s="233">
        <v>417.37198699999999</v>
      </c>
      <c r="K28" s="234"/>
      <c r="L28" s="233">
        <v>458.10210699999999</v>
      </c>
      <c r="M28" s="234"/>
      <c r="N28" s="233">
        <v>479.38425599999999</v>
      </c>
      <c r="O28" s="234"/>
      <c r="P28" s="292"/>
      <c r="Q28" s="295"/>
      <c r="R28" s="293"/>
      <c r="S28" s="294"/>
      <c r="T28" s="230">
        <f t="shared" si="0"/>
        <v>479.38425599999999</v>
      </c>
      <c r="U28" s="230"/>
      <c r="V28" s="10"/>
      <c r="W28" s="220" t="s">
        <v>93</v>
      </c>
      <c r="X28" s="220"/>
      <c r="Y28" s="220"/>
      <c r="Z28" s="16">
        <f>2351.7</f>
        <v>2351.6999999999998</v>
      </c>
      <c r="AA28" s="16">
        <f>2351.7</f>
        <v>2351.6999999999998</v>
      </c>
    </row>
    <row r="29" spans="2:27" ht="15" thickBot="1" x14ac:dyDescent="0.4">
      <c r="B29" s="220"/>
      <c r="C29" s="220"/>
      <c r="D29" s="25"/>
      <c r="E29" s="30"/>
      <c r="F29" s="10"/>
      <c r="G29" s="220" t="s">
        <v>94</v>
      </c>
      <c r="H29" s="220"/>
      <c r="I29" s="220"/>
      <c r="J29" s="230">
        <f>IFERROR(J25/J28," -        ")</f>
        <v>0.6229454972980718</v>
      </c>
      <c r="K29" s="230"/>
      <c r="L29" s="230">
        <f t="shared" ref="L29" si="9">IFERROR(L25/L28," -        ")</f>
        <v>0.93428952510799157</v>
      </c>
      <c r="M29" s="230"/>
      <c r="N29" s="230">
        <f>IFERROR(N25/N28," -        ")</f>
        <v>0.61412112791622386</v>
      </c>
      <c r="O29" s="230"/>
      <c r="P29" s="299"/>
      <c r="Q29" s="300"/>
      <c r="R29" s="300"/>
      <c r="S29" s="301"/>
      <c r="T29" s="230">
        <f t="shared" si="0"/>
        <v>0.61412112791622386</v>
      </c>
      <c r="U29" s="230"/>
      <c r="V29" s="10"/>
      <c r="W29" s="220" t="s">
        <v>95</v>
      </c>
      <c r="X29" s="220"/>
      <c r="Y29" s="220"/>
      <c r="Z29" s="16">
        <f>9.3+491.9+76.8</f>
        <v>578</v>
      </c>
      <c r="AA29" s="16">
        <f>9.3+491.9+76.8</f>
        <v>578</v>
      </c>
    </row>
    <row r="30" spans="2:27" x14ac:dyDescent="0.35">
      <c r="B30" s="220" t="s">
        <v>96</v>
      </c>
      <c r="C30" s="220"/>
      <c r="D30" s="25"/>
      <c r="E30" s="30">
        <f>IF(SUM(AA24,AA28)=0," -       ",SUM(AA24,AA28))</f>
        <v>2521</v>
      </c>
      <c r="F30" s="10"/>
      <c r="G30" s="10"/>
      <c r="H30" s="10"/>
      <c r="I30" s="10"/>
      <c r="J30" s="10"/>
      <c r="K30" s="10"/>
      <c r="L30" s="10"/>
      <c r="M30" s="10"/>
      <c r="N30" s="10"/>
      <c r="O30" s="10"/>
      <c r="P30" s="10"/>
      <c r="Q30" s="10"/>
      <c r="R30" s="10"/>
      <c r="S30" s="10"/>
      <c r="T30" s="10"/>
      <c r="U30" s="10"/>
      <c r="V30" s="10"/>
      <c r="W30" s="229" t="s">
        <v>97</v>
      </c>
      <c r="X30" s="229"/>
      <c r="Y30" s="229"/>
      <c r="Z30" s="20">
        <f>IFERROR(Z26+Z28+Z29," -       ")</f>
        <v>5050.7</v>
      </c>
      <c r="AA30" s="20">
        <f>IFERROR(AA26+AA28+AA29," -       ")</f>
        <v>5050.7</v>
      </c>
    </row>
    <row r="31" spans="2:27" x14ac:dyDescent="0.35">
      <c r="B31" s="220" t="s">
        <v>98</v>
      </c>
      <c r="C31" s="220"/>
      <c r="D31" s="25"/>
      <c r="E31" s="30">
        <f>AA33</f>
        <v>0</v>
      </c>
      <c r="F31" s="10"/>
      <c r="G31" s="10"/>
      <c r="H31" s="10"/>
      <c r="I31" s="10"/>
      <c r="J31" s="10"/>
      <c r="K31" s="10"/>
      <c r="L31" s="10"/>
      <c r="M31" s="10"/>
      <c r="N31" s="10"/>
      <c r="O31" s="10"/>
      <c r="P31" s="10"/>
      <c r="Q31" s="10"/>
      <c r="R31" s="10"/>
      <c r="S31" s="10"/>
      <c r="T31" s="10"/>
      <c r="U31" s="10"/>
      <c r="V31" s="10"/>
      <c r="W31" s="220"/>
      <c r="X31" s="220"/>
      <c r="Y31" s="220"/>
      <c r="Z31" s="20"/>
      <c r="AA31" s="20"/>
    </row>
    <row r="32" spans="2:27" ht="15" thickBot="1" x14ac:dyDescent="0.4">
      <c r="B32" s="220" t="s">
        <v>99</v>
      </c>
      <c r="C32" s="220"/>
      <c r="D32" s="25"/>
      <c r="E32" s="30">
        <f>AA32</f>
        <v>88.6</v>
      </c>
      <c r="F32" s="10"/>
      <c r="G32" s="1" t="s">
        <v>100</v>
      </c>
      <c r="H32" s="2"/>
      <c r="I32" s="2"/>
      <c r="J32" s="2"/>
      <c r="K32" s="2"/>
      <c r="L32" s="2"/>
      <c r="M32" s="2"/>
      <c r="N32" s="2"/>
      <c r="O32" s="2"/>
      <c r="P32" s="2"/>
      <c r="Q32" s="2"/>
      <c r="R32" s="2"/>
      <c r="S32" s="2"/>
      <c r="T32" s="2"/>
      <c r="U32" s="2"/>
      <c r="V32" s="10"/>
      <c r="W32" s="220" t="s">
        <v>101</v>
      </c>
      <c r="X32" s="220"/>
      <c r="Y32" s="220"/>
      <c r="Z32" s="16">
        <v>88.6</v>
      </c>
      <c r="AA32" s="16">
        <v>88.6</v>
      </c>
    </row>
    <row r="33" spans="2:27" x14ac:dyDescent="0.35">
      <c r="B33" s="29" t="s">
        <v>102</v>
      </c>
      <c r="C33" s="29"/>
      <c r="D33" s="25"/>
      <c r="E33" s="30">
        <f>Z11</f>
        <v>580.70000000000005</v>
      </c>
      <c r="F33" s="10"/>
      <c r="G33" s="220" t="s">
        <v>103</v>
      </c>
      <c r="H33" s="220"/>
      <c r="I33" s="220"/>
      <c r="J33" s="230">
        <f>J15</f>
        <v>2408.7999999999993</v>
      </c>
      <c r="K33" s="230"/>
      <c r="L33" s="230">
        <f t="shared" ref="L33" si="10">L15</f>
        <v>2833.8</v>
      </c>
      <c r="M33" s="230"/>
      <c r="N33" s="230">
        <f t="shared" ref="N33" si="11">N15</f>
        <v>3105.2</v>
      </c>
      <c r="O33" s="230"/>
      <c r="P33" s="296"/>
      <c r="Q33" s="297"/>
      <c r="R33" s="297"/>
      <c r="S33" s="298"/>
      <c r="T33" s="230">
        <f t="shared" ref="T33:T55" si="12">IFERROR(N33+R33-P33," -        ")</f>
        <v>3105.2</v>
      </c>
      <c r="U33" s="230"/>
      <c r="V33" s="10"/>
      <c r="W33" s="220" t="s">
        <v>104</v>
      </c>
      <c r="X33" s="220"/>
      <c r="Y33" s="220"/>
      <c r="Z33" s="16">
        <v>0</v>
      </c>
      <c r="AA33" s="16">
        <v>0</v>
      </c>
    </row>
    <row r="34" spans="2:27" x14ac:dyDescent="0.35">
      <c r="B34" s="229" t="s">
        <v>105</v>
      </c>
      <c r="C34" s="229"/>
      <c r="D34" s="25"/>
      <c r="E34" s="30">
        <f ca="1">IFERROR(E28+E30+E31+E32-E33,"-       ")</f>
        <v>9560.0266617600009</v>
      </c>
      <c r="F34" s="10"/>
      <c r="G34" s="220" t="s">
        <v>106</v>
      </c>
      <c r="H34" s="220"/>
      <c r="I34" s="220"/>
      <c r="J34" s="233">
        <v>-84.6</v>
      </c>
      <c r="K34" s="234"/>
      <c r="L34" s="233">
        <v>0</v>
      </c>
      <c r="M34" s="234"/>
      <c r="N34" s="233">
        <v>0</v>
      </c>
      <c r="O34" s="234"/>
      <c r="P34" s="292"/>
      <c r="Q34" s="295"/>
      <c r="R34" s="293"/>
      <c r="S34" s="294"/>
      <c r="T34" s="230">
        <f t="shared" si="12"/>
        <v>0</v>
      </c>
      <c r="U34" s="230"/>
      <c r="V34" s="10"/>
      <c r="W34" s="220" t="s">
        <v>107</v>
      </c>
      <c r="X34" s="220"/>
      <c r="Y34" s="220"/>
      <c r="Z34" s="16">
        <v>4459</v>
      </c>
      <c r="AA34" s="16">
        <v>4459</v>
      </c>
    </row>
    <row r="35" spans="2:27" x14ac:dyDescent="0.35">
      <c r="B35" s="10"/>
      <c r="C35" s="10"/>
      <c r="D35" s="10"/>
      <c r="E35" s="10"/>
      <c r="F35" s="10"/>
      <c r="G35" s="220" t="s">
        <v>108</v>
      </c>
      <c r="H35" s="220"/>
      <c r="I35" s="220"/>
      <c r="J35" s="230">
        <f>IFERROR(J33+J34," -        ")</f>
        <v>2324.1999999999994</v>
      </c>
      <c r="K35" s="230"/>
      <c r="L35" s="230">
        <f t="shared" ref="L35" si="13">IFERROR(L33+L34," -        ")</f>
        <v>2833.8</v>
      </c>
      <c r="M35" s="230"/>
      <c r="N35" s="230">
        <f t="shared" ref="N35" si="14">IFERROR(N33+N34," -        ")</f>
        <v>3105.2</v>
      </c>
      <c r="O35" s="230"/>
      <c r="P35" s="289"/>
      <c r="Q35" s="290"/>
      <c r="R35" s="290"/>
      <c r="S35" s="291"/>
      <c r="T35" s="230">
        <f t="shared" si="12"/>
        <v>3105.2</v>
      </c>
      <c r="U35" s="230"/>
      <c r="V35" s="10"/>
      <c r="W35" s="220" t="s">
        <v>109</v>
      </c>
      <c r="X35" s="220"/>
      <c r="Y35" s="220"/>
      <c r="Z35" s="20">
        <f>IFERROR(Z30+Z32+Z33+Z34," -       ")</f>
        <v>9598.2999999999993</v>
      </c>
      <c r="AA35" s="20">
        <f>IFERROR(AA30+AA32+AA33+AA34," -       ")</f>
        <v>9598.2999999999993</v>
      </c>
    </row>
    <row r="36" spans="2:27" ht="15" thickBot="1" x14ac:dyDescent="0.4">
      <c r="B36" s="8" t="s">
        <v>110</v>
      </c>
      <c r="C36" s="9"/>
      <c r="D36" s="9"/>
      <c r="E36" s="9"/>
      <c r="F36" s="10"/>
      <c r="G36" s="220" t="s">
        <v>111</v>
      </c>
      <c r="H36" s="220"/>
      <c r="I36" s="220"/>
      <c r="J36" s="205">
        <f>IFERROR(J35/J13," -        ")</f>
        <v>0.32751817823121576</v>
      </c>
      <c r="K36" s="205"/>
      <c r="L36" s="205">
        <f t="shared" ref="L36" si="15">IFERROR(L35/L13," -        ")</f>
        <v>0.35666368796647074</v>
      </c>
      <c r="M36" s="205"/>
      <c r="N36" s="205">
        <f t="shared" ref="N36" si="16">IFERROR(N35/N13," -        ")</f>
        <v>0.40523046406013463</v>
      </c>
      <c r="O36" s="205"/>
      <c r="P36" s="275"/>
      <c r="Q36" s="276"/>
      <c r="R36" s="276"/>
      <c r="S36" s="277"/>
      <c r="T36" s="205">
        <f t="shared" si="12"/>
        <v>0.40523046406013463</v>
      </c>
      <c r="U36" s="205"/>
      <c r="V36" s="10"/>
      <c r="W36" s="237" t="s">
        <v>112</v>
      </c>
      <c r="X36" s="237"/>
      <c r="Y36" s="237"/>
      <c r="Z36" s="20">
        <f>IFERROR(Z21-Z35," -       ")</f>
        <v>0</v>
      </c>
      <c r="AA36" s="20">
        <f>IFERROR(AA21-AA35," -       ")</f>
        <v>0</v>
      </c>
    </row>
    <row r="37" spans="2:27" ht="3" customHeight="1" x14ac:dyDescent="0.35">
      <c r="B37" s="2"/>
      <c r="C37" s="2"/>
      <c r="D37" s="2"/>
      <c r="E37" s="2"/>
      <c r="F37" s="10"/>
      <c r="G37" s="220"/>
      <c r="H37" s="220"/>
      <c r="I37" s="220"/>
      <c r="J37" s="224"/>
      <c r="K37" s="224"/>
      <c r="L37" s="224"/>
      <c r="M37" s="224"/>
      <c r="N37" s="224"/>
      <c r="O37" s="224"/>
      <c r="P37" s="286"/>
      <c r="Q37" s="287"/>
      <c r="R37" s="287"/>
      <c r="S37" s="288"/>
      <c r="T37" s="224">
        <f t="shared" si="12"/>
        <v>0</v>
      </c>
      <c r="U37" s="224"/>
      <c r="V37" s="10"/>
      <c r="W37" s="10"/>
      <c r="X37" s="10"/>
      <c r="Y37" s="10"/>
      <c r="Z37" s="10"/>
      <c r="AA37" s="10"/>
    </row>
    <row r="38" spans="2:27" x14ac:dyDescent="0.35">
      <c r="B38" s="12"/>
      <c r="C38" s="13" t="s">
        <v>3</v>
      </c>
      <c r="D38" s="13" t="s">
        <v>113</v>
      </c>
      <c r="E38" s="13" t="s">
        <v>114</v>
      </c>
      <c r="F38" s="10"/>
      <c r="G38" s="220"/>
      <c r="H38" s="220"/>
      <c r="I38" s="220"/>
      <c r="J38" s="213"/>
      <c r="K38" s="213"/>
      <c r="L38" s="213"/>
      <c r="M38" s="213"/>
      <c r="N38" s="213"/>
      <c r="O38" s="213"/>
      <c r="P38" s="283"/>
      <c r="Q38" s="284"/>
      <c r="R38" s="284"/>
      <c r="S38" s="285"/>
      <c r="T38" s="213"/>
      <c r="U38" s="213"/>
      <c r="V38" s="10"/>
      <c r="W38" s="10"/>
      <c r="X38" s="10"/>
      <c r="Y38" s="10"/>
      <c r="Z38" s="10"/>
      <c r="AA38" s="10"/>
    </row>
    <row r="39" spans="2:27" x14ac:dyDescent="0.35">
      <c r="B39" s="12"/>
      <c r="C39" s="14">
        <v>45747</v>
      </c>
      <c r="D39" s="13" t="s">
        <v>115</v>
      </c>
      <c r="E39" s="13" t="s">
        <v>116</v>
      </c>
      <c r="F39" s="10"/>
      <c r="G39" s="220" t="s">
        <v>117</v>
      </c>
      <c r="H39" s="220"/>
      <c r="I39" s="220"/>
      <c r="J39" s="230">
        <f>J18</f>
        <v>492.19999999999936</v>
      </c>
      <c r="K39" s="230"/>
      <c r="L39" s="230">
        <f t="shared" ref="L39" si="17">L18</f>
        <v>666.60000000000036</v>
      </c>
      <c r="M39" s="230"/>
      <c r="N39" s="230">
        <f t="shared" ref="N39" si="18">N18</f>
        <v>708.69999999999982</v>
      </c>
      <c r="O39" s="230"/>
      <c r="P39" s="289"/>
      <c r="Q39" s="290"/>
      <c r="R39" s="290"/>
      <c r="S39" s="291"/>
      <c r="T39" s="230">
        <f t="shared" si="12"/>
        <v>708.69999999999982</v>
      </c>
      <c r="U39" s="230"/>
      <c r="V39" s="10"/>
      <c r="W39" s="1" t="s">
        <v>196</v>
      </c>
      <c r="X39" s="2"/>
      <c r="Y39" s="2"/>
      <c r="Z39" s="2"/>
      <c r="AA39" s="2"/>
    </row>
    <row r="40" spans="2:27" x14ac:dyDescent="0.35">
      <c r="B40" s="12" t="s">
        <v>119</v>
      </c>
      <c r="C40" s="20">
        <f ca="1">IFERROR($E$34/C41,"NA")</f>
        <v>1.2475892182700841</v>
      </c>
      <c r="D40" s="20">
        <f t="shared" ref="D40:E40" ca="1" si="19">IFERROR($E$34/D41,"NA")</f>
        <v>1.1692933364606772</v>
      </c>
      <c r="E40" s="20">
        <f t="shared" ca="1" si="19"/>
        <v>1.0959111273718578</v>
      </c>
      <c r="F40" s="10"/>
      <c r="G40" s="220" t="s">
        <v>106</v>
      </c>
      <c r="H40" s="220"/>
      <c r="I40" s="220"/>
      <c r="J40" s="230">
        <f>J34</f>
        <v>-84.6</v>
      </c>
      <c r="K40" s="230"/>
      <c r="L40" s="230">
        <f t="shared" ref="L40" si="20">L34</f>
        <v>0</v>
      </c>
      <c r="M40" s="230"/>
      <c r="N40" s="230">
        <f t="shared" ref="N40" si="21">N34</f>
        <v>0</v>
      </c>
      <c r="O40" s="230"/>
      <c r="P40" s="289"/>
      <c r="Q40" s="290"/>
      <c r="R40" s="290"/>
      <c r="S40" s="291"/>
      <c r="T40" s="230">
        <f t="shared" si="12"/>
        <v>0</v>
      </c>
      <c r="U40" s="230"/>
      <c r="V40" s="10"/>
      <c r="W40" s="220" t="s">
        <v>120</v>
      </c>
      <c r="X40" s="220"/>
      <c r="Y40" s="220"/>
      <c r="Z40" s="12"/>
      <c r="AA40" s="16" t="s">
        <v>197</v>
      </c>
    </row>
    <row r="41" spans="2:27" x14ac:dyDescent="0.35">
      <c r="B41" s="12" t="s">
        <v>121</v>
      </c>
      <c r="C41" s="20">
        <f>IF(T13=0," -       ",T13)</f>
        <v>7662.8</v>
      </c>
      <c r="D41" s="16">
        <f>IFERROR($N$13*(1+6.696%)," -        ")</f>
        <v>8175.9010879999996</v>
      </c>
      <c r="E41" s="16">
        <f>IFERROR($N$13*(1+6.696%)^2," -        ")</f>
        <v>8723.3594248524787</v>
      </c>
      <c r="F41" s="10"/>
      <c r="G41" s="220" t="s">
        <v>122</v>
      </c>
      <c r="H41" s="220"/>
      <c r="I41" s="220"/>
      <c r="J41" s="233">
        <f>2.1+39.8-15.2+39.3</f>
        <v>66</v>
      </c>
      <c r="K41" s="234"/>
      <c r="L41" s="233">
        <f>9+22.3-21.9+23.6</f>
        <v>33</v>
      </c>
      <c r="M41" s="234"/>
      <c r="N41" s="233">
        <f>26.5+35.8-0.2+15.3</f>
        <v>77.399999999999991</v>
      </c>
      <c r="O41" s="234"/>
      <c r="P41" s="292"/>
      <c r="Q41" s="293"/>
      <c r="R41" s="293"/>
      <c r="S41" s="294"/>
      <c r="T41" s="230">
        <f t="shared" si="12"/>
        <v>77.399999999999991</v>
      </c>
      <c r="U41" s="230"/>
      <c r="V41" s="10"/>
      <c r="W41" s="220" t="s">
        <v>123</v>
      </c>
      <c r="X41" s="220"/>
      <c r="Y41" s="220"/>
      <c r="Z41" s="220"/>
      <c r="AA41" s="20" t="str">
        <f ca="1">Z56</f>
        <v xml:space="preserve">-       </v>
      </c>
    </row>
    <row r="42" spans="2:27" x14ac:dyDescent="0.35">
      <c r="B42" s="12" t="s">
        <v>124</v>
      </c>
      <c r="C42" s="20">
        <f ca="1">IFERROR($E$34/C43,"NA")</f>
        <v>8.6118607889019021</v>
      </c>
      <c r="D42" s="20">
        <f ca="1">IFERROR($E$34/D43,"NA")</f>
        <v>7.8180191267697063</v>
      </c>
      <c r="E42" s="20">
        <f ca="1">IFERROR($E$34/E43,"NA")</f>
        <v>7.0973538198973323</v>
      </c>
      <c r="F42" s="10"/>
      <c r="G42" s="220" t="s">
        <v>125</v>
      </c>
      <c r="H42" s="220"/>
      <c r="I42" s="220"/>
      <c r="J42" s="213">
        <f>IFERROR(J39+J40+J41," -        ")</f>
        <v>473.59999999999934</v>
      </c>
      <c r="K42" s="213"/>
      <c r="L42" s="213">
        <f t="shared" ref="L42" si="22">IFERROR(L39+L40+L41," -        ")</f>
        <v>699.60000000000036</v>
      </c>
      <c r="M42" s="213"/>
      <c r="N42" s="213">
        <f t="shared" ref="N42" si="23">IFERROR(N39+N40+N41," -        ")</f>
        <v>786.0999999999998</v>
      </c>
      <c r="O42" s="213"/>
      <c r="P42" s="283"/>
      <c r="Q42" s="284"/>
      <c r="R42" s="284"/>
      <c r="S42" s="285"/>
      <c r="T42" s="213">
        <f t="shared" si="12"/>
        <v>786.0999999999998</v>
      </c>
      <c r="U42" s="213"/>
      <c r="V42" s="10"/>
      <c r="W42" s="220" t="s">
        <v>126</v>
      </c>
      <c r="X42" s="220"/>
      <c r="Y42" s="220"/>
      <c r="Z42" s="12"/>
      <c r="AA42" s="20" t="str">
        <f ca="1">IFERROR(AA56/E21,"-       ")</f>
        <v xml:space="preserve">-       </v>
      </c>
    </row>
    <row r="43" spans="2:27" x14ac:dyDescent="0.35">
      <c r="B43" s="12" t="s">
        <v>121</v>
      </c>
      <c r="C43" s="20">
        <f>IF(T46=0," -       ",T46)</f>
        <v>1110.0999999999999</v>
      </c>
      <c r="D43" s="16">
        <f>IFERROR($N$46*(1+10.154%)," -        ")</f>
        <v>1222.8195539999999</v>
      </c>
      <c r="E43" s="16">
        <f>IFERROR($N$46*(1+10.154%)^2," -        ")</f>
        <v>1346.9846515131596</v>
      </c>
      <c r="F43" s="10"/>
      <c r="G43" s="220" t="s">
        <v>111</v>
      </c>
      <c r="H43" s="220"/>
      <c r="I43" s="220"/>
      <c r="J43" s="205">
        <f>IFERROR(J42/J13," -        ")</f>
        <v>6.6738064370666733E-2</v>
      </c>
      <c r="K43" s="205"/>
      <c r="L43" s="205">
        <f t="shared" ref="L43" si="24">IFERROR(L42/L13," -        ")</f>
        <v>8.8052055932438089E-2</v>
      </c>
      <c r="M43" s="205"/>
      <c r="N43" s="205">
        <f t="shared" ref="N43" si="25">IFERROR(N42/N13," -        ")</f>
        <v>0.1025865218980007</v>
      </c>
      <c r="O43" s="205"/>
      <c r="P43" s="275"/>
      <c r="Q43" s="276"/>
      <c r="R43" s="276"/>
      <c r="S43" s="277"/>
      <c r="T43" s="205">
        <f t="shared" si="12"/>
        <v>0.1025865218980007</v>
      </c>
      <c r="U43" s="205"/>
      <c r="V43" s="10"/>
      <c r="W43" s="220" t="s">
        <v>127</v>
      </c>
      <c r="X43" s="220"/>
      <c r="Y43" s="220"/>
      <c r="Z43" s="12"/>
      <c r="AA43" s="20" t="str">
        <f ca="1">IFERROR(AA40+AA41-AA42,"-       ")</f>
        <v xml:space="preserve">-       </v>
      </c>
    </row>
    <row r="44" spans="2:27" x14ac:dyDescent="0.35">
      <c r="B44" s="12" t="s">
        <v>128</v>
      </c>
      <c r="C44" s="20">
        <f ca="1">IFERROR($E$34/C45,"NA")</f>
        <v>12.161336549751944</v>
      </c>
      <c r="D44" s="20">
        <f t="shared" ref="D44:E44" ca="1" si="26">IFERROR($E$34/D45,"NA")</f>
        <v>10.885355211822151</v>
      </c>
      <c r="E44" s="20">
        <f t="shared" ca="1" si="26"/>
        <v>9.743251295019915</v>
      </c>
      <c r="F44" s="10"/>
      <c r="G44" s="220"/>
      <c r="H44" s="220"/>
      <c r="I44" s="220"/>
      <c r="J44" s="213"/>
      <c r="K44" s="213"/>
      <c r="L44" s="213"/>
      <c r="M44" s="213"/>
      <c r="N44" s="213"/>
      <c r="O44" s="213"/>
      <c r="P44" s="283"/>
      <c r="Q44" s="284"/>
      <c r="R44" s="284"/>
      <c r="S44" s="285"/>
      <c r="T44" s="213"/>
      <c r="U44" s="213"/>
      <c r="V44" s="10"/>
      <c r="W44" s="220" t="s">
        <v>129</v>
      </c>
      <c r="X44" s="220"/>
      <c r="Y44" s="220"/>
      <c r="Z44" s="12"/>
      <c r="AA44" s="20" t="str">
        <f>AA66</f>
        <v xml:space="preserve">-       </v>
      </c>
    </row>
    <row r="45" spans="2:27" x14ac:dyDescent="0.35">
      <c r="B45" s="12" t="s">
        <v>121</v>
      </c>
      <c r="C45" s="20">
        <f>IF(T42=0," -       ",T42)</f>
        <v>786.0999999999998</v>
      </c>
      <c r="D45" s="16">
        <f>IFERROR($N$42*(1+11.722%)," -        ")</f>
        <v>878.24664199999984</v>
      </c>
      <c r="E45" s="16">
        <f>IFERROR($N$42*(1+11.722%)^2," -        ")</f>
        <v>981.19471337523998</v>
      </c>
      <c r="F45" s="10"/>
      <c r="G45" s="220" t="s">
        <v>130</v>
      </c>
      <c r="H45" s="220"/>
      <c r="I45" s="220"/>
      <c r="J45" s="230">
        <f>J63</f>
        <v>345.6</v>
      </c>
      <c r="K45" s="230"/>
      <c r="L45" s="230">
        <f t="shared" ref="L45" si="27">L63</f>
        <v>280.39999999999998</v>
      </c>
      <c r="M45" s="230"/>
      <c r="N45" s="230">
        <f t="shared" ref="N45" si="28">N63</f>
        <v>324</v>
      </c>
      <c r="O45" s="230"/>
      <c r="P45" s="289"/>
      <c r="Q45" s="290"/>
      <c r="R45" s="290"/>
      <c r="S45" s="291"/>
      <c r="T45" s="230">
        <f t="shared" si="12"/>
        <v>324</v>
      </c>
      <c r="U45" s="230"/>
      <c r="V45" s="10"/>
      <c r="W45" s="229" t="s">
        <v>131</v>
      </c>
      <c r="X45" s="229"/>
      <c r="Y45" s="229"/>
      <c r="Z45" s="12"/>
      <c r="AA45" s="32" t="str">
        <f ca="1">IFERROR(AA43+AA44,"-       ")</f>
        <v xml:space="preserve">-       </v>
      </c>
    </row>
    <row r="46" spans="2:27" x14ac:dyDescent="0.35">
      <c r="B46" s="12" t="s">
        <v>132</v>
      </c>
      <c r="C46" s="20">
        <f ca="1">IFERROR($E$21/C47,"NA")</f>
        <v>14.355941025085786</v>
      </c>
      <c r="D46" s="20">
        <f t="shared" ref="D46:E46" ca="1" si="29">IFERROR($E$21/D47,"NA")</f>
        <v>13.25938951240952</v>
      </c>
      <c r="E46" s="20">
        <f t="shared" ca="1" si="29"/>
        <v>12.246596021436703</v>
      </c>
      <c r="F46" s="10"/>
      <c r="G46" s="220" t="s">
        <v>133</v>
      </c>
      <c r="H46" s="220"/>
      <c r="I46" s="220"/>
      <c r="J46" s="230">
        <f>IFERROR(J42+J45," -        ")</f>
        <v>819.19999999999936</v>
      </c>
      <c r="K46" s="230"/>
      <c r="L46" s="230">
        <f t="shared" ref="L46" si="30">IFERROR(L42+L45," -        ")</f>
        <v>980.00000000000034</v>
      </c>
      <c r="M46" s="230"/>
      <c r="N46" s="230">
        <f t="shared" ref="N46" si="31">IFERROR(N42+N45," -        ")</f>
        <v>1110.0999999999999</v>
      </c>
      <c r="O46" s="230"/>
      <c r="P46" s="289"/>
      <c r="Q46" s="290"/>
      <c r="R46" s="290"/>
      <c r="S46" s="291"/>
      <c r="T46" s="230">
        <f t="shared" si="12"/>
        <v>1110.0999999999999</v>
      </c>
      <c r="U46" s="230"/>
      <c r="V46" s="10"/>
      <c r="W46" s="12"/>
      <c r="X46" s="12"/>
      <c r="Y46" s="12"/>
      <c r="Z46" s="12"/>
      <c r="AA46" s="25"/>
    </row>
    <row r="47" spans="2:27" x14ac:dyDescent="0.35">
      <c r="B47" s="12" t="s">
        <v>121</v>
      </c>
      <c r="C47" s="20">
        <f>IF(T59=0," -       ",T59)</f>
        <v>1.0943204609539781</v>
      </c>
      <c r="D47" s="16">
        <f>IFERROR($N$59*(1+8.27%)," -        ")</f>
        <v>1.1848207630748719</v>
      </c>
      <c r="E47" s="16">
        <f>IFERROR($N$59*(1+8.27%)^2," -        ")</f>
        <v>1.2828054401811639</v>
      </c>
      <c r="F47" s="10"/>
      <c r="G47" s="220" t="s">
        <v>111</v>
      </c>
      <c r="H47" s="220"/>
      <c r="I47" s="220"/>
      <c r="J47" s="205">
        <f>IFERROR(J46/J13," -        ")</f>
        <v>0.11543881404655873</v>
      </c>
      <c r="K47" s="205"/>
      <c r="L47" s="205">
        <f t="shared" ref="L47" si="32">IFERROR(L46/L13," -        ")</f>
        <v>0.12334336022554218</v>
      </c>
      <c r="M47" s="205"/>
      <c r="N47" s="205">
        <f t="shared" ref="N47" si="33">IFERROR(N46/N13," -        ")</f>
        <v>0.14486871639609541</v>
      </c>
      <c r="O47" s="205"/>
      <c r="P47" s="275"/>
      <c r="Q47" s="276"/>
      <c r="R47" s="276"/>
      <c r="S47" s="277"/>
      <c r="T47" s="205">
        <f t="shared" si="12"/>
        <v>0.14486871639609541</v>
      </c>
      <c r="U47" s="205"/>
      <c r="V47" s="10"/>
      <c r="W47" s="229" t="s">
        <v>134</v>
      </c>
      <c r="X47" s="229"/>
      <c r="Y47" s="229"/>
      <c r="Z47" s="12"/>
      <c r="AA47" s="25"/>
    </row>
    <row r="48" spans="2:27" x14ac:dyDescent="0.35">
      <c r="B48" s="10"/>
      <c r="C48" s="10"/>
      <c r="D48" s="10"/>
      <c r="E48" s="10"/>
      <c r="F48" s="10"/>
      <c r="G48" s="220"/>
      <c r="H48" s="220"/>
      <c r="I48" s="220"/>
      <c r="J48" s="213"/>
      <c r="K48" s="213"/>
      <c r="L48" s="213"/>
      <c r="M48" s="213"/>
      <c r="N48" s="213"/>
      <c r="O48" s="213"/>
      <c r="P48" s="283"/>
      <c r="Q48" s="284"/>
      <c r="R48" s="284"/>
      <c r="S48" s="285"/>
      <c r="T48" s="213"/>
      <c r="U48" s="213"/>
      <c r="V48" s="10"/>
      <c r="W48" s="33"/>
      <c r="X48" s="33" t="s">
        <v>135</v>
      </c>
      <c r="Y48" s="33" t="s">
        <v>136</v>
      </c>
      <c r="Z48" s="33" t="s">
        <v>137</v>
      </c>
      <c r="AA48" s="33"/>
    </row>
    <row r="49" spans="2:27" ht="15" thickBot="1" x14ac:dyDescent="0.4">
      <c r="B49" s="8" t="s">
        <v>138</v>
      </c>
      <c r="C49" s="9"/>
      <c r="D49" s="9"/>
      <c r="E49" s="9"/>
      <c r="F49" s="10"/>
      <c r="G49" s="220" t="s">
        <v>139</v>
      </c>
      <c r="H49" s="220"/>
      <c r="I49" s="220"/>
      <c r="J49" s="213">
        <f>J25</f>
        <v>259.99999999999937</v>
      </c>
      <c r="K49" s="213"/>
      <c r="L49" s="213">
        <f t="shared" ref="L49" si="34">L25</f>
        <v>428.00000000000034</v>
      </c>
      <c r="M49" s="213"/>
      <c r="N49" s="213">
        <f t="shared" ref="N49" si="35">N25</f>
        <v>294.39999999999981</v>
      </c>
      <c r="O49" s="213"/>
      <c r="P49" s="283"/>
      <c r="Q49" s="284"/>
      <c r="R49" s="284"/>
      <c r="S49" s="285"/>
      <c r="T49" s="213">
        <f t="shared" si="12"/>
        <v>294.39999999999981</v>
      </c>
      <c r="U49" s="213"/>
      <c r="V49" s="10"/>
      <c r="W49" s="33" t="s">
        <v>140</v>
      </c>
      <c r="X49" s="33" t="s">
        <v>141</v>
      </c>
      <c r="Y49" s="33" t="s">
        <v>142</v>
      </c>
      <c r="Z49" s="33" t="s">
        <v>141</v>
      </c>
      <c r="AA49" s="33" t="s">
        <v>143</v>
      </c>
    </row>
    <row r="50" spans="2:27" ht="2" customHeight="1" x14ac:dyDescent="0.35">
      <c r="B50" s="2"/>
      <c r="C50" s="2"/>
      <c r="D50" s="2"/>
      <c r="E50" s="2"/>
      <c r="F50" s="10"/>
      <c r="G50" s="220"/>
      <c r="H50" s="220"/>
      <c r="I50" s="220"/>
      <c r="J50" s="213"/>
      <c r="K50" s="213"/>
      <c r="L50" s="213"/>
      <c r="M50" s="213"/>
      <c r="N50" s="213"/>
      <c r="O50" s="213"/>
      <c r="P50" s="283"/>
      <c r="Q50" s="284"/>
      <c r="R50" s="284"/>
      <c r="S50" s="285"/>
      <c r="T50" s="213">
        <f t="shared" si="12"/>
        <v>0</v>
      </c>
      <c r="U50" s="213"/>
      <c r="V50" s="10"/>
      <c r="W50" s="12"/>
      <c r="X50" s="34"/>
      <c r="Y50" s="34"/>
      <c r="Z50" s="12"/>
      <c r="AA50" s="12"/>
    </row>
    <row r="51" spans="2:27" x14ac:dyDescent="0.35">
      <c r="B51" s="220" t="s">
        <v>144</v>
      </c>
      <c r="C51" s="220"/>
      <c r="D51" s="220"/>
      <c r="E51" s="26">
        <f>IFERROR((T42*(1-T26))/(Z15-AA26+Z17+Z18),"-       ")</f>
        <v>7.5485363106386955E-2</v>
      </c>
      <c r="F51" s="10"/>
      <c r="G51" s="220" t="s">
        <v>145</v>
      </c>
      <c r="H51" s="220"/>
      <c r="I51" s="220"/>
      <c r="J51" s="213">
        <f>J34</f>
        <v>-84.6</v>
      </c>
      <c r="K51" s="213"/>
      <c r="L51" s="213">
        <f t="shared" ref="L51" si="36">L34</f>
        <v>0</v>
      </c>
      <c r="M51" s="213"/>
      <c r="N51" s="213">
        <f t="shared" ref="N51" si="37">N34</f>
        <v>0</v>
      </c>
      <c r="O51" s="213"/>
      <c r="P51" s="283"/>
      <c r="Q51" s="284"/>
      <c r="R51" s="284"/>
      <c r="S51" s="285"/>
      <c r="T51" s="213">
        <f t="shared" si="12"/>
        <v>0</v>
      </c>
      <c r="U51" s="213"/>
      <c r="V51" s="10"/>
      <c r="W51" s="12" t="s">
        <v>146</v>
      </c>
      <c r="X51" s="38" t="s">
        <v>197</v>
      </c>
      <c r="Y51" s="16" t="s">
        <v>197</v>
      </c>
      <c r="Z51" s="30" t="str">
        <f ca="1">IF($E$21&gt;Y51,X51,"-       ")</f>
        <v xml:space="preserve">-       </v>
      </c>
      <c r="AA51" s="30" t="str">
        <f ca="1">IFERROR(Z51*Y51,"-       ")</f>
        <v xml:space="preserve">-       </v>
      </c>
    </row>
    <row r="52" spans="2:27" x14ac:dyDescent="0.35">
      <c r="B52" s="220" t="s">
        <v>147</v>
      </c>
      <c r="C52" s="220"/>
      <c r="D52" s="220"/>
      <c r="E52" s="26">
        <f>IFERROR(T55/AA34,"-       ")</f>
        <v>0.11764969724153393</v>
      </c>
      <c r="F52" s="10"/>
      <c r="G52" s="220" t="s">
        <v>122</v>
      </c>
      <c r="H52" s="220"/>
      <c r="I52" s="220"/>
      <c r="J52" s="213">
        <f>J41</f>
        <v>66</v>
      </c>
      <c r="K52" s="213"/>
      <c r="L52" s="213">
        <f t="shared" ref="L52" si="38">L41</f>
        <v>33</v>
      </c>
      <c r="M52" s="213"/>
      <c r="N52" s="213">
        <f t="shared" ref="N52" si="39">N41</f>
        <v>77.399999999999991</v>
      </c>
      <c r="O52" s="213"/>
      <c r="P52" s="283"/>
      <c r="Q52" s="284"/>
      <c r="R52" s="284"/>
      <c r="S52" s="285"/>
      <c r="T52" s="213">
        <f t="shared" si="12"/>
        <v>77.399999999999991</v>
      </c>
      <c r="U52" s="213"/>
      <c r="V52" s="10"/>
      <c r="W52" s="12" t="s">
        <v>148</v>
      </c>
      <c r="X52" s="38" t="s">
        <v>197</v>
      </c>
      <c r="Y52" s="16" t="s">
        <v>197</v>
      </c>
      <c r="Z52" s="30" t="str">
        <f t="shared" ref="Z52:Z55" ca="1" si="40">IF($E$21&gt;Y52,X52,"-       ")</f>
        <v xml:space="preserve">-       </v>
      </c>
      <c r="AA52" s="30" t="str">
        <f t="shared" ref="AA52:AA55" ca="1" si="41">IFERROR(Z52*Y52,"-       ")</f>
        <v xml:space="preserve">-       </v>
      </c>
    </row>
    <row r="53" spans="2:27" x14ac:dyDescent="0.35">
      <c r="B53" s="220" t="s">
        <v>149</v>
      </c>
      <c r="C53" s="220"/>
      <c r="D53" s="220"/>
      <c r="E53" s="26">
        <f>IFERROR(T55/Z21,"-       ")</f>
        <v>5.465551191356801E-2</v>
      </c>
      <c r="F53" s="10"/>
      <c r="G53" s="220" t="s">
        <v>150</v>
      </c>
      <c r="H53" s="220"/>
      <c r="I53" s="220"/>
      <c r="J53" s="209">
        <f>-45.3-32.7-13.4-89.9</f>
        <v>-181.3</v>
      </c>
      <c r="K53" s="210"/>
      <c r="L53" s="209">
        <f>-71.1-67.6-26.6</f>
        <v>-165.29999999999998</v>
      </c>
      <c r="M53" s="210"/>
      <c r="N53" s="209">
        <f>-95.7+221.9+26.6</f>
        <v>152.80000000000001</v>
      </c>
      <c r="O53" s="210"/>
      <c r="P53" s="269"/>
      <c r="Q53" s="270"/>
      <c r="R53" s="271"/>
      <c r="S53" s="272"/>
      <c r="T53" s="213">
        <f t="shared" si="12"/>
        <v>152.80000000000001</v>
      </c>
      <c r="U53" s="213"/>
      <c r="V53" s="10"/>
      <c r="W53" s="12" t="s">
        <v>151</v>
      </c>
      <c r="X53" s="38" t="s">
        <v>197</v>
      </c>
      <c r="Y53" s="16" t="s">
        <v>197</v>
      </c>
      <c r="Z53" s="30" t="str">
        <f t="shared" ca="1" si="40"/>
        <v xml:space="preserve">-       </v>
      </c>
      <c r="AA53" s="30" t="str">
        <f t="shared" ca="1" si="41"/>
        <v xml:space="preserve">-       </v>
      </c>
    </row>
    <row r="54" spans="2:27" x14ac:dyDescent="0.35">
      <c r="B54" s="220" t="s">
        <v>207</v>
      </c>
      <c r="C54" s="220"/>
      <c r="D54" s="220"/>
      <c r="E54" s="26">
        <f ca="1">IFERROR(E14*4/E21,"NA")</f>
        <v>3.5646085295989817E-2</v>
      </c>
      <c r="F54" s="10"/>
      <c r="G54" s="220" t="s">
        <v>153</v>
      </c>
      <c r="H54" s="220"/>
      <c r="I54" s="220"/>
      <c r="J54" s="213">
        <v>0</v>
      </c>
      <c r="K54" s="213"/>
      <c r="L54" s="213">
        <v>0</v>
      </c>
      <c r="M54" s="213"/>
      <c r="N54" s="213">
        <v>0</v>
      </c>
      <c r="O54" s="213"/>
      <c r="P54" s="283"/>
      <c r="Q54" s="284"/>
      <c r="R54" s="284"/>
      <c r="S54" s="285"/>
      <c r="T54" s="213">
        <f t="shared" si="12"/>
        <v>0</v>
      </c>
      <c r="U54" s="213"/>
      <c r="V54" s="10"/>
      <c r="W54" s="12" t="s">
        <v>154</v>
      </c>
      <c r="X54" s="38" t="s">
        <v>197</v>
      </c>
      <c r="Y54" s="16" t="s">
        <v>197</v>
      </c>
      <c r="Z54" s="30" t="str">
        <f t="shared" ca="1" si="40"/>
        <v xml:space="preserve">-       </v>
      </c>
      <c r="AA54" s="30" t="str">
        <f ca="1">IFERROR(Z54*Y54,"-       ")</f>
        <v xml:space="preserve">-       </v>
      </c>
    </row>
    <row r="55" spans="2:27" x14ac:dyDescent="0.35">
      <c r="B55" s="10"/>
      <c r="C55" s="10"/>
      <c r="D55" s="10"/>
      <c r="E55" s="10"/>
      <c r="F55" s="10"/>
      <c r="G55" s="220" t="s">
        <v>155</v>
      </c>
      <c r="H55" s="220"/>
      <c r="I55" s="220"/>
      <c r="J55" s="213">
        <f>IFERROR(J49+J51+J52+J53+J54," -        ")</f>
        <v>60.099999999999369</v>
      </c>
      <c r="K55" s="213"/>
      <c r="L55" s="213">
        <f t="shared" ref="L55" si="42">IFERROR(L49+L51+L52+L53+L54," -        ")</f>
        <v>295.70000000000039</v>
      </c>
      <c r="M55" s="213"/>
      <c r="N55" s="213">
        <f t="shared" ref="N55" si="43">IFERROR(N49+N51+N52+N53+N54," -        ")</f>
        <v>524.5999999999998</v>
      </c>
      <c r="O55" s="213"/>
      <c r="P55" s="283"/>
      <c r="Q55" s="284"/>
      <c r="R55" s="284"/>
      <c r="S55" s="285"/>
      <c r="T55" s="213">
        <f t="shared" si="12"/>
        <v>524.5999999999998</v>
      </c>
      <c r="U55" s="213"/>
      <c r="V55" s="10"/>
      <c r="W55" s="12" t="s">
        <v>156</v>
      </c>
      <c r="X55" s="38" t="s">
        <v>197</v>
      </c>
      <c r="Y55" s="16" t="s">
        <v>197</v>
      </c>
      <c r="Z55" s="30" t="str">
        <f t="shared" ca="1" si="40"/>
        <v xml:space="preserve">-       </v>
      </c>
      <c r="AA55" s="30" t="str">
        <f t="shared" ca="1" si="41"/>
        <v xml:space="preserve">-       </v>
      </c>
    </row>
    <row r="56" spans="2:27" ht="15" thickBot="1" x14ac:dyDescent="0.4">
      <c r="B56" s="8" t="s">
        <v>157</v>
      </c>
      <c r="C56" s="9"/>
      <c r="D56" s="9"/>
      <c r="E56" s="9"/>
      <c r="F56" s="10"/>
      <c r="G56" s="220" t="s">
        <v>111</v>
      </c>
      <c r="H56" s="220"/>
      <c r="I56" s="220"/>
      <c r="J56" s="205">
        <f>IFERROR(J55/J13," -        ")</f>
        <v>8.469082915280899E-3</v>
      </c>
      <c r="K56" s="205"/>
      <c r="L56" s="205">
        <f t="shared" ref="L56" si="44">IFERROR(L55/L13," -        ")</f>
        <v>3.7216971039482509E-2</v>
      </c>
      <c r="M56" s="205"/>
      <c r="N56" s="205">
        <f t="shared" ref="N56" si="45">IFERROR(N55/N13," -        ")</f>
        <v>6.84606149188286E-2</v>
      </c>
      <c r="O56" s="205"/>
      <c r="P56" s="275" t="str">
        <f t="shared" ref="P56" si="46">IFERROR(P55/P13," -        ")</f>
        <v xml:space="preserve"> -        </v>
      </c>
      <c r="Q56" s="276"/>
      <c r="R56" s="276" t="str">
        <f t="shared" ref="R56" si="47">IFERROR(R55/R13," -        ")</f>
        <v xml:space="preserve"> -        </v>
      </c>
      <c r="S56" s="277"/>
      <c r="T56" s="205">
        <f t="shared" ref="T56" si="48">IFERROR(T55/T13," -        ")</f>
        <v>6.84606149188286E-2</v>
      </c>
      <c r="U56" s="205"/>
      <c r="V56" s="10"/>
      <c r="W56" s="18" t="s">
        <v>158</v>
      </c>
      <c r="X56" s="45" t="str">
        <f>IFERROR(X51+X52+X53+X54+X55,"-       ")</f>
        <v xml:space="preserve">-       </v>
      </c>
      <c r="Y56" s="45"/>
      <c r="Z56" s="45" t="str">
        <f ca="1">IFERROR(Z51+Z52+Z53+Z54+Z55,"-       ")</f>
        <v xml:space="preserve">-       </v>
      </c>
      <c r="AA56" s="45" t="str">
        <f ca="1">IF(SUM(AA51:AA55)=0,"-       ",SUM(AA51:AA55))</f>
        <v xml:space="preserve">-       </v>
      </c>
    </row>
    <row r="57" spans="2:27" ht="3.5" customHeight="1" x14ac:dyDescent="0.35">
      <c r="B57" s="2"/>
      <c r="C57" s="2"/>
      <c r="D57" s="2"/>
      <c r="E57" s="2"/>
      <c r="F57" s="10"/>
      <c r="G57" s="220"/>
      <c r="H57" s="220"/>
      <c r="I57" s="220"/>
      <c r="J57" s="224"/>
      <c r="K57" s="224"/>
      <c r="L57" s="224"/>
      <c r="M57" s="224"/>
      <c r="N57" s="224"/>
      <c r="O57" s="224"/>
      <c r="P57" s="286"/>
      <c r="Q57" s="287"/>
      <c r="R57" s="287"/>
      <c r="S57" s="288"/>
      <c r="T57" s="224"/>
      <c r="U57" s="224"/>
      <c r="V57" s="10"/>
      <c r="W57" s="12"/>
      <c r="X57" s="12"/>
      <c r="Y57" s="12"/>
      <c r="Z57" s="12"/>
      <c r="AA57" s="12"/>
    </row>
    <row r="58" spans="2:27" x14ac:dyDescent="0.35">
      <c r="B58" s="220" t="s">
        <v>198</v>
      </c>
      <c r="C58" s="220"/>
      <c r="D58" s="220"/>
      <c r="E58" s="26">
        <f ca="1">IFERROR(AA28/(E27*E21),"-       ")</f>
        <v>0.31226403506675521</v>
      </c>
      <c r="F58" s="10"/>
      <c r="G58" s="220"/>
      <c r="H58" s="220"/>
      <c r="I58" s="220"/>
      <c r="J58" s="213"/>
      <c r="K58" s="213"/>
      <c r="L58" s="213"/>
      <c r="M58" s="213"/>
      <c r="N58" s="213"/>
      <c r="O58" s="213"/>
      <c r="P58" s="283"/>
      <c r="Q58" s="284"/>
      <c r="R58" s="284"/>
      <c r="S58" s="285"/>
      <c r="T58" s="213"/>
      <c r="U58" s="213"/>
      <c r="V58" s="10"/>
      <c r="W58" s="18" t="s">
        <v>160</v>
      </c>
      <c r="X58" s="12"/>
      <c r="Y58" s="12"/>
      <c r="Z58" s="12"/>
      <c r="AA58" s="12"/>
    </row>
    <row r="59" spans="2:27" ht="15" thickBot="1" x14ac:dyDescent="0.4">
      <c r="B59" s="220" t="s">
        <v>161</v>
      </c>
      <c r="C59" s="220"/>
      <c r="D59" s="220"/>
      <c r="E59" s="37">
        <f>IFERROR((AA28+AA24)/T46,"-       ")</f>
        <v>2.2709665795874248</v>
      </c>
      <c r="F59" s="10"/>
      <c r="G59" s="220" t="s">
        <v>162</v>
      </c>
      <c r="H59" s="220"/>
      <c r="I59" s="220"/>
      <c r="J59" s="213">
        <f>IFERROR(J55/J28," -        ")</f>
        <v>0.14399624764466851</v>
      </c>
      <c r="K59" s="213"/>
      <c r="L59" s="213">
        <f>IFERROR(L55/L28," -        ")</f>
        <v>0.64548928171596553</v>
      </c>
      <c r="M59" s="213"/>
      <c r="N59" s="213">
        <f>IFERROR(N55/N28," -        ")</f>
        <v>1.0943204609539781</v>
      </c>
      <c r="O59" s="213"/>
      <c r="P59" s="282" t="str">
        <f>IFERROR(P55/P28," -        ")</f>
        <v xml:space="preserve"> -        </v>
      </c>
      <c r="Q59" s="278"/>
      <c r="R59" s="278" t="str">
        <f>IFERROR(R55/R28," -        ")</f>
        <v xml:space="preserve"> -        </v>
      </c>
      <c r="S59" s="279"/>
      <c r="T59" s="213">
        <f>IFERROR(T55/T28," -        ")</f>
        <v>1.0943204609539781</v>
      </c>
      <c r="U59" s="213"/>
      <c r="V59" s="10"/>
      <c r="W59" s="12"/>
      <c r="X59" s="33"/>
      <c r="Y59" s="33" t="s">
        <v>163</v>
      </c>
      <c r="Z59" s="33" t="s">
        <v>163</v>
      </c>
      <c r="AA59" s="33" t="s">
        <v>164</v>
      </c>
    </row>
    <row r="60" spans="2:27" x14ac:dyDescent="0.35">
      <c r="B60" s="220" t="s">
        <v>165</v>
      </c>
      <c r="C60" s="220"/>
      <c r="D60" s="220"/>
      <c r="E60" s="37">
        <f>IFERROR((AA28+AA24-Z11)/T46,"-       ")</f>
        <v>1.7478605531033242</v>
      </c>
      <c r="F60" s="10"/>
      <c r="G60" s="10"/>
      <c r="H60" s="10"/>
      <c r="I60" s="10"/>
      <c r="J60" s="10"/>
      <c r="K60" s="10"/>
      <c r="L60" s="10"/>
      <c r="M60" s="10"/>
      <c r="N60" s="10"/>
      <c r="O60" s="10"/>
      <c r="P60" s="10"/>
      <c r="Q60" s="10"/>
      <c r="R60" s="10"/>
      <c r="S60" s="10"/>
      <c r="T60" s="10"/>
      <c r="U60" s="10"/>
      <c r="V60" s="10"/>
      <c r="W60" s="12"/>
      <c r="X60" s="33" t="s">
        <v>166</v>
      </c>
      <c r="Y60" s="33" t="s">
        <v>142</v>
      </c>
      <c r="Z60" s="33" t="s">
        <v>167</v>
      </c>
      <c r="AA60" s="33" t="s">
        <v>141</v>
      </c>
    </row>
    <row r="61" spans="2:27" x14ac:dyDescent="0.35">
      <c r="B61" s="220" t="s">
        <v>168</v>
      </c>
      <c r="C61" s="220"/>
      <c r="D61" s="220"/>
      <c r="E61" s="37">
        <f>IFERROR(T46/T19,"-       ")</f>
        <v>5.8059623430962342</v>
      </c>
      <c r="F61" s="10"/>
      <c r="G61" s="10"/>
      <c r="H61" s="10"/>
      <c r="I61" s="10"/>
      <c r="J61" s="10"/>
      <c r="K61" s="10"/>
      <c r="L61" s="10"/>
      <c r="M61" s="10"/>
      <c r="N61" s="10"/>
      <c r="O61" s="10"/>
      <c r="P61" s="10"/>
      <c r="Q61" s="10"/>
      <c r="R61" s="10"/>
      <c r="S61" s="10"/>
      <c r="T61" s="10"/>
      <c r="U61" s="10"/>
      <c r="V61" s="10"/>
      <c r="W61" s="12" t="s">
        <v>169</v>
      </c>
      <c r="X61" s="38" t="s">
        <v>197</v>
      </c>
      <c r="Y61" s="38" t="s">
        <v>197</v>
      </c>
      <c r="Z61" s="38" t="s">
        <v>197</v>
      </c>
      <c r="AA61" s="30" t="str">
        <f>IFERROR(X61/Y61*Z61,"-       ")</f>
        <v xml:space="preserve">-       </v>
      </c>
    </row>
    <row r="62" spans="2:27" ht="15" thickBot="1" x14ac:dyDescent="0.4">
      <c r="B62" s="220" t="s">
        <v>170</v>
      </c>
      <c r="C62" s="220"/>
      <c r="D62" s="220"/>
      <c r="E62" s="37">
        <f>IFERROR((T46-T65)/T19,"-       ")</f>
        <v>3.5292887029288704</v>
      </c>
      <c r="F62" s="10"/>
      <c r="G62" s="1" t="s">
        <v>171</v>
      </c>
      <c r="H62" s="2"/>
      <c r="I62" s="2"/>
      <c r="J62" s="2"/>
      <c r="K62" s="2"/>
      <c r="L62" s="2"/>
      <c r="M62" s="2"/>
      <c r="N62" s="2"/>
      <c r="O62" s="2"/>
      <c r="P62" s="2"/>
      <c r="Q62" s="2"/>
      <c r="R62" s="2"/>
      <c r="S62" s="2"/>
      <c r="T62" s="2"/>
      <c r="U62" s="2"/>
      <c r="V62" s="10"/>
      <c r="W62" s="12" t="s">
        <v>172</v>
      </c>
      <c r="X62" s="38" t="s">
        <v>197</v>
      </c>
      <c r="Y62" s="38" t="s">
        <v>197</v>
      </c>
      <c r="Z62" s="38" t="s">
        <v>197</v>
      </c>
      <c r="AA62" s="30" t="str">
        <f t="shared" ref="AA62:AA65" si="49">IFERROR(X62/Y62*Z62,"-       ")</f>
        <v xml:space="preserve">-       </v>
      </c>
    </row>
    <row r="63" spans="2:27" x14ac:dyDescent="0.35">
      <c r="B63" s="220" t="s">
        <v>173</v>
      </c>
      <c r="C63" s="220"/>
      <c r="D63" s="220"/>
      <c r="E63" s="37">
        <f>IFERROR(T42/T19,"-       ")</f>
        <v>4.1114016736401666</v>
      </c>
      <c r="F63" s="10"/>
      <c r="G63" s="12" t="s">
        <v>130</v>
      </c>
      <c r="H63" s="12"/>
      <c r="I63" s="12"/>
      <c r="J63" s="209">
        <v>345.6</v>
      </c>
      <c r="K63" s="210"/>
      <c r="L63" s="209">
        <v>280.39999999999998</v>
      </c>
      <c r="M63" s="210"/>
      <c r="N63" s="209">
        <v>324</v>
      </c>
      <c r="O63" s="210"/>
      <c r="P63" s="280"/>
      <c r="Q63" s="281"/>
      <c r="R63" s="273"/>
      <c r="S63" s="274"/>
      <c r="T63" s="213">
        <f t="shared" ref="T63:T66" si="50">IFERROR(N63+R63-P63," -        ")</f>
        <v>324</v>
      </c>
      <c r="U63" s="213"/>
      <c r="V63" s="10"/>
      <c r="W63" s="12" t="s">
        <v>174</v>
      </c>
      <c r="X63" s="38" t="s">
        <v>197</v>
      </c>
      <c r="Y63" s="38" t="s">
        <v>197</v>
      </c>
      <c r="Z63" s="38" t="s">
        <v>197</v>
      </c>
      <c r="AA63" s="30" t="str">
        <f t="shared" si="49"/>
        <v xml:space="preserve">-       </v>
      </c>
    </row>
    <row r="64" spans="2:27" x14ac:dyDescent="0.35">
      <c r="B64" s="10"/>
      <c r="C64" s="10"/>
      <c r="D64" s="10"/>
      <c r="E64" s="10"/>
      <c r="F64" s="10"/>
      <c r="G64" s="12" t="s">
        <v>175</v>
      </c>
      <c r="H64" s="12"/>
      <c r="I64" s="12"/>
      <c r="J64" s="205">
        <f>IFERROR(J63/J13," -        ")</f>
        <v>4.8700749675892011E-2</v>
      </c>
      <c r="K64" s="205"/>
      <c r="L64" s="205">
        <f t="shared" ref="L64" si="51">IFERROR(L63/L13," -        ")</f>
        <v>3.5291304293104099E-2</v>
      </c>
      <c r="M64" s="205"/>
      <c r="N64" s="205">
        <f t="shared" ref="N64" si="52">IFERROR(N63/N13," -        ")</f>
        <v>4.2282194498094693E-2</v>
      </c>
      <c r="O64" s="205"/>
      <c r="P64" s="275"/>
      <c r="Q64" s="276"/>
      <c r="R64" s="276"/>
      <c r="S64" s="277"/>
      <c r="T64" s="205">
        <f t="shared" si="50"/>
        <v>4.2282194498094693E-2</v>
      </c>
      <c r="U64" s="205"/>
      <c r="V64" s="10"/>
      <c r="W64" s="12" t="s">
        <v>176</v>
      </c>
      <c r="X64" s="38" t="s">
        <v>197</v>
      </c>
      <c r="Y64" s="38" t="s">
        <v>197</v>
      </c>
      <c r="Z64" s="38" t="s">
        <v>197</v>
      </c>
      <c r="AA64" s="30" t="str">
        <f t="shared" si="49"/>
        <v xml:space="preserve">-       </v>
      </c>
    </row>
    <row r="65" spans="2:27" x14ac:dyDescent="0.35">
      <c r="B65" s="1" t="s">
        <v>177</v>
      </c>
      <c r="C65" s="2"/>
      <c r="D65" s="2"/>
      <c r="E65" s="2"/>
      <c r="F65" s="10"/>
      <c r="G65" s="12" t="s">
        <v>178</v>
      </c>
      <c r="H65" s="12"/>
      <c r="I65" s="12"/>
      <c r="J65" s="209">
        <v>319.10000000000002</v>
      </c>
      <c r="K65" s="210"/>
      <c r="L65" s="209">
        <v>418.1</v>
      </c>
      <c r="M65" s="210"/>
      <c r="N65" s="209">
        <v>435.3</v>
      </c>
      <c r="O65" s="210"/>
      <c r="P65" s="269"/>
      <c r="Q65" s="270"/>
      <c r="R65" s="271"/>
      <c r="S65" s="272"/>
      <c r="T65" s="213">
        <f t="shared" si="50"/>
        <v>435.3</v>
      </c>
      <c r="U65" s="213"/>
      <c r="V65" s="10"/>
      <c r="W65" s="12" t="s">
        <v>179</v>
      </c>
      <c r="X65" s="38" t="s">
        <v>197</v>
      </c>
      <c r="Y65" s="38" t="s">
        <v>197</v>
      </c>
      <c r="Z65" s="38" t="s">
        <v>197</v>
      </c>
      <c r="AA65" s="30" t="str">
        <f t="shared" si="49"/>
        <v xml:space="preserve">-       </v>
      </c>
    </row>
    <row r="66" spans="2:27" ht="15" thickBot="1" x14ac:dyDescent="0.4">
      <c r="B66" s="12"/>
      <c r="C66" s="13" t="s">
        <v>8</v>
      </c>
      <c r="D66" s="13" t="s">
        <v>180</v>
      </c>
      <c r="E66" s="13" t="s">
        <v>181</v>
      </c>
      <c r="F66" s="10"/>
      <c r="G66" s="12" t="s">
        <v>175</v>
      </c>
      <c r="H66" s="12"/>
      <c r="I66" s="12"/>
      <c r="J66" s="205">
        <f>IFERROR(J65/J13," -        ")</f>
        <v>4.4966461867989409E-2</v>
      </c>
      <c r="K66" s="205"/>
      <c r="L66" s="205">
        <f>IFERROR(L65/L13," -        ")</f>
        <v>5.2622305010509358E-2</v>
      </c>
      <c r="M66" s="205"/>
      <c r="N66" s="205">
        <f t="shared" ref="N66" si="53">IFERROR(N65/N13," -        ")</f>
        <v>5.6806911311792031E-2</v>
      </c>
      <c r="O66" s="205"/>
      <c r="P66" s="266"/>
      <c r="Q66" s="267"/>
      <c r="R66" s="267"/>
      <c r="S66" s="268"/>
      <c r="T66" s="205">
        <f t="shared" si="50"/>
        <v>5.6806911311792031E-2</v>
      </c>
      <c r="U66" s="205"/>
      <c r="V66" s="10"/>
      <c r="W66" s="12" t="s">
        <v>182</v>
      </c>
      <c r="X66" s="30"/>
      <c r="Y66" s="30"/>
      <c r="Z66" s="30"/>
      <c r="AA66" s="30" t="str">
        <f>IFERROR(AA61+AA62+AA65+AA64+AA63,"-       ")</f>
        <v xml:space="preserve">-       </v>
      </c>
    </row>
    <row r="67" spans="2:27" x14ac:dyDescent="0.35">
      <c r="B67" s="18" t="s">
        <v>183</v>
      </c>
      <c r="C67" s="25"/>
      <c r="D67" s="25"/>
      <c r="E67" s="25"/>
      <c r="F67" s="10"/>
      <c r="G67" s="12"/>
      <c r="H67" s="12"/>
      <c r="I67" s="12"/>
      <c r="J67" s="25"/>
      <c r="K67" s="25"/>
      <c r="L67" s="25"/>
      <c r="M67" s="25"/>
      <c r="N67" s="25"/>
      <c r="O67" s="25"/>
      <c r="P67" s="39"/>
      <c r="Q67" s="39"/>
      <c r="R67" s="39"/>
      <c r="S67" s="39"/>
      <c r="T67" s="25"/>
      <c r="U67" s="25"/>
      <c r="V67" s="10"/>
      <c r="W67" s="12"/>
      <c r="X67" s="12"/>
      <c r="Y67" s="12"/>
      <c r="Z67" s="12"/>
      <c r="AA67" s="12"/>
    </row>
    <row r="68" spans="2:27" x14ac:dyDescent="0.35">
      <c r="B68" s="12" t="s">
        <v>184</v>
      </c>
      <c r="C68" s="26">
        <f>IFERROR(N13/L13-1,"-       ")</f>
        <v>-3.5555611493587436E-2</v>
      </c>
      <c r="D68" s="26">
        <f>IFERROR(N46/L46-1,"-       ")</f>
        <v>0.13275510204081575</v>
      </c>
      <c r="E68" s="26">
        <f>IFERROR(N59/L59-1,"-       ")</f>
        <v>0.6953348288678658</v>
      </c>
      <c r="F68" s="10"/>
      <c r="G68" s="10"/>
      <c r="H68" s="10"/>
      <c r="I68" s="10"/>
      <c r="J68" s="10"/>
      <c r="K68" s="10"/>
      <c r="L68" s="10"/>
      <c r="M68" s="10"/>
      <c r="N68" s="10"/>
      <c r="O68" s="10"/>
      <c r="P68" s="10"/>
      <c r="Q68" s="10"/>
      <c r="R68" s="10"/>
      <c r="S68" s="10"/>
      <c r="T68" s="10"/>
      <c r="U68" s="10"/>
      <c r="V68" s="10"/>
      <c r="W68" s="10"/>
      <c r="X68" s="10"/>
      <c r="Y68" s="10"/>
      <c r="Z68" s="10"/>
      <c r="AA68" s="10"/>
    </row>
    <row r="69" spans="2:27" x14ac:dyDescent="0.35">
      <c r="B69" s="12" t="s">
        <v>185</v>
      </c>
      <c r="C69" s="26">
        <f>IFERROR((N13/J13)^0.5-1,"-       ")</f>
        <v>3.914152911159241E-2</v>
      </c>
      <c r="D69" s="26">
        <f>IFERROR((N46/J46)^0.5-1,"-       ")</f>
        <v>0.16408871614774312</v>
      </c>
      <c r="E69" s="26">
        <f>IFERROR((N59/J59)^0.5-1,"-       ")</f>
        <v>1.756745486485217</v>
      </c>
      <c r="F69" s="10"/>
      <c r="G69" s="1" t="s">
        <v>186</v>
      </c>
      <c r="H69" s="2"/>
      <c r="I69" s="2"/>
      <c r="J69" s="2"/>
      <c r="K69" s="2"/>
      <c r="L69" s="2"/>
      <c r="M69" s="2"/>
      <c r="N69" s="2"/>
      <c r="O69" s="2"/>
      <c r="P69" s="2"/>
      <c r="Q69" s="2"/>
      <c r="R69" s="2"/>
      <c r="S69" s="2"/>
      <c r="T69" s="2"/>
      <c r="U69" s="2"/>
      <c r="V69" s="2"/>
      <c r="W69" s="2"/>
      <c r="X69" s="2"/>
      <c r="Y69" s="2"/>
      <c r="Z69" s="2"/>
      <c r="AA69" s="2"/>
    </row>
    <row r="70" spans="2:27" x14ac:dyDescent="0.35">
      <c r="B70" s="18" t="s">
        <v>187</v>
      </c>
      <c r="C70" s="26"/>
      <c r="D70" s="26"/>
      <c r="E70" s="26"/>
      <c r="F70" s="10"/>
      <c r="G70" s="34" t="s">
        <v>225</v>
      </c>
      <c r="H70" s="34"/>
      <c r="I70" s="34"/>
      <c r="J70" s="34"/>
      <c r="K70" s="34"/>
      <c r="L70" s="34"/>
      <c r="M70" s="34"/>
      <c r="N70" s="34"/>
      <c r="O70" s="34"/>
      <c r="P70" s="34"/>
      <c r="Q70" s="34"/>
      <c r="R70" s="34"/>
      <c r="S70" s="34"/>
      <c r="T70" s="34"/>
      <c r="U70" s="34"/>
      <c r="V70" s="34"/>
      <c r="W70" s="34"/>
      <c r="X70" s="34"/>
      <c r="Y70" s="34"/>
      <c r="Z70" s="34"/>
      <c r="AA70" s="34"/>
    </row>
    <row r="71" spans="2:27" x14ac:dyDescent="0.35">
      <c r="B71" s="12" t="s">
        <v>184</v>
      </c>
      <c r="C71" s="26">
        <f>IFERROR(D41/$N$13-1,"-       ")</f>
        <v>6.6959999999999908E-2</v>
      </c>
      <c r="D71" s="26">
        <f>IFERROR(D43/N46-1,"-       ")</f>
        <v>0.10153999999999996</v>
      </c>
      <c r="E71" s="26">
        <f>IFERROR(D47/N59-1,"-       ")</f>
        <v>8.2699999999999996E-2</v>
      </c>
      <c r="F71" s="10"/>
      <c r="G71" s="34" t="s">
        <v>226</v>
      </c>
      <c r="H71" s="34"/>
      <c r="I71" s="34"/>
      <c r="J71" s="34"/>
      <c r="K71" s="34"/>
      <c r="L71" s="34"/>
      <c r="M71" s="34"/>
      <c r="N71" s="34"/>
      <c r="O71" s="34"/>
      <c r="P71" s="34"/>
      <c r="Q71" s="34"/>
      <c r="R71" s="34"/>
      <c r="S71" s="34"/>
      <c r="T71" s="34"/>
      <c r="U71" s="34"/>
      <c r="V71" s="34"/>
      <c r="W71" s="34"/>
      <c r="X71" s="34"/>
      <c r="Y71" s="34"/>
      <c r="Z71" s="34"/>
      <c r="AA71" s="34"/>
    </row>
    <row r="72" spans="2:27" x14ac:dyDescent="0.35">
      <c r="B72" s="12" t="s">
        <v>185</v>
      </c>
      <c r="C72" s="26">
        <f>IFERROR((E41/$N$13)^0.5-1,"-       ")</f>
        <v>6.6959999999999908E-2</v>
      </c>
      <c r="D72" s="26">
        <f>IFERROR((E43/$N$46)^0.5-1,"-       ")</f>
        <v>0.10153999999999996</v>
      </c>
      <c r="E72" s="26">
        <f>IFERROR((E47/$N$59)^0.5-1,"-       ")</f>
        <v>8.2699999999999996E-2</v>
      </c>
      <c r="F72" s="10"/>
      <c r="G72" s="34" t="s">
        <v>227</v>
      </c>
      <c r="H72" s="34"/>
      <c r="I72" s="34"/>
      <c r="J72" s="34"/>
      <c r="K72" s="34"/>
      <c r="L72" s="34"/>
      <c r="M72" s="34"/>
      <c r="N72" s="34"/>
      <c r="O72" s="34"/>
      <c r="P72" s="34"/>
      <c r="Q72" s="34"/>
      <c r="R72" s="34"/>
      <c r="S72" s="34"/>
      <c r="T72" s="34"/>
      <c r="U72" s="34"/>
      <c r="V72" s="34"/>
      <c r="W72" s="34"/>
      <c r="X72" s="34"/>
      <c r="Y72" s="34"/>
      <c r="Z72" s="34"/>
      <c r="AA72" s="34"/>
    </row>
    <row r="73" spans="2:27" x14ac:dyDescent="0.35">
      <c r="B73" s="204" t="s">
        <v>191</v>
      </c>
      <c r="C73" s="204"/>
      <c r="D73" s="204"/>
      <c r="E73" s="40">
        <v>0.1</v>
      </c>
      <c r="F73" s="10"/>
      <c r="G73" s="34" t="s">
        <v>228</v>
      </c>
      <c r="H73" s="34"/>
      <c r="I73" s="34"/>
      <c r="J73" s="34"/>
      <c r="K73" s="34"/>
      <c r="L73" s="34"/>
      <c r="M73" s="34"/>
      <c r="N73" s="34"/>
      <c r="O73" s="34"/>
      <c r="P73" s="34"/>
      <c r="Q73" s="34"/>
      <c r="R73" s="34"/>
      <c r="S73" s="34"/>
      <c r="T73" s="34"/>
      <c r="U73" s="34"/>
      <c r="V73" s="34"/>
      <c r="W73" s="34"/>
      <c r="X73" s="34"/>
      <c r="Y73" s="34"/>
      <c r="Z73" s="34"/>
      <c r="AA73" s="34"/>
    </row>
    <row r="74" spans="2:27" x14ac:dyDescent="0.35"/>
  </sheetData>
  <mergeCells count="416">
    <mergeCell ref="B11:C11"/>
    <mergeCell ref="G11:I11"/>
    <mergeCell ref="P11:Q11"/>
    <mergeCell ref="R11:S11"/>
    <mergeCell ref="T11:U11"/>
    <mergeCell ref="W11:Y11"/>
    <mergeCell ref="B2:Q3"/>
    <mergeCell ref="W3:AA5"/>
    <mergeCell ref="B4:J4"/>
    <mergeCell ref="B10:C10"/>
    <mergeCell ref="G10:I10"/>
    <mergeCell ref="J10:O11"/>
    <mergeCell ref="P10:Q10"/>
    <mergeCell ref="R10:S10"/>
    <mergeCell ref="T10:U10"/>
    <mergeCell ref="W10:Y10"/>
    <mergeCell ref="R12:S12"/>
    <mergeCell ref="T12:U12"/>
    <mergeCell ref="W12:Y12"/>
    <mergeCell ref="B13:C13"/>
    <mergeCell ref="G13:I13"/>
    <mergeCell ref="J13:K13"/>
    <mergeCell ref="L13:M13"/>
    <mergeCell ref="N13:O13"/>
    <mergeCell ref="P13:Q13"/>
    <mergeCell ref="R13:S13"/>
    <mergeCell ref="B12:C12"/>
    <mergeCell ref="G12:I12"/>
    <mergeCell ref="J12:K12"/>
    <mergeCell ref="L12:M12"/>
    <mergeCell ref="N12:O12"/>
    <mergeCell ref="P12:Q12"/>
    <mergeCell ref="T13:U13"/>
    <mergeCell ref="W13:Y13"/>
    <mergeCell ref="B14:D14"/>
    <mergeCell ref="G14:I14"/>
    <mergeCell ref="J14:K14"/>
    <mergeCell ref="L14:M14"/>
    <mergeCell ref="N14:O14"/>
    <mergeCell ref="P14:Q14"/>
    <mergeCell ref="R14:S14"/>
    <mergeCell ref="T14:U14"/>
    <mergeCell ref="W14:Y14"/>
    <mergeCell ref="B15:C15"/>
    <mergeCell ref="G15:I15"/>
    <mergeCell ref="J15:K15"/>
    <mergeCell ref="L15:M15"/>
    <mergeCell ref="N15:O15"/>
    <mergeCell ref="P15:Q15"/>
    <mergeCell ref="R15:S15"/>
    <mergeCell ref="T15:U15"/>
    <mergeCell ref="W15:Y15"/>
    <mergeCell ref="R16:S16"/>
    <mergeCell ref="T16:U16"/>
    <mergeCell ref="W16:Y16"/>
    <mergeCell ref="B17:C17"/>
    <mergeCell ref="G17:I17"/>
    <mergeCell ref="J17:K17"/>
    <mergeCell ref="L17:M17"/>
    <mergeCell ref="N17:O17"/>
    <mergeCell ref="P17:Q17"/>
    <mergeCell ref="R17:S17"/>
    <mergeCell ref="B16:C16"/>
    <mergeCell ref="G16:I16"/>
    <mergeCell ref="J16:K16"/>
    <mergeCell ref="L16:M16"/>
    <mergeCell ref="N16:O16"/>
    <mergeCell ref="P16:Q16"/>
    <mergeCell ref="T17:U17"/>
    <mergeCell ref="W17:Y17"/>
    <mergeCell ref="G18:I18"/>
    <mergeCell ref="J18:K18"/>
    <mergeCell ref="L18:M18"/>
    <mergeCell ref="N18:O18"/>
    <mergeCell ref="P18:Q18"/>
    <mergeCell ref="R18:S18"/>
    <mergeCell ref="T18:U18"/>
    <mergeCell ref="W18:Y18"/>
    <mergeCell ref="T19:U19"/>
    <mergeCell ref="W19:Y19"/>
    <mergeCell ref="G20:I20"/>
    <mergeCell ref="J20:K20"/>
    <mergeCell ref="L20:M20"/>
    <mergeCell ref="N20:O20"/>
    <mergeCell ref="P20:Q20"/>
    <mergeCell ref="R20:S20"/>
    <mergeCell ref="T20:U20"/>
    <mergeCell ref="W20:X20"/>
    <mergeCell ref="G19:I19"/>
    <mergeCell ref="J19:K19"/>
    <mergeCell ref="L19:M19"/>
    <mergeCell ref="N19:O19"/>
    <mergeCell ref="P19:Q19"/>
    <mergeCell ref="R19:S19"/>
    <mergeCell ref="R21:S21"/>
    <mergeCell ref="T21:U21"/>
    <mergeCell ref="W21:Y21"/>
    <mergeCell ref="B22:C22"/>
    <mergeCell ref="G22:I22"/>
    <mergeCell ref="J22:K22"/>
    <mergeCell ref="L22:M22"/>
    <mergeCell ref="N22:O22"/>
    <mergeCell ref="P22:Q22"/>
    <mergeCell ref="R22:S22"/>
    <mergeCell ref="B21:C21"/>
    <mergeCell ref="G21:I21"/>
    <mergeCell ref="J21:K21"/>
    <mergeCell ref="L21:M21"/>
    <mergeCell ref="N21:O21"/>
    <mergeCell ref="P21:Q21"/>
    <mergeCell ref="T22:U22"/>
    <mergeCell ref="W22:Y22"/>
    <mergeCell ref="B23:C23"/>
    <mergeCell ref="G23:I23"/>
    <mergeCell ref="J23:K23"/>
    <mergeCell ref="L23:M23"/>
    <mergeCell ref="N23:O23"/>
    <mergeCell ref="P23:Q23"/>
    <mergeCell ref="R23:S23"/>
    <mergeCell ref="T23:U23"/>
    <mergeCell ref="W23:Y23"/>
    <mergeCell ref="B24:C24"/>
    <mergeCell ref="G24:I24"/>
    <mergeCell ref="J24:K24"/>
    <mergeCell ref="L24:M24"/>
    <mergeCell ref="N24:O24"/>
    <mergeCell ref="P24:Q24"/>
    <mergeCell ref="R24:S24"/>
    <mergeCell ref="T24:U24"/>
    <mergeCell ref="W24:Y24"/>
    <mergeCell ref="R25:S25"/>
    <mergeCell ref="T25:U25"/>
    <mergeCell ref="W25:Y25"/>
    <mergeCell ref="B26:C26"/>
    <mergeCell ref="G26:I26"/>
    <mergeCell ref="J26:K26"/>
    <mergeCell ref="L26:M26"/>
    <mergeCell ref="N26:O26"/>
    <mergeCell ref="P26:Q26"/>
    <mergeCell ref="R26:S26"/>
    <mergeCell ref="B25:C25"/>
    <mergeCell ref="G25:I25"/>
    <mergeCell ref="J25:K25"/>
    <mergeCell ref="L25:M25"/>
    <mergeCell ref="N25:O25"/>
    <mergeCell ref="P25:Q25"/>
    <mergeCell ref="T26:U26"/>
    <mergeCell ref="W26:Y26"/>
    <mergeCell ref="G27:I27"/>
    <mergeCell ref="J27:K27"/>
    <mergeCell ref="L27:M27"/>
    <mergeCell ref="N27:O27"/>
    <mergeCell ref="P27:Q27"/>
    <mergeCell ref="R27:S27"/>
    <mergeCell ref="T27:U27"/>
    <mergeCell ref="W27:Y27"/>
    <mergeCell ref="T29:U29"/>
    <mergeCell ref="W29:Y29"/>
    <mergeCell ref="B30:C30"/>
    <mergeCell ref="W30:Y30"/>
    <mergeCell ref="B31:C31"/>
    <mergeCell ref="W31:Y31"/>
    <mergeCell ref="R28:S28"/>
    <mergeCell ref="T28:U28"/>
    <mergeCell ref="W28:Y28"/>
    <mergeCell ref="B29:C29"/>
    <mergeCell ref="G29:I29"/>
    <mergeCell ref="J29:K29"/>
    <mergeCell ref="L29:M29"/>
    <mergeCell ref="N29:O29"/>
    <mergeCell ref="P29:Q29"/>
    <mergeCell ref="R29:S29"/>
    <mergeCell ref="B28:C28"/>
    <mergeCell ref="G28:I28"/>
    <mergeCell ref="J28:K28"/>
    <mergeCell ref="L28:M28"/>
    <mergeCell ref="N28:O28"/>
    <mergeCell ref="P28:Q28"/>
    <mergeCell ref="B34:C34"/>
    <mergeCell ref="G34:I34"/>
    <mergeCell ref="J34:K34"/>
    <mergeCell ref="L34:M34"/>
    <mergeCell ref="N34:O34"/>
    <mergeCell ref="P34:Q34"/>
    <mergeCell ref="B32:C32"/>
    <mergeCell ref="W32:Y32"/>
    <mergeCell ref="G33:I33"/>
    <mergeCell ref="J33:K33"/>
    <mergeCell ref="L33:M33"/>
    <mergeCell ref="N33:O33"/>
    <mergeCell ref="P33:Q33"/>
    <mergeCell ref="R33:S33"/>
    <mergeCell ref="T33:U33"/>
    <mergeCell ref="W33:Y33"/>
    <mergeCell ref="R34:S34"/>
    <mergeCell ref="T34:U34"/>
    <mergeCell ref="W34:Y34"/>
    <mergeCell ref="G35:I35"/>
    <mergeCell ref="J35:K35"/>
    <mergeCell ref="L35:M35"/>
    <mergeCell ref="N35:O35"/>
    <mergeCell ref="P35:Q35"/>
    <mergeCell ref="R35:S35"/>
    <mergeCell ref="T35:U35"/>
    <mergeCell ref="W35:Y35"/>
    <mergeCell ref="G36:I36"/>
    <mergeCell ref="J36:K36"/>
    <mergeCell ref="L36:M36"/>
    <mergeCell ref="N36:O36"/>
    <mergeCell ref="P36:Q36"/>
    <mergeCell ref="R36:S36"/>
    <mergeCell ref="T36:U36"/>
    <mergeCell ref="W36:Y36"/>
    <mergeCell ref="T37:U37"/>
    <mergeCell ref="G38:I38"/>
    <mergeCell ref="J38:K38"/>
    <mergeCell ref="L38:M38"/>
    <mergeCell ref="N38:O38"/>
    <mergeCell ref="P38:Q38"/>
    <mergeCell ref="R38:S38"/>
    <mergeCell ref="T38:U38"/>
    <mergeCell ref="G37:I37"/>
    <mergeCell ref="J37:K37"/>
    <mergeCell ref="L37:M37"/>
    <mergeCell ref="N37:O37"/>
    <mergeCell ref="P37:Q37"/>
    <mergeCell ref="R37:S37"/>
    <mergeCell ref="T39:U39"/>
    <mergeCell ref="G40:I40"/>
    <mergeCell ref="J40:K40"/>
    <mergeCell ref="L40:M40"/>
    <mergeCell ref="N40:O40"/>
    <mergeCell ref="P40:Q40"/>
    <mergeCell ref="R40:S40"/>
    <mergeCell ref="T40:U40"/>
    <mergeCell ref="G39:I39"/>
    <mergeCell ref="J39:K39"/>
    <mergeCell ref="L39:M39"/>
    <mergeCell ref="N39:O39"/>
    <mergeCell ref="P39:Q39"/>
    <mergeCell ref="R39:S39"/>
    <mergeCell ref="W40:Y40"/>
    <mergeCell ref="G41:I41"/>
    <mergeCell ref="J41:K41"/>
    <mergeCell ref="L41:M41"/>
    <mergeCell ref="N41:O41"/>
    <mergeCell ref="P41:Q41"/>
    <mergeCell ref="R41:S41"/>
    <mergeCell ref="T41:U41"/>
    <mergeCell ref="W41:Z41"/>
    <mergeCell ref="T42:U42"/>
    <mergeCell ref="W42:Y42"/>
    <mergeCell ref="G43:I43"/>
    <mergeCell ref="J43:K43"/>
    <mergeCell ref="L43:M43"/>
    <mergeCell ref="N43:O43"/>
    <mergeCell ref="P43:Q43"/>
    <mergeCell ref="R43:S43"/>
    <mergeCell ref="T43:U43"/>
    <mergeCell ref="W43:Y43"/>
    <mergeCell ref="G42:I42"/>
    <mergeCell ref="J42:K42"/>
    <mergeCell ref="L42:M42"/>
    <mergeCell ref="N42:O42"/>
    <mergeCell ref="P42:Q42"/>
    <mergeCell ref="R42:S42"/>
    <mergeCell ref="T44:U44"/>
    <mergeCell ref="W44:Y44"/>
    <mergeCell ref="G45:I45"/>
    <mergeCell ref="J45:K45"/>
    <mergeCell ref="L45:M45"/>
    <mergeCell ref="N45:O45"/>
    <mergeCell ref="P45:Q45"/>
    <mergeCell ref="R45:S45"/>
    <mergeCell ref="T45:U45"/>
    <mergeCell ref="W45:Y45"/>
    <mergeCell ref="G44:I44"/>
    <mergeCell ref="J44:K44"/>
    <mergeCell ref="L44:M44"/>
    <mergeCell ref="N44:O44"/>
    <mergeCell ref="P44:Q44"/>
    <mergeCell ref="R44:S44"/>
    <mergeCell ref="W47:Y47"/>
    <mergeCell ref="G48:I48"/>
    <mergeCell ref="J48:K48"/>
    <mergeCell ref="L48:M48"/>
    <mergeCell ref="N48:O48"/>
    <mergeCell ref="P48:Q48"/>
    <mergeCell ref="R48:S48"/>
    <mergeCell ref="T48:U48"/>
    <mergeCell ref="T46:U46"/>
    <mergeCell ref="G47:I47"/>
    <mergeCell ref="J47:K47"/>
    <mergeCell ref="L47:M47"/>
    <mergeCell ref="N47:O47"/>
    <mergeCell ref="P47:Q47"/>
    <mergeCell ref="R47:S47"/>
    <mergeCell ref="T47:U47"/>
    <mergeCell ref="G46:I46"/>
    <mergeCell ref="J46:K46"/>
    <mergeCell ref="L46:M46"/>
    <mergeCell ref="N46:O46"/>
    <mergeCell ref="P46:Q46"/>
    <mergeCell ref="R46:S46"/>
    <mergeCell ref="T49:U49"/>
    <mergeCell ref="G50:I50"/>
    <mergeCell ref="J50:K50"/>
    <mergeCell ref="L50:M50"/>
    <mergeCell ref="N50:O50"/>
    <mergeCell ref="P50:Q50"/>
    <mergeCell ref="R50:S50"/>
    <mergeCell ref="T50:U50"/>
    <mergeCell ref="G49:I49"/>
    <mergeCell ref="J49:K49"/>
    <mergeCell ref="L49:M49"/>
    <mergeCell ref="N49:O49"/>
    <mergeCell ref="P49:Q49"/>
    <mergeCell ref="R49:S49"/>
    <mergeCell ref="R51:S51"/>
    <mergeCell ref="T51:U51"/>
    <mergeCell ref="B52:D52"/>
    <mergeCell ref="G52:I52"/>
    <mergeCell ref="J52:K52"/>
    <mergeCell ref="L52:M52"/>
    <mergeCell ref="N52:O52"/>
    <mergeCell ref="P52:Q52"/>
    <mergeCell ref="R52:S52"/>
    <mergeCell ref="T52:U52"/>
    <mergeCell ref="B51:D51"/>
    <mergeCell ref="G51:I51"/>
    <mergeCell ref="J51:K51"/>
    <mergeCell ref="L51:M51"/>
    <mergeCell ref="N51:O51"/>
    <mergeCell ref="P51:Q51"/>
    <mergeCell ref="R53:S53"/>
    <mergeCell ref="T53:U53"/>
    <mergeCell ref="B54:D54"/>
    <mergeCell ref="G54:I54"/>
    <mergeCell ref="J54:K54"/>
    <mergeCell ref="L54:M54"/>
    <mergeCell ref="N54:O54"/>
    <mergeCell ref="P54:Q54"/>
    <mergeCell ref="R54:S54"/>
    <mergeCell ref="T54:U54"/>
    <mergeCell ref="B53:D53"/>
    <mergeCell ref="G53:I53"/>
    <mergeCell ref="J53:K53"/>
    <mergeCell ref="L53:M53"/>
    <mergeCell ref="N53:O53"/>
    <mergeCell ref="P53:Q53"/>
    <mergeCell ref="T55:U55"/>
    <mergeCell ref="G56:I56"/>
    <mergeCell ref="J56:K56"/>
    <mergeCell ref="L56:M56"/>
    <mergeCell ref="N56:O56"/>
    <mergeCell ref="P56:Q56"/>
    <mergeCell ref="R56:S56"/>
    <mergeCell ref="T56:U56"/>
    <mergeCell ref="G55:I55"/>
    <mergeCell ref="J55:K55"/>
    <mergeCell ref="L55:M55"/>
    <mergeCell ref="N55:O55"/>
    <mergeCell ref="P55:Q55"/>
    <mergeCell ref="R55:S55"/>
    <mergeCell ref="T57:U57"/>
    <mergeCell ref="B58:D58"/>
    <mergeCell ref="G58:I58"/>
    <mergeCell ref="J58:K58"/>
    <mergeCell ref="L58:M58"/>
    <mergeCell ref="N58:O58"/>
    <mergeCell ref="P58:Q58"/>
    <mergeCell ref="R58:S58"/>
    <mergeCell ref="T58:U58"/>
    <mergeCell ref="G57:I57"/>
    <mergeCell ref="J57:K57"/>
    <mergeCell ref="L57:M57"/>
    <mergeCell ref="N57:O57"/>
    <mergeCell ref="P57:Q57"/>
    <mergeCell ref="R57:S57"/>
    <mergeCell ref="B60:D60"/>
    <mergeCell ref="B61:D61"/>
    <mergeCell ref="B62:D62"/>
    <mergeCell ref="B63:D63"/>
    <mergeCell ref="J63:K63"/>
    <mergeCell ref="L63:M63"/>
    <mergeCell ref="N63:O63"/>
    <mergeCell ref="P63:Q63"/>
    <mergeCell ref="B59:D59"/>
    <mergeCell ref="G59:I59"/>
    <mergeCell ref="J59:K59"/>
    <mergeCell ref="L59:M59"/>
    <mergeCell ref="N59:O59"/>
    <mergeCell ref="P59:Q59"/>
    <mergeCell ref="R63:S63"/>
    <mergeCell ref="T63:U63"/>
    <mergeCell ref="J64:K64"/>
    <mergeCell ref="L64:M64"/>
    <mergeCell ref="N64:O64"/>
    <mergeCell ref="P64:Q64"/>
    <mergeCell ref="R64:S64"/>
    <mergeCell ref="T64:U64"/>
    <mergeCell ref="R59:S59"/>
    <mergeCell ref="T59:U59"/>
    <mergeCell ref="B73:D73"/>
    <mergeCell ref="J66:K66"/>
    <mergeCell ref="L66:M66"/>
    <mergeCell ref="N66:O66"/>
    <mergeCell ref="P66:Q66"/>
    <mergeCell ref="R66:S66"/>
    <mergeCell ref="T66:U66"/>
    <mergeCell ref="J65:K65"/>
    <mergeCell ref="L65:M65"/>
    <mergeCell ref="N65:O65"/>
    <mergeCell ref="P65:Q65"/>
    <mergeCell ref="R65:S65"/>
    <mergeCell ref="T65:U65"/>
  </mergeCells>
  <pageMargins left="0.7" right="0.7" top="0.75" bottom="0.75" header="0.3" footer="0.3"/>
  <drawing r:id="rId1"/>
  <picture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6326D3-4D7D-4BF6-A4E1-039FFBE46C83}">
  <dimension ref="A1:AB74"/>
  <sheetViews>
    <sheetView showGridLines="0" topLeftCell="A23" zoomScale="132" zoomScaleNormal="115" workbookViewId="0">
      <selection activeCell="D15" sqref="D15:D16"/>
    </sheetView>
  </sheetViews>
  <sheetFormatPr defaultColWidth="0" defaultRowHeight="14.5" customHeight="1" zeroHeight="1" x14ac:dyDescent="0.35"/>
  <cols>
    <col min="1" max="1" width="8.7265625" style="4" customWidth="1"/>
    <col min="2" max="2" width="8.7265625" style="41" customWidth="1"/>
    <col min="3" max="3" width="10.453125" style="41" customWidth="1"/>
    <col min="4" max="4" width="9.6328125" style="41" bestFit="1" customWidth="1"/>
    <col min="5" max="5" width="7.7265625" style="41" customWidth="1"/>
    <col min="6" max="22" width="8.7265625" style="41" customWidth="1"/>
    <col min="23" max="26" width="10.90625" style="41" customWidth="1"/>
    <col min="27" max="27" width="9.26953125" style="41" bestFit="1" customWidth="1"/>
    <col min="28" max="28" width="8.7265625" style="4" customWidth="1"/>
    <col min="29" max="16384" width="8.7265625" style="4" hidden="1"/>
  </cols>
  <sheetData>
    <row r="1" spans="2:27" x14ac:dyDescent="0.35">
      <c r="B1" s="4"/>
      <c r="C1" s="4"/>
      <c r="D1" s="4"/>
      <c r="E1" s="4"/>
      <c r="F1" s="4"/>
      <c r="G1" s="4"/>
      <c r="H1" s="4"/>
      <c r="I1" s="4"/>
      <c r="J1" s="4"/>
      <c r="K1" s="4"/>
      <c r="L1" s="4"/>
      <c r="M1" s="4"/>
      <c r="N1" s="4"/>
      <c r="O1" s="4"/>
      <c r="P1" s="4"/>
      <c r="Q1" s="4"/>
      <c r="R1" s="4"/>
      <c r="S1" s="4"/>
      <c r="T1" s="4"/>
      <c r="U1" s="4"/>
      <c r="V1" s="4"/>
      <c r="W1" s="4"/>
      <c r="X1" s="4"/>
      <c r="Y1" s="4"/>
      <c r="Z1" s="4"/>
      <c r="AA1" s="4"/>
    </row>
    <row r="2" spans="2:27" ht="14.5" customHeight="1" x14ac:dyDescent="0.35">
      <c r="B2" s="258" t="e" vm="8">
        <v>#VALUE!</v>
      </c>
      <c r="C2" s="258"/>
      <c r="D2" s="258"/>
      <c r="E2" s="258"/>
      <c r="F2" s="258"/>
      <c r="G2" s="258"/>
      <c r="H2" s="258"/>
      <c r="I2" s="258"/>
      <c r="J2" s="258"/>
      <c r="K2" s="258"/>
      <c r="L2" s="258"/>
      <c r="M2" s="258"/>
      <c r="N2" s="258"/>
      <c r="O2" s="258"/>
      <c r="P2" s="258"/>
      <c r="Q2" s="258"/>
      <c r="R2" s="5"/>
      <c r="S2" s="5"/>
      <c r="T2" s="5"/>
      <c r="U2" s="5"/>
      <c r="V2" s="5"/>
      <c r="W2" s="46" t="s">
        <v>36</v>
      </c>
      <c r="X2" s="5"/>
      <c r="Y2" s="5"/>
      <c r="Z2" s="5"/>
      <c r="AA2" s="5"/>
    </row>
    <row r="3" spans="2:27" ht="14.5" customHeight="1" x14ac:dyDescent="0.35">
      <c r="B3" s="258"/>
      <c r="C3" s="258"/>
      <c r="D3" s="258"/>
      <c r="E3" s="258"/>
      <c r="F3" s="258"/>
      <c r="G3" s="258"/>
      <c r="H3" s="258"/>
      <c r="I3" s="258"/>
      <c r="J3" s="258"/>
      <c r="K3" s="258"/>
      <c r="L3" s="258"/>
      <c r="M3" s="258"/>
      <c r="N3" s="258"/>
      <c r="O3" s="258"/>
      <c r="P3" s="258"/>
      <c r="Q3" s="258"/>
      <c r="R3" s="5"/>
      <c r="S3" s="5"/>
      <c r="T3" s="5"/>
      <c r="U3" s="5"/>
      <c r="V3" s="5"/>
      <c r="W3" s="260" t="str">
        <f>'Business Infos'!D19</f>
        <v>Major civil and mining contractor. Provides drill-and-blast, bulk earthworks, load and haul, and infrastructure delivery. Has direct exposure to quarry operation support and mine development.</v>
      </c>
      <c r="X3" s="260"/>
      <c r="Y3" s="260"/>
      <c r="Z3" s="260"/>
      <c r="AA3" s="260"/>
    </row>
    <row r="4" spans="2:27" ht="15.5" customHeight="1" x14ac:dyDescent="0.35">
      <c r="B4" s="261" t="s">
        <v>37</v>
      </c>
      <c r="C4" s="262"/>
      <c r="D4" s="262"/>
      <c r="E4" s="262"/>
      <c r="F4" s="262"/>
      <c r="G4" s="262"/>
      <c r="H4" s="262"/>
      <c r="I4" s="262"/>
      <c r="J4" s="262"/>
      <c r="K4" s="5"/>
      <c r="L4" s="5"/>
      <c r="M4" s="5"/>
      <c r="N4" s="5"/>
      <c r="O4" s="5"/>
      <c r="P4" s="5"/>
      <c r="Q4" s="5"/>
      <c r="R4" s="5"/>
      <c r="S4" s="5"/>
      <c r="T4" s="5"/>
      <c r="U4" s="5"/>
      <c r="V4" s="5"/>
      <c r="W4" s="260" t="s">
        <v>193</v>
      </c>
      <c r="X4" s="260"/>
      <c r="Y4" s="260"/>
      <c r="Z4" s="260"/>
      <c r="AA4" s="260"/>
    </row>
    <row r="5" spans="2:27" x14ac:dyDescent="0.35">
      <c r="B5" s="7" t="s">
        <v>38</v>
      </c>
      <c r="C5" s="5"/>
      <c r="D5" s="5"/>
      <c r="E5" s="5"/>
      <c r="F5" s="5"/>
      <c r="G5" s="5"/>
      <c r="H5" s="5"/>
      <c r="I5" s="5"/>
      <c r="J5" s="5"/>
      <c r="K5" s="5"/>
      <c r="L5" s="5"/>
      <c r="M5" s="5"/>
      <c r="N5" s="5"/>
      <c r="O5" s="5"/>
      <c r="P5" s="5"/>
      <c r="Q5" s="5"/>
      <c r="R5" s="5"/>
      <c r="S5" s="5"/>
      <c r="T5" s="5"/>
      <c r="U5" s="5"/>
      <c r="V5" s="5"/>
      <c r="W5" s="260"/>
      <c r="X5" s="260"/>
      <c r="Y5" s="260"/>
      <c r="Z5" s="260"/>
      <c r="AA5" s="260"/>
    </row>
    <row r="6" spans="2:27" x14ac:dyDescent="0.35">
      <c r="B6" s="4"/>
      <c r="C6" s="4"/>
      <c r="D6" s="4"/>
      <c r="E6" s="4"/>
      <c r="F6" s="4"/>
      <c r="G6" s="4"/>
      <c r="H6" s="4"/>
      <c r="I6" s="4"/>
      <c r="J6" s="4"/>
      <c r="K6" s="4"/>
      <c r="L6" s="4"/>
      <c r="M6" s="4"/>
      <c r="N6" s="4"/>
      <c r="O6" s="4"/>
      <c r="P6" s="4"/>
      <c r="Q6" s="4"/>
      <c r="R6" s="4"/>
      <c r="S6" s="4"/>
      <c r="T6" s="4"/>
      <c r="U6" s="4"/>
      <c r="V6" s="4"/>
      <c r="W6"/>
      <c r="X6"/>
      <c r="Y6"/>
      <c r="Z6"/>
      <c r="AA6"/>
    </row>
    <row r="7" spans="2:27" x14ac:dyDescent="0.35">
      <c r="B7" s="4"/>
      <c r="C7" s="4"/>
      <c r="D7" s="4"/>
      <c r="E7" s="4"/>
      <c r="F7" s="4"/>
      <c r="G7" s="4"/>
      <c r="H7" s="4"/>
      <c r="I7" s="4"/>
      <c r="J7" s="4"/>
      <c r="K7" s="4"/>
      <c r="L7" s="4"/>
      <c r="M7" s="4"/>
      <c r="N7" s="4"/>
      <c r="O7" s="4"/>
      <c r="P7" s="4"/>
      <c r="Q7" s="4"/>
      <c r="R7" s="4"/>
      <c r="S7" s="4"/>
      <c r="T7" s="4"/>
      <c r="U7" s="4"/>
      <c r="V7" s="4"/>
      <c r="W7" s="4"/>
      <c r="X7" s="4"/>
      <c r="Y7" s="4"/>
      <c r="Z7" s="4"/>
      <c r="AA7" s="4"/>
    </row>
    <row r="8" spans="2:27" ht="15" thickBot="1" x14ac:dyDescent="0.4">
      <c r="B8" s="8" t="s">
        <v>39</v>
      </c>
      <c r="C8" s="9"/>
      <c r="D8" s="9"/>
      <c r="E8" s="9"/>
      <c r="F8" s="10"/>
      <c r="G8" s="8" t="s">
        <v>40</v>
      </c>
      <c r="H8" s="9"/>
      <c r="I8" s="9"/>
      <c r="J8" s="51"/>
      <c r="K8" s="9"/>
      <c r="L8" s="9"/>
      <c r="M8" s="9"/>
      <c r="N8" s="9"/>
      <c r="O8" s="8"/>
      <c r="P8" s="9"/>
      <c r="Q8" s="9"/>
      <c r="R8" s="9"/>
      <c r="S8" s="9"/>
      <c r="T8" s="9"/>
      <c r="U8" s="9"/>
      <c r="V8" s="10"/>
      <c r="W8" s="8" t="s">
        <v>41</v>
      </c>
      <c r="X8" s="9"/>
      <c r="Y8" s="9"/>
      <c r="Z8" s="9"/>
      <c r="AA8" s="9"/>
    </row>
    <row r="9" spans="2:27" ht="4" customHeight="1" x14ac:dyDescent="0.35">
      <c r="B9" s="2"/>
      <c r="C9" s="2"/>
      <c r="D9" s="2"/>
      <c r="E9" s="2"/>
      <c r="F9" s="10"/>
      <c r="G9" s="2"/>
      <c r="H9" s="2"/>
      <c r="I9" s="2"/>
      <c r="J9" s="2"/>
      <c r="K9" s="2"/>
      <c r="L9" s="2"/>
      <c r="M9" s="2"/>
      <c r="N9" s="2"/>
      <c r="O9" s="2"/>
      <c r="P9" s="2"/>
      <c r="Q9" s="2"/>
      <c r="R9" s="2"/>
      <c r="S9" s="2"/>
      <c r="T9" s="2"/>
      <c r="U9" s="2"/>
      <c r="V9" s="10"/>
      <c r="W9" s="2"/>
      <c r="X9" s="2"/>
      <c r="Y9" s="2"/>
      <c r="Z9" s="2"/>
      <c r="AA9" s="2"/>
    </row>
    <row r="10" spans="2:27" x14ac:dyDescent="0.35">
      <c r="B10" s="263" t="s">
        <v>42</v>
      </c>
      <c r="C10" s="263"/>
      <c r="D10" s="11"/>
      <c r="E10" s="11" t="s">
        <v>30</v>
      </c>
      <c r="F10" s="10"/>
      <c r="G10" s="220"/>
      <c r="H10" s="220"/>
      <c r="I10" s="220"/>
      <c r="J10" s="257" t="s">
        <v>43</v>
      </c>
      <c r="K10" s="264"/>
      <c r="L10" s="264"/>
      <c r="M10" s="264"/>
      <c r="N10" s="264"/>
      <c r="O10" s="264"/>
      <c r="P10" s="257" t="s">
        <v>44</v>
      </c>
      <c r="Q10" s="257"/>
      <c r="R10" s="257" t="s">
        <v>45</v>
      </c>
      <c r="S10" s="257"/>
      <c r="T10" s="220"/>
      <c r="U10" s="220"/>
      <c r="V10" s="10"/>
      <c r="W10" s="220"/>
      <c r="X10" s="220"/>
      <c r="Y10" s="220"/>
      <c r="Z10" s="13" t="s">
        <v>46</v>
      </c>
      <c r="AA10" s="14">
        <v>45657</v>
      </c>
    </row>
    <row r="11" spans="2:27" x14ac:dyDescent="0.35">
      <c r="B11" s="220" t="s">
        <v>5</v>
      </c>
      <c r="C11" s="220"/>
      <c r="D11" s="12"/>
      <c r="E11" s="11" t="str" cm="1">
        <f t="array" aca="1" ref="E11" ca="1">_FV(B2,"Ticker symbol",TRUE)</f>
        <v>NWH</v>
      </c>
      <c r="F11" s="15"/>
      <c r="G11" s="220"/>
      <c r="H11" s="220"/>
      <c r="I11" s="220"/>
      <c r="J11" s="264"/>
      <c r="K11" s="264"/>
      <c r="L11" s="264"/>
      <c r="M11" s="264"/>
      <c r="N11" s="264"/>
      <c r="O11" s="264"/>
      <c r="P11" s="257" t="s">
        <v>47</v>
      </c>
      <c r="Q11" s="257"/>
      <c r="R11" s="257" t="s">
        <v>47</v>
      </c>
      <c r="S11" s="257"/>
      <c r="T11" s="257" t="s">
        <v>3</v>
      </c>
      <c r="U11" s="257"/>
      <c r="V11" s="10"/>
      <c r="W11" s="220" t="s">
        <v>48</v>
      </c>
      <c r="X11" s="220"/>
      <c r="Y11" s="220"/>
      <c r="Z11" s="16">
        <v>246.648</v>
      </c>
      <c r="AA11" s="16">
        <v>284.41500000000002</v>
      </c>
    </row>
    <row r="12" spans="2:27" ht="15" thickBot="1" x14ac:dyDescent="0.4">
      <c r="B12" s="220" t="s">
        <v>49</v>
      </c>
      <c r="C12" s="220"/>
      <c r="D12" s="12"/>
      <c r="E12" s="11" t="s">
        <v>194</v>
      </c>
      <c r="F12" s="10"/>
      <c r="G12" s="220"/>
      <c r="H12" s="220"/>
      <c r="I12" s="220"/>
      <c r="J12" s="257" t="s">
        <v>50</v>
      </c>
      <c r="K12" s="257"/>
      <c r="L12" s="257" t="s">
        <v>51</v>
      </c>
      <c r="M12" s="257"/>
      <c r="N12" s="257" t="s">
        <v>46</v>
      </c>
      <c r="O12" s="257"/>
      <c r="P12" s="250">
        <v>45291</v>
      </c>
      <c r="Q12" s="251"/>
      <c r="R12" s="250">
        <v>45657</v>
      </c>
      <c r="S12" s="251"/>
      <c r="T12" s="252">
        <v>45657</v>
      </c>
      <c r="U12" s="252"/>
      <c r="V12" s="10"/>
      <c r="W12" s="220" t="s">
        <v>52</v>
      </c>
      <c r="X12" s="220"/>
      <c r="Y12" s="220"/>
      <c r="Z12" s="16">
        <v>430.28100000000001</v>
      </c>
      <c r="AA12" s="16">
        <v>378.51</v>
      </c>
    </row>
    <row r="13" spans="2:27" x14ac:dyDescent="0.35">
      <c r="B13" s="220" t="s">
        <v>53</v>
      </c>
      <c r="C13" s="220"/>
      <c r="D13" s="12"/>
      <c r="E13" s="17">
        <v>45838</v>
      </c>
      <c r="F13" s="10"/>
      <c r="G13" s="229" t="s">
        <v>8</v>
      </c>
      <c r="H13" s="229"/>
      <c r="I13" s="229"/>
      <c r="J13" s="233">
        <v>2367.4299999999998</v>
      </c>
      <c r="K13" s="234"/>
      <c r="L13" s="233">
        <v>2669.1460000000002</v>
      </c>
      <c r="M13" s="234"/>
      <c r="N13" s="233">
        <v>2916.125</v>
      </c>
      <c r="O13" s="234"/>
      <c r="P13" s="253">
        <v>1426.5889999999999</v>
      </c>
      <c r="Q13" s="254"/>
      <c r="R13" s="255">
        <v>1651.7819999999999</v>
      </c>
      <c r="S13" s="256"/>
      <c r="T13" s="231">
        <f>IFERROR(N13+R13-P13," -        ")</f>
        <v>3141.3180000000002</v>
      </c>
      <c r="U13" s="230"/>
      <c r="V13" s="10"/>
      <c r="W13" s="220" t="s">
        <v>54</v>
      </c>
      <c r="X13" s="220"/>
      <c r="Y13" s="220"/>
      <c r="Z13" s="16">
        <v>103.92700000000001</v>
      </c>
      <c r="AA13" s="16">
        <v>128.268</v>
      </c>
    </row>
    <row r="14" spans="2:27" ht="14.5" customHeight="1" x14ac:dyDescent="0.35">
      <c r="B14" s="249" t="s">
        <v>55</v>
      </c>
      <c r="C14" s="249"/>
      <c r="D14" s="249"/>
      <c r="E14" s="42">
        <v>3.5000000000000003E-2</v>
      </c>
      <c r="F14" s="10"/>
      <c r="G14" s="220" t="s">
        <v>56</v>
      </c>
      <c r="H14" s="229"/>
      <c r="I14" s="229"/>
      <c r="J14" s="233">
        <v>1299.758</v>
      </c>
      <c r="K14" s="234"/>
      <c r="L14" s="233">
        <v>1414.2139999999999</v>
      </c>
      <c r="M14" s="233"/>
      <c r="N14" s="233">
        <v>1516.548</v>
      </c>
      <c r="O14" s="265"/>
      <c r="P14" s="235">
        <v>746.495</v>
      </c>
      <c r="Q14" s="234"/>
      <c r="R14" s="233">
        <v>860.16600000000005</v>
      </c>
      <c r="S14" s="236"/>
      <c r="T14" s="230">
        <f t="shared" ref="T14:T29" si="0">IFERROR(N14+R14-P14," -        ")</f>
        <v>1630.2190000000001</v>
      </c>
      <c r="U14" s="230"/>
      <c r="V14" s="10"/>
      <c r="W14" s="220" t="s">
        <v>57</v>
      </c>
      <c r="X14" s="220"/>
      <c r="Y14" s="220"/>
      <c r="Z14" s="16">
        <v>25.957000000000001</v>
      </c>
      <c r="AA14" s="16">
        <v>19.658000000000001</v>
      </c>
    </row>
    <row r="15" spans="2:27" x14ac:dyDescent="0.35">
      <c r="B15" s="220" t="s">
        <v>58</v>
      </c>
      <c r="C15" s="220"/>
      <c r="D15" s="12"/>
      <c r="E15" s="11" t="s">
        <v>65</v>
      </c>
      <c r="F15" s="10"/>
      <c r="G15" s="220" t="s">
        <v>60</v>
      </c>
      <c r="H15" s="220"/>
      <c r="I15" s="220"/>
      <c r="J15" s="230">
        <f>IFERROR(J13-J14," -        ")</f>
        <v>1067.6719999999998</v>
      </c>
      <c r="K15" s="230"/>
      <c r="L15" s="230">
        <f t="shared" ref="L15" si="1">IFERROR(L13-L14," -        ")</f>
        <v>1254.9320000000002</v>
      </c>
      <c r="M15" s="230"/>
      <c r="N15" s="230">
        <f t="shared" ref="N15" si="2">IFERROR(N13-N14," -        ")</f>
        <v>1399.577</v>
      </c>
      <c r="O15" s="230"/>
      <c r="P15" s="231">
        <f>IFERROR(P13-P14," -        ")</f>
        <v>680.09399999999994</v>
      </c>
      <c r="Q15" s="230"/>
      <c r="R15" s="230">
        <f t="shared" ref="R15" si="3">IFERROR(R13-R14," -        ")</f>
        <v>791.61599999999987</v>
      </c>
      <c r="S15" s="232"/>
      <c r="T15" s="230">
        <f t="shared" si="0"/>
        <v>1511.0989999999997</v>
      </c>
      <c r="U15" s="230"/>
      <c r="V15" s="10"/>
      <c r="W15" s="220" t="s">
        <v>61</v>
      </c>
      <c r="X15" s="220"/>
      <c r="Y15" s="220"/>
      <c r="Z15" s="20">
        <f>IFERROR(Z11+Z12+Z13+Z14," -        ")</f>
        <v>806.81299999999999</v>
      </c>
      <c r="AA15" s="20">
        <f>IFERROR(AA11+AA12+AA13+AA14," -        ")</f>
        <v>810.851</v>
      </c>
    </row>
    <row r="16" spans="2:27" x14ac:dyDescent="0.35">
      <c r="B16" s="220" t="s">
        <v>62</v>
      </c>
      <c r="C16" s="220"/>
      <c r="D16" s="12"/>
      <c r="E16" s="21" t="s">
        <v>229</v>
      </c>
      <c r="F16" s="10"/>
      <c r="G16" s="220" t="s">
        <v>64</v>
      </c>
      <c r="H16" s="220"/>
      <c r="I16" s="220"/>
      <c r="J16" s="233">
        <v>795.05600000000004</v>
      </c>
      <c r="K16" s="234"/>
      <c r="L16" s="233">
        <v>931.41200000000003</v>
      </c>
      <c r="M16" s="234"/>
      <c r="N16" s="233">
        <v>1035.443</v>
      </c>
      <c r="O16" s="234"/>
      <c r="P16" s="235">
        <v>513.61500000000001</v>
      </c>
      <c r="Q16" s="234"/>
      <c r="R16" s="233">
        <v>574.68100000000004</v>
      </c>
      <c r="S16" s="236"/>
      <c r="T16" s="230">
        <f t="shared" si="0"/>
        <v>1096.509</v>
      </c>
      <c r="U16" s="230"/>
      <c r="V16" s="10"/>
      <c r="W16" s="220"/>
      <c r="X16" s="220"/>
      <c r="Y16" s="220"/>
      <c r="Z16" s="20"/>
      <c r="AA16" s="20"/>
    </row>
    <row r="17" spans="2:27" x14ac:dyDescent="0.35">
      <c r="B17" s="220" t="s">
        <v>66</v>
      </c>
      <c r="C17" s="220"/>
      <c r="D17" s="12"/>
      <c r="E17" s="22">
        <v>0.38</v>
      </c>
      <c r="F17" s="10"/>
      <c r="G17" s="220" t="s">
        <v>67</v>
      </c>
      <c r="H17" s="220"/>
      <c r="I17" s="220"/>
      <c r="J17" s="233">
        <f>951.985-J16</f>
        <v>156.92899999999997</v>
      </c>
      <c r="K17" s="234"/>
      <c r="L17" s="233">
        <f>1115.779-L16</f>
        <v>184.36699999999996</v>
      </c>
      <c r="M17" s="234"/>
      <c r="N17" s="233">
        <f>1262.754-N16</f>
        <v>227.31099999999992</v>
      </c>
      <c r="O17" s="234"/>
      <c r="P17" s="235">
        <f>627.791-P16</f>
        <v>114.17600000000004</v>
      </c>
      <c r="Q17" s="234"/>
      <c r="R17" s="233">
        <f>706.819-R16</f>
        <v>132.13799999999992</v>
      </c>
      <c r="S17" s="236"/>
      <c r="T17" s="230">
        <f t="shared" si="0"/>
        <v>245.2729999999998</v>
      </c>
      <c r="U17" s="230"/>
      <c r="V17" s="10"/>
      <c r="W17" s="220" t="s">
        <v>68</v>
      </c>
      <c r="X17" s="220"/>
      <c r="Y17" s="220"/>
      <c r="Z17" s="16">
        <v>593.48099999999999</v>
      </c>
      <c r="AA17" s="16">
        <v>684.43799999999999</v>
      </c>
    </row>
    <row r="18" spans="2:27" x14ac:dyDescent="0.35">
      <c r="B18" s="10"/>
      <c r="C18" s="10"/>
      <c r="D18" s="10"/>
      <c r="E18" s="10"/>
      <c r="F18" s="10"/>
      <c r="G18" s="220" t="s">
        <v>69</v>
      </c>
      <c r="H18" s="220"/>
      <c r="I18" s="220"/>
      <c r="J18" s="248">
        <f>IFERROR(J15-J16-J17," -        ")</f>
        <v>115.68699999999978</v>
      </c>
      <c r="K18" s="230"/>
      <c r="L18" s="248">
        <f>IFERROR(L15-L16-L17," -        ")</f>
        <v>139.15300000000025</v>
      </c>
      <c r="M18" s="230"/>
      <c r="N18" s="248">
        <f>IFERROR(N15-N16-N17," -        ")</f>
        <v>136.82300000000009</v>
      </c>
      <c r="O18" s="230"/>
      <c r="P18" s="231">
        <f>IFERROR(P15-P16-P17," -        ")</f>
        <v>52.302999999999884</v>
      </c>
      <c r="Q18" s="230"/>
      <c r="R18" s="230">
        <f>IFERROR(R15-R16-R17," -        ")</f>
        <v>84.796999999999912</v>
      </c>
      <c r="S18" s="232"/>
      <c r="T18" s="230">
        <f t="shared" si="0"/>
        <v>169.31700000000012</v>
      </c>
      <c r="U18" s="230"/>
      <c r="V18" s="10"/>
      <c r="W18" s="220" t="s">
        <v>70</v>
      </c>
      <c r="X18" s="220"/>
      <c r="Y18" s="220"/>
      <c r="Z18" s="16">
        <f>170.323+37.282</f>
        <v>207.60500000000002</v>
      </c>
      <c r="AA18" s="16">
        <f>170.323+35.949</f>
        <v>206.27199999999999</v>
      </c>
    </row>
    <row r="19" spans="2:27" ht="15" thickBot="1" x14ac:dyDescent="0.4">
      <c r="B19" s="8" t="s">
        <v>71</v>
      </c>
      <c r="C19" s="9"/>
      <c r="D19" s="9"/>
      <c r="E19" s="9"/>
      <c r="F19" s="10"/>
      <c r="G19" s="220" t="s">
        <v>72</v>
      </c>
      <c r="H19" s="220"/>
      <c r="I19" s="220"/>
      <c r="J19" s="233">
        <v>13.255000000000001</v>
      </c>
      <c r="K19" s="234"/>
      <c r="L19" s="233">
        <v>18.5</v>
      </c>
      <c r="M19" s="234"/>
      <c r="N19" s="233">
        <v>21.446999999999999</v>
      </c>
      <c r="O19" s="234"/>
      <c r="P19" s="235">
        <v>9.2240000000000002</v>
      </c>
      <c r="Q19" s="234"/>
      <c r="R19" s="233">
        <v>13.504</v>
      </c>
      <c r="S19" s="236"/>
      <c r="T19" s="230">
        <f t="shared" si="0"/>
        <v>25.727</v>
      </c>
      <c r="U19" s="230"/>
      <c r="V19" s="10"/>
      <c r="W19" s="220" t="s">
        <v>73</v>
      </c>
      <c r="X19" s="220"/>
      <c r="Y19" s="220"/>
      <c r="Z19" s="16">
        <v>4.359</v>
      </c>
      <c r="AA19" s="16">
        <f>3.791+8.3+82.555</f>
        <v>94.646000000000015</v>
      </c>
    </row>
    <row r="20" spans="2:27" ht="3.5" customHeight="1" x14ac:dyDescent="0.35">
      <c r="B20" s="2"/>
      <c r="C20" s="2"/>
      <c r="D20" s="2"/>
      <c r="E20" s="2"/>
      <c r="F20" s="10"/>
      <c r="G20" s="220"/>
      <c r="H20" s="220"/>
      <c r="I20" s="220"/>
      <c r="J20" s="244"/>
      <c r="K20" s="244"/>
      <c r="L20" s="244"/>
      <c r="M20" s="244"/>
      <c r="N20" s="244"/>
      <c r="O20" s="244"/>
      <c r="P20" s="245"/>
      <c r="Q20" s="244"/>
      <c r="R20" s="244"/>
      <c r="S20" s="246"/>
      <c r="T20" s="230">
        <f t="shared" si="0"/>
        <v>0</v>
      </c>
      <c r="U20" s="230"/>
      <c r="V20" s="10"/>
      <c r="W20" s="220"/>
      <c r="X20" s="220"/>
      <c r="Y20" s="12"/>
      <c r="Z20" s="20"/>
      <c r="AA20" s="20"/>
    </row>
    <row r="21" spans="2:27" x14ac:dyDescent="0.35">
      <c r="B21" s="220" t="s">
        <v>74</v>
      </c>
      <c r="C21" s="220"/>
      <c r="D21" s="23" cm="1">
        <f t="array" aca="1" ref="D21" ca="1">_FV(B2,"Last trade time",TRUE)</f>
        <v>45763.187616967189</v>
      </c>
      <c r="E21" s="24" cm="1">
        <f t="array" aca="1" ref="E21" ca="1">_FV(B2,"Price")</f>
        <v>2.42</v>
      </c>
      <c r="F21" s="10"/>
      <c r="G21" s="220" t="s">
        <v>75</v>
      </c>
      <c r="H21" s="220"/>
      <c r="I21" s="220"/>
      <c r="J21" s="230">
        <f>IFERROR(J18-J19," -        ")</f>
        <v>102.43199999999979</v>
      </c>
      <c r="K21" s="230"/>
      <c r="L21" s="230">
        <f t="shared" ref="L21" si="4">IFERROR(L18-L19," -        ")</f>
        <v>120.65300000000025</v>
      </c>
      <c r="M21" s="230"/>
      <c r="N21" s="230">
        <f t="shared" ref="N21" si="5">IFERROR(N18-N19," -        ")</f>
        <v>115.37600000000009</v>
      </c>
      <c r="O21" s="230"/>
      <c r="P21" s="231">
        <f t="shared" ref="P21" si="6">IFERROR(P18-P19," -        ")</f>
        <v>43.07899999999988</v>
      </c>
      <c r="Q21" s="230"/>
      <c r="R21" s="230">
        <f t="shared" ref="R21" si="7">IFERROR(R18-R19," -        ")</f>
        <v>71.292999999999907</v>
      </c>
      <c r="S21" s="232"/>
      <c r="T21" s="230">
        <f t="shared" si="0"/>
        <v>143.59000000000009</v>
      </c>
      <c r="U21" s="230"/>
      <c r="V21" s="10"/>
      <c r="W21" s="220" t="s">
        <v>76</v>
      </c>
      <c r="X21" s="220"/>
      <c r="Y21" s="220"/>
      <c r="Z21" s="20">
        <f>IFERROR(Z17+Z18+Z19+Z15," -       ")</f>
        <v>1612.258</v>
      </c>
      <c r="AA21" s="20">
        <f>IFERROR(AA17+AA18+AA19+AA15," -       ")</f>
        <v>1796.2069999999999</v>
      </c>
    </row>
    <row r="22" spans="2:27" x14ac:dyDescent="0.35">
      <c r="B22" s="220" t="s">
        <v>77</v>
      </c>
      <c r="C22" s="220"/>
      <c r="D22" s="25"/>
      <c r="E22" s="26">
        <f ca="1">IFERROR(E21/E23,"NA")</f>
        <v>0.60124223602484461</v>
      </c>
      <c r="F22" s="10"/>
      <c r="G22" s="220" t="s">
        <v>78</v>
      </c>
      <c r="H22" s="220"/>
      <c r="I22" s="220"/>
      <c r="J22" s="233">
        <v>35.744</v>
      </c>
      <c r="K22" s="234"/>
      <c r="L22" s="233">
        <v>39.283000000000001</v>
      </c>
      <c r="M22" s="234"/>
      <c r="N22" s="233">
        <v>37.713999999999999</v>
      </c>
      <c r="O22" s="234"/>
      <c r="P22" s="235">
        <v>16.879000000000001</v>
      </c>
      <c r="Q22" s="234"/>
      <c r="R22" s="233">
        <v>19.456</v>
      </c>
      <c r="S22" s="236"/>
      <c r="T22" s="230">
        <f t="shared" si="0"/>
        <v>40.290999999999997</v>
      </c>
      <c r="U22" s="230"/>
      <c r="V22" s="10"/>
      <c r="W22" s="220"/>
      <c r="X22" s="220"/>
      <c r="Y22" s="220"/>
      <c r="Z22" s="20"/>
      <c r="AA22" s="20"/>
    </row>
    <row r="23" spans="2:27" x14ac:dyDescent="0.35">
      <c r="B23" s="220" t="s">
        <v>79</v>
      </c>
      <c r="C23" s="220"/>
      <c r="D23" s="23" cm="1">
        <f t="array" aca="1" ref="D23" ca="1">_FV(B2,"Last trade time",TRUE)</f>
        <v>45763.187616967189</v>
      </c>
      <c r="E23" s="24" cm="1">
        <f t="array" aca="1" ref="E23" ca="1">_FV(B2,"52 week high",TRUE)</f>
        <v>4.0250000000000004</v>
      </c>
      <c r="F23" s="10"/>
      <c r="G23" s="220" t="s">
        <v>80</v>
      </c>
      <c r="H23" s="220"/>
      <c r="I23" s="220"/>
      <c r="J23" s="233">
        <v>0</v>
      </c>
      <c r="K23" s="234"/>
      <c r="L23" s="233">
        <v>0</v>
      </c>
      <c r="M23" s="234"/>
      <c r="N23" s="233">
        <v>0</v>
      </c>
      <c r="O23" s="234"/>
      <c r="P23" s="235">
        <v>0</v>
      </c>
      <c r="Q23" s="234"/>
      <c r="R23" s="233">
        <v>0</v>
      </c>
      <c r="S23" s="236"/>
      <c r="T23" s="230">
        <f t="shared" si="0"/>
        <v>0</v>
      </c>
      <c r="U23" s="230"/>
      <c r="V23" s="10"/>
      <c r="W23" s="220" t="s">
        <v>81</v>
      </c>
      <c r="X23" s="220"/>
      <c r="Y23" s="220"/>
      <c r="Z23" s="16">
        <v>423.00099999999998</v>
      </c>
      <c r="AA23" s="16">
        <v>446.53899999999999</v>
      </c>
    </row>
    <row r="24" spans="2:27" x14ac:dyDescent="0.35">
      <c r="B24" s="220" t="s">
        <v>82</v>
      </c>
      <c r="C24" s="220"/>
      <c r="D24" s="23" cm="1">
        <f t="array" aca="1" ref="D24" ca="1">_FV(B2,"Last trade time",TRUE)</f>
        <v>45763.187616967189</v>
      </c>
      <c r="E24" s="24" cm="1">
        <f t="array" aca="1" ref="E24" ca="1">_FV(B2,"52 week low",TRUE)</f>
        <v>2.29</v>
      </c>
      <c r="F24" s="10"/>
      <c r="G24" s="220" t="s">
        <v>83</v>
      </c>
      <c r="H24" s="220"/>
      <c r="I24" s="220"/>
      <c r="J24" s="233">
        <v>0</v>
      </c>
      <c r="K24" s="234"/>
      <c r="L24" s="233">
        <v>0</v>
      </c>
      <c r="M24" s="234"/>
      <c r="N24" s="233">
        <v>0</v>
      </c>
      <c r="O24" s="234"/>
      <c r="P24" s="235">
        <v>0</v>
      </c>
      <c r="Q24" s="234"/>
      <c r="R24" s="233">
        <v>0</v>
      </c>
      <c r="S24" s="236"/>
      <c r="T24" s="230">
        <f t="shared" si="0"/>
        <v>0</v>
      </c>
      <c r="U24" s="230"/>
      <c r="V24" s="10"/>
      <c r="W24" s="220" t="s">
        <v>84</v>
      </c>
      <c r="X24" s="220"/>
      <c r="Y24" s="220"/>
      <c r="Z24" s="16">
        <v>93.662999999999997</v>
      </c>
      <c r="AA24" s="16">
        <v>113.14</v>
      </c>
    </row>
    <row r="25" spans="2:27" x14ac:dyDescent="0.35">
      <c r="B25" s="220" t="s">
        <v>85</v>
      </c>
      <c r="C25" s="220"/>
      <c r="D25" s="25"/>
      <c r="E25" s="43">
        <f>E14</f>
        <v>3.5000000000000003E-2</v>
      </c>
      <c r="F25" s="10"/>
      <c r="G25" s="220" t="s">
        <v>86</v>
      </c>
      <c r="H25" s="220"/>
      <c r="I25" s="220"/>
      <c r="J25" s="230">
        <f>IFERROR(J21-J22-J23-J24," -        ")</f>
        <v>66.687999999999789</v>
      </c>
      <c r="K25" s="230"/>
      <c r="L25" s="230">
        <f t="shared" ref="L25" si="8">IFERROR(L21-L22-L23-L24," -        ")</f>
        <v>81.370000000000246</v>
      </c>
      <c r="M25" s="230"/>
      <c r="N25" s="230">
        <f t="shared" ref="N25" si="9">IFERROR(N21-N22-N23-N24," -        ")</f>
        <v>77.662000000000091</v>
      </c>
      <c r="O25" s="230"/>
      <c r="P25" s="231">
        <f t="shared" ref="P25" si="10">IFERROR(P21-P22-P23-P24," -        ")</f>
        <v>26.199999999999878</v>
      </c>
      <c r="Q25" s="230"/>
      <c r="R25" s="230">
        <f t="shared" ref="R25" si="11">IFERROR(R21-R22-R23-R24," -        ")</f>
        <v>51.836999999999904</v>
      </c>
      <c r="S25" s="232"/>
      <c r="T25" s="230">
        <f t="shared" si="0"/>
        <v>103.29900000000012</v>
      </c>
      <c r="U25" s="230"/>
      <c r="V25" s="10"/>
      <c r="W25" s="220" t="s">
        <v>87</v>
      </c>
      <c r="X25" s="220"/>
      <c r="Y25" s="220"/>
      <c r="Z25" s="16">
        <v>98.05</v>
      </c>
      <c r="AA25" s="16">
        <v>153.95500000000001</v>
      </c>
    </row>
    <row r="26" spans="2:27" x14ac:dyDescent="0.35">
      <c r="B26" s="220"/>
      <c r="C26" s="220"/>
      <c r="D26" s="25"/>
      <c r="E26" s="25"/>
      <c r="F26" s="10"/>
      <c r="G26" s="220" t="s">
        <v>88</v>
      </c>
      <c r="H26" s="220"/>
      <c r="I26" s="220"/>
      <c r="J26" s="205">
        <f>IFERROR(J22/J21," -        ")</f>
        <v>0.34895345204623629</v>
      </c>
      <c r="K26" s="205"/>
      <c r="L26" s="205">
        <f t="shared" ref="L26" si="12">IFERROR(L22/L21," -        ")</f>
        <v>0.3255865995872454</v>
      </c>
      <c r="M26" s="205"/>
      <c r="N26" s="205">
        <f t="shared" ref="N26" si="13">IFERROR(N22/N21," -        ")</f>
        <v>0.32687907363749802</v>
      </c>
      <c r="O26" s="205"/>
      <c r="P26" s="216">
        <f t="shared" ref="P26" si="14">IFERROR(P22/P21," -        ")</f>
        <v>0.39181503748926505</v>
      </c>
      <c r="Q26" s="205"/>
      <c r="R26" s="205">
        <f t="shared" ref="R26" si="15">IFERROR(R22/R21," -        ")</f>
        <v>0.27290196793514127</v>
      </c>
      <c r="S26" s="217"/>
      <c r="T26" s="205">
        <f t="shared" si="0"/>
        <v>0.20796600408337418</v>
      </c>
      <c r="U26" s="205"/>
      <c r="V26" s="28"/>
      <c r="W26" s="247" t="s">
        <v>89</v>
      </c>
      <c r="X26" s="247"/>
      <c r="Y26" s="247"/>
      <c r="Z26" s="20">
        <f>IFERROR(Z23+Z24+Z25," -       ")</f>
        <v>614.71399999999994</v>
      </c>
      <c r="AA26" s="20">
        <f>IFERROR(AA23+AA24+AA25," -       ")</f>
        <v>713.63400000000001</v>
      </c>
    </row>
    <row r="27" spans="2:27" x14ac:dyDescent="0.35">
      <c r="B27" s="29" t="s">
        <v>90</v>
      </c>
      <c r="C27" s="29"/>
      <c r="D27" s="25"/>
      <c r="E27" s="30">
        <f>T28</f>
        <v>461.44705199999999</v>
      </c>
      <c r="F27" s="10"/>
      <c r="G27" s="220"/>
      <c r="H27" s="220"/>
      <c r="I27" s="220"/>
      <c r="J27" s="244"/>
      <c r="K27" s="244"/>
      <c r="L27" s="244"/>
      <c r="M27" s="244"/>
      <c r="N27" s="244"/>
      <c r="O27" s="244"/>
      <c r="P27" s="245"/>
      <c r="Q27" s="244"/>
      <c r="R27" s="244"/>
      <c r="S27" s="246"/>
      <c r="T27" s="230"/>
      <c r="U27" s="230"/>
      <c r="V27" s="10"/>
      <c r="W27" s="220"/>
      <c r="X27" s="220"/>
      <c r="Y27" s="220"/>
      <c r="Z27" s="20"/>
      <c r="AA27" s="20"/>
    </row>
    <row r="28" spans="2:27" x14ac:dyDescent="0.35">
      <c r="B28" s="229" t="s">
        <v>91</v>
      </c>
      <c r="C28" s="229"/>
      <c r="D28" s="25"/>
      <c r="E28" s="30">
        <f ca="1">IFERROR(E27*E21," -       ")</f>
        <v>1116.70186584</v>
      </c>
      <c r="F28" s="10"/>
      <c r="G28" s="220" t="s">
        <v>92</v>
      </c>
      <c r="H28" s="220"/>
      <c r="I28" s="220"/>
      <c r="J28" s="233">
        <v>455.26900000000001</v>
      </c>
      <c r="K28" s="234"/>
      <c r="L28" s="233">
        <v>459.46699999999998</v>
      </c>
      <c r="M28" s="234"/>
      <c r="N28" s="233">
        <v>462.01600000000002</v>
      </c>
      <c r="O28" s="234"/>
      <c r="P28" s="235">
        <v>462.61111099999999</v>
      </c>
      <c r="Q28" s="234"/>
      <c r="R28" s="233">
        <v>461.47321399999998</v>
      </c>
      <c r="S28" s="236"/>
      <c r="T28" s="230">
        <v>461.44705199999999</v>
      </c>
      <c r="U28" s="230"/>
      <c r="V28" s="10"/>
      <c r="W28" s="220" t="s">
        <v>93</v>
      </c>
      <c r="X28" s="220"/>
      <c r="Y28" s="220"/>
      <c r="Z28" s="16">
        <v>231.79599999999999</v>
      </c>
      <c r="AA28" s="16">
        <v>330.47300000000001</v>
      </c>
    </row>
    <row r="29" spans="2:27" ht="15" thickBot="1" x14ac:dyDescent="0.4">
      <c r="B29" s="220"/>
      <c r="C29" s="220"/>
      <c r="D29" s="25"/>
      <c r="E29" s="30"/>
      <c r="F29" s="10"/>
      <c r="G29" s="220" t="s">
        <v>94</v>
      </c>
      <c r="H29" s="220"/>
      <c r="I29" s="220"/>
      <c r="J29" s="230">
        <f>IFERROR(J25/J28," -        ")</f>
        <v>0.1464804324476294</v>
      </c>
      <c r="K29" s="230"/>
      <c r="L29" s="230">
        <f t="shared" ref="L29" si="16">IFERROR(L25/L28," -        ")</f>
        <v>0.17709650529853124</v>
      </c>
      <c r="M29" s="230"/>
      <c r="N29" s="230">
        <f>IFERROR(N25/N28," -        ")</f>
        <v>0.16809374567114577</v>
      </c>
      <c r="O29" s="230"/>
      <c r="P29" s="241">
        <f t="shared" ref="P29" si="17">IFERROR(P25/P28," -        ")</f>
        <v>5.6635042646003109E-2</v>
      </c>
      <c r="Q29" s="242"/>
      <c r="R29" s="242">
        <f t="shared" ref="R29" si="18">IFERROR(R25/R28," -        ")</f>
        <v>0.11232937996700261</v>
      </c>
      <c r="S29" s="243"/>
      <c r="T29" s="230">
        <f t="shared" si="0"/>
        <v>0.22378808299214525</v>
      </c>
      <c r="U29" s="230"/>
      <c r="V29" s="10"/>
      <c r="W29" s="220" t="s">
        <v>95</v>
      </c>
      <c r="X29" s="220"/>
      <c r="Y29" s="220"/>
      <c r="Z29" s="16">
        <v>113.19199999999999</v>
      </c>
      <c r="AA29" s="16">
        <v>85.974999999999994</v>
      </c>
    </row>
    <row r="30" spans="2:27" x14ac:dyDescent="0.35">
      <c r="B30" s="220" t="s">
        <v>96</v>
      </c>
      <c r="C30" s="220"/>
      <c r="D30" s="25"/>
      <c r="E30" s="30">
        <f>IF(SUM(AA24,AA28)=0," -       ",SUM(AA24,AA28))</f>
        <v>443.613</v>
      </c>
      <c r="F30" s="10"/>
      <c r="G30" s="10"/>
      <c r="H30" s="10"/>
      <c r="I30" s="10"/>
      <c r="J30" s="10"/>
      <c r="K30" s="10"/>
      <c r="L30" s="10"/>
      <c r="M30" s="10"/>
      <c r="N30" s="10"/>
      <c r="O30" s="10"/>
      <c r="P30" s="10"/>
      <c r="Q30" s="10"/>
      <c r="R30" s="10"/>
      <c r="S30" s="10"/>
      <c r="T30" s="10"/>
      <c r="U30" s="10"/>
      <c r="V30" s="10"/>
      <c r="W30" s="229" t="s">
        <v>97</v>
      </c>
      <c r="X30" s="229"/>
      <c r="Y30" s="229"/>
      <c r="Z30" s="20">
        <f>IFERROR(Z26+Z28+Z29," -       ")</f>
        <v>959.702</v>
      </c>
      <c r="AA30" s="20">
        <f>IFERROR(AA26+AA28+AA29," -       ")</f>
        <v>1130.0819999999999</v>
      </c>
    </row>
    <row r="31" spans="2:27" x14ac:dyDescent="0.35">
      <c r="B31" s="220" t="s">
        <v>98</v>
      </c>
      <c r="C31" s="220"/>
      <c r="D31" s="25"/>
      <c r="E31" s="30">
        <f>AA33</f>
        <v>0</v>
      </c>
      <c r="F31" s="10"/>
      <c r="G31" s="10"/>
      <c r="H31" s="10"/>
      <c r="I31" s="10"/>
      <c r="J31" s="10"/>
      <c r="K31" s="10"/>
      <c r="L31" s="10"/>
      <c r="M31" s="10"/>
      <c r="N31" s="10"/>
      <c r="O31" s="10"/>
      <c r="P31" s="10"/>
      <c r="Q31" s="10"/>
      <c r="R31" s="10"/>
      <c r="S31" s="10"/>
      <c r="T31" s="10"/>
      <c r="U31" s="10"/>
      <c r="V31" s="10"/>
      <c r="W31" s="220"/>
      <c r="X31" s="220"/>
      <c r="Y31" s="220"/>
      <c r="Z31" s="20"/>
      <c r="AA31" s="20"/>
    </row>
    <row r="32" spans="2:27" ht="15" thickBot="1" x14ac:dyDescent="0.4">
      <c r="B32" s="220" t="s">
        <v>99</v>
      </c>
      <c r="C32" s="220"/>
      <c r="D32" s="25"/>
      <c r="E32" s="30">
        <f>AA32</f>
        <v>0</v>
      </c>
      <c r="F32" s="10"/>
      <c r="G32" s="1" t="s">
        <v>100</v>
      </c>
      <c r="H32" s="2"/>
      <c r="I32" s="2"/>
      <c r="J32" s="2"/>
      <c r="K32" s="2"/>
      <c r="L32" s="2"/>
      <c r="M32" s="2"/>
      <c r="N32" s="2"/>
      <c r="O32" s="2"/>
      <c r="P32" s="2"/>
      <c r="Q32" s="2"/>
      <c r="R32" s="2"/>
      <c r="S32" s="2"/>
      <c r="T32" s="2"/>
      <c r="U32" s="2"/>
      <c r="V32" s="10"/>
      <c r="W32" s="220" t="s">
        <v>101</v>
      </c>
      <c r="X32" s="220"/>
      <c r="Y32" s="220"/>
      <c r="Z32" s="16">
        <v>0</v>
      </c>
      <c r="AA32" s="16">
        <v>0</v>
      </c>
    </row>
    <row r="33" spans="2:27" x14ac:dyDescent="0.35">
      <c r="B33" s="29" t="s">
        <v>102</v>
      </c>
      <c r="C33" s="29"/>
      <c r="D33" s="25"/>
      <c r="E33" s="30">
        <f>Z11</f>
        <v>246.648</v>
      </c>
      <c r="F33" s="10"/>
      <c r="G33" s="220" t="s">
        <v>103</v>
      </c>
      <c r="H33" s="220"/>
      <c r="I33" s="220"/>
      <c r="J33" s="230">
        <f>J15</f>
        <v>1067.6719999999998</v>
      </c>
      <c r="K33" s="230"/>
      <c r="L33" s="230">
        <f t="shared" ref="L33" si="19">L15</f>
        <v>1254.9320000000002</v>
      </c>
      <c r="M33" s="230"/>
      <c r="N33" s="230">
        <f t="shared" ref="N33" si="20">N15</f>
        <v>1399.577</v>
      </c>
      <c r="O33" s="230"/>
      <c r="P33" s="238">
        <f t="shared" ref="P33" si="21">P15</f>
        <v>680.09399999999994</v>
      </c>
      <c r="Q33" s="239"/>
      <c r="R33" s="239">
        <f t="shared" ref="R33" si="22">R15</f>
        <v>791.61599999999987</v>
      </c>
      <c r="S33" s="240"/>
      <c r="T33" s="230">
        <f t="shared" ref="T33:T59" si="23">IFERROR(N33+R33-P33," -        ")</f>
        <v>1511.0989999999997</v>
      </c>
      <c r="U33" s="230"/>
      <c r="V33" s="10"/>
      <c r="W33" s="220" t="s">
        <v>104</v>
      </c>
      <c r="X33" s="220"/>
      <c r="Y33" s="220"/>
      <c r="Z33" s="16">
        <v>0</v>
      </c>
      <c r="AA33" s="16">
        <v>0</v>
      </c>
    </row>
    <row r="34" spans="2:27" x14ac:dyDescent="0.35">
      <c r="B34" s="229" t="s">
        <v>105</v>
      </c>
      <c r="C34" s="229"/>
      <c r="D34" s="25"/>
      <c r="E34" s="30">
        <f ca="1">IFERROR(E28+E30+E31+E32-E33,"-       ")</f>
        <v>1313.6668658400001</v>
      </c>
      <c r="F34" s="10"/>
      <c r="G34" s="220" t="s">
        <v>106</v>
      </c>
      <c r="H34" s="220"/>
      <c r="I34" s="220"/>
      <c r="J34" s="233">
        <v>0</v>
      </c>
      <c r="K34" s="234"/>
      <c r="L34" s="233">
        <v>0</v>
      </c>
      <c r="M34" s="234"/>
      <c r="N34" s="233">
        <v>0</v>
      </c>
      <c r="O34" s="234"/>
      <c r="P34" s="235">
        <v>0</v>
      </c>
      <c r="Q34" s="234"/>
      <c r="R34" s="233">
        <v>0</v>
      </c>
      <c r="S34" s="236"/>
      <c r="T34" s="230">
        <f t="shared" si="23"/>
        <v>0</v>
      </c>
      <c r="U34" s="230"/>
      <c r="V34" s="10"/>
      <c r="W34" s="220" t="s">
        <v>107</v>
      </c>
      <c r="X34" s="220"/>
      <c r="Y34" s="220"/>
      <c r="Z34" s="16">
        <v>652.55600000000004</v>
      </c>
      <c r="AA34" s="16">
        <v>666.11500000000001</v>
      </c>
    </row>
    <row r="35" spans="2:27" x14ac:dyDescent="0.35">
      <c r="B35" s="10"/>
      <c r="C35" s="10"/>
      <c r="D35" s="10"/>
      <c r="E35" s="10"/>
      <c r="F35" s="10"/>
      <c r="G35" s="220" t="s">
        <v>108</v>
      </c>
      <c r="H35" s="220"/>
      <c r="I35" s="220"/>
      <c r="J35" s="230">
        <f>IFERROR(J33+J34," -        ")</f>
        <v>1067.6719999999998</v>
      </c>
      <c r="K35" s="230"/>
      <c r="L35" s="230">
        <f t="shared" ref="L35" si="24">IFERROR(L33+L34," -        ")</f>
        <v>1254.9320000000002</v>
      </c>
      <c r="M35" s="230"/>
      <c r="N35" s="230">
        <f t="shared" ref="N35" si="25">IFERROR(N33+N34," -        ")</f>
        <v>1399.577</v>
      </c>
      <c r="O35" s="230"/>
      <c r="P35" s="231">
        <f t="shared" ref="P35" si="26">IFERROR(P33+P34," -        ")</f>
        <v>680.09399999999994</v>
      </c>
      <c r="Q35" s="230"/>
      <c r="R35" s="230">
        <f t="shared" ref="R35" si="27">IFERROR(R33+R34," -        ")</f>
        <v>791.61599999999987</v>
      </c>
      <c r="S35" s="232"/>
      <c r="T35" s="230">
        <f t="shared" si="23"/>
        <v>1511.0989999999997</v>
      </c>
      <c r="U35" s="230"/>
      <c r="V35" s="10"/>
      <c r="W35" s="220" t="s">
        <v>109</v>
      </c>
      <c r="X35" s="220"/>
      <c r="Y35" s="220"/>
      <c r="Z35" s="20">
        <f>IFERROR(Z30+Z32+Z33+Z34," -       ")</f>
        <v>1612.258</v>
      </c>
      <c r="AA35" s="20">
        <f>IFERROR(AA30+AA32+AA33+AA34," -       ")</f>
        <v>1796.1969999999999</v>
      </c>
    </row>
    <row r="36" spans="2:27" ht="15" thickBot="1" x14ac:dyDescent="0.4">
      <c r="B36" s="8" t="s">
        <v>110</v>
      </c>
      <c r="C36" s="9"/>
      <c r="D36" s="9"/>
      <c r="E36" s="9"/>
      <c r="F36" s="10"/>
      <c r="G36" s="220" t="s">
        <v>111</v>
      </c>
      <c r="H36" s="220"/>
      <c r="I36" s="220"/>
      <c r="J36" s="205">
        <f>IFERROR(J35/J13," -        ")</f>
        <v>0.45098355600799173</v>
      </c>
      <c r="K36" s="205"/>
      <c r="L36" s="205">
        <f t="shared" ref="L36" si="28">IFERROR(L35/L13," -        ")</f>
        <v>0.47016236653970978</v>
      </c>
      <c r="M36" s="205"/>
      <c r="N36" s="205">
        <f t="shared" ref="N36" si="29">IFERROR(N35/N13," -        ")</f>
        <v>0.47994410390501091</v>
      </c>
      <c r="O36" s="205"/>
      <c r="P36" s="216">
        <f t="shared" ref="P36" si="30">IFERROR(P35/P13," -        ")</f>
        <v>0.47672735454990889</v>
      </c>
      <c r="Q36" s="205"/>
      <c r="R36" s="205">
        <f t="shared" ref="R36" si="31">IFERROR(R35/R13," -        ")</f>
        <v>0.47924968306955756</v>
      </c>
      <c r="S36" s="217"/>
      <c r="T36" s="205">
        <f t="shared" si="23"/>
        <v>0.48246643242465959</v>
      </c>
      <c r="U36" s="205"/>
      <c r="V36" s="10"/>
      <c r="W36" s="237" t="s">
        <v>112</v>
      </c>
      <c r="X36" s="237"/>
      <c r="Y36" s="237"/>
      <c r="Z36" s="20">
        <f>IFERROR(Z21-Z35," -       ")</f>
        <v>0</v>
      </c>
      <c r="AA36" s="20">
        <f>IFERROR(AA21-AA35," -       ")</f>
        <v>9.9999999999909051E-3</v>
      </c>
    </row>
    <row r="37" spans="2:27" ht="3" customHeight="1" x14ac:dyDescent="0.35">
      <c r="B37" s="2"/>
      <c r="C37" s="2"/>
      <c r="D37" s="2"/>
      <c r="E37" s="2"/>
      <c r="F37" s="10"/>
      <c r="G37" s="220"/>
      <c r="H37" s="220"/>
      <c r="I37" s="220"/>
      <c r="J37" s="224"/>
      <c r="K37" s="224"/>
      <c r="L37" s="224"/>
      <c r="M37" s="224"/>
      <c r="N37" s="224"/>
      <c r="O37" s="224"/>
      <c r="P37" s="227"/>
      <c r="Q37" s="224"/>
      <c r="R37" s="224"/>
      <c r="S37" s="228"/>
      <c r="T37" s="224">
        <f t="shared" si="23"/>
        <v>0</v>
      </c>
      <c r="U37" s="224"/>
      <c r="V37" s="10"/>
      <c r="W37" s="10"/>
      <c r="X37" s="10"/>
      <c r="Y37" s="10"/>
      <c r="Z37" s="10"/>
      <c r="AA37" s="10"/>
    </row>
    <row r="38" spans="2:27" x14ac:dyDescent="0.35">
      <c r="B38" s="12"/>
      <c r="C38" s="13" t="s">
        <v>3</v>
      </c>
      <c r="D38" s="13" t="s">
        <v>113</v>
      </c>
      <c r="E38" s="13" t="s">
        <v>114</v>
      </c>
      <c r="F38" s="10"/>
      <c r="G38" s="220"/>
      <c r="H38" s="220"/>
      <c r="I38" s="220"/>
      <c r="J38" s="213"/>
      <c r="K38" s="213"/>
      <c r="L38" s="213"/>
      <c r="M38" s="213"/>
      <c r="N38" s="213"/>
      <c r="O38" s="213"/>
      <c r="P38" s="225"/>
      <c r="Q38" s="213"/>
      <c r="R38" s="213"/>
      <c r="S38" s="226"/>
      <c r="T38" s="213"/>
      <c r="U38" s="213"/>
      <c r="V38" s="10"/>
      <c r="W38" s="10"/>
      <c r="X38" s="10"/>
      <c r="Y38" s="10"/>
      <c r="Z38" s="10"/>
      <c r="AA38" s="10"/>
    </row>
    <row r="39" spans="2:27" x14ac:dyDescent="0.35">
      <c r="B39" s="12"/>
      <c r="C39" s="14">
        <v>45747</v>
      </c>
      <c r="D39" s="13" t="s">
        <v>115</v>
      </c>
      <c r="E39" s="13" t="s">
        <v>116</v>
      </c>
      <c r="F39" s="10"/>
      <c r="G39" s="220" t="s">
        <v>117</v>
      </c>
      <c r="H39" s="220"/>
      <c r="I39" s="220"/>
      <c r="J39" s="230">
        <f>J18</f>
        <v>115.68699999999978</v>
      </c>
      <c r="K39" s="230"/>
      <c r="L39" s="230">
        <f t="shared" ref="L39" si="32">L18</f>
        <v>139.15300000000025</v>
      </c>
      <c r="M39" s="230"/>
      <c r="N39" s="230">
        <f t="shared" ref="N39" si="33">N18</f>
        <v>136.82300000000009</v>
      </c>
      <c r="O39" s="230"/>
      <c r="P39" s="231">
        <f t="shared" ref="P39" si="34">P18</f>
        <v>52.302999999999884</v>
      </c>
      <c r="Q39" s="230"/>
      <c r="R39" s="230">
        <f t="shared" ref="R39" si="35">R18</f>
        <v>84.796999999999912</v>
      </c>
      <c r="S39" s="232"/>
      <c r="T39" s="230">
        <f t="shared" si="23"/>
        <v>169.31700000000012</v>
      </c>
      <c r="U39" s="230"/>
      <c r="V39" s="10"/>
      <c r="W39" s="1" t="s">
        <v>196</v>
      </c>
      <c r="X39" s="2"/>
      <c r="Y39" s="2"/>
      <c r="Z39" s="2"/>
      <c r="AA39" s="2"/>
    </row>
    <row r="40" spans="2:27" x14ac:dyDescent="0.35">
      <c r="B40" s="12" t="s">
        <v>119</v>
      </c>
      <c r="C40" s="20">
        <f ca="1">IFERROR($E$34/C41,"NA")</f>
        <v>0.41818971076471723</v>
      </c>
      <c r="D40" s="20">
        <f t="shared" ref="D40:E40" ca="1" si="36">IFERROR($E$34/D41,"NA")</f>
        <v>0.39207251946606164</v>
      </c>
      <c r="E40" s="20">
        <f t="shared" ca="1" si="36"/>
        <v>0.3412351000408344</v>
      </c>
      <c r="F40" s="10"/>
      <c r="G40" s="220" t="s">
        <v>106</v>
      </c>
      <c r="H40" s="220"/>
      <c r="I40" s="220"/>
      <c r="J40" s="230">
        <f>J34</f>
        <v>0</v>
      </c>
      <c r="K40" s="230"/>
      <c r="L40" s="230">
        <f t="shared" ref="L40" si="37">L34</f>
        <v>0</v>
      </c>
      <c r="M40" s="230"/>
      <c r="N40" s="230">
        <f t="shared" ref="N40" si="38">N34</f>
        <v>0</v>
      </c>
      <c r="O40" s="230"/>
      <c r="P40" s="231">
        <f t="shared" ref="P40" si="39">P34</f>
        <v>0</v>
      </c>
      <c r="Q40" s="230"/>
      <c r="R40" s="230">
        <f t="shared" ref="R40" si="40">R34</f>
        <v>0</v>
      </c>
      <c r="S40" s="232"/>
      <c r="T40" s="230">
        <f t="shared" si="23"/>
        <v>0</v>
      </c>
      <c r="U40" s="230"/>
      <c r="V40" s="10"/>
      <c r="W40" s="220" t="s">
        <v>120</v>
      </c>
      <c r="X40" s="220"/>
      <c r="Y40" s="220"/>
      <c r="Z40" s="12"/>
      <c r="AA40" s="16" t="s">
        <v>197</v>
      </c>
    </row>
    <row r="41" spans="2:27" x14ac:dyDescent="0.35">
      <c r="B41" s="12" t="s">
        <v>121</v>
      </c>
      <c r="C41" s="20">
        <f>IF(T13=0," -       ",T13)</f>
        <v>3141.3180000000002</v>
      </c>
      <c r="D41" s="16">
        <f>IFERROR($N$13*(1+14.8980627781678%)," -        ")</f>
        <v>3350.571133189846</v>
      </c>
      <c r="E41" s="16">
        <f>IFERROR($N$13*(1+14.8980627781678%)^2," -        ")</f>
        <v>3849.7413240396381</v>
      </c>
      <c r="F41" s="10"/>
      <c r="G41" s="220" t="s">
        <v>122</v>
      </c>
      <c r="H41" s="220"/>
      <c r="I41" s="220"/>
      <c r="J41" s="233">
        <f>0.375+5.214+16.673</f>
        <v>22.262</v>
      </c>
      <c r="K41" s="234"/>
      <c r="L41" s="233">
        <f>1.335-0.495+1.428</f>
        <v>2.2679999999999998</v>
      </c>
      <c r="M41" s="234"/>
      <c r="N41" s="233">
        <f>3.13+0.113+23.059</f>
        <v>26.302</v>
      </c>
      <c r="O41" s="234"/>
      <c r="P41" s="235">
        <f>0.326+15.109</f>
        <v>15.435</v>
      </c>
      <c r="Q41" s="234"/>
      <c r="R41" s="233">
        <f>-1.292+1.14</f>
        <v>-0.15200000000000014</v>
      </c>
      <c r="S41" s="236"/>
      <c r="T41" s="230">
        <f t="shared" si="23"/>
        <v>10.714999999999998</v>
      </c>
      <c r="U41" s="230"/>
      <c r="V41" s="10"/>
      <c r="W41" s="220" t="s">
        <v>123</v>
      </c>
      <c r="X41" s="220"/>
      <c r="Y41" s="220"/>
      <c r="Z41" s="220"/>
      <c r="AA41" s="20" t="str">
        <f ca="1">Z56</f>
        <v xml:space="preserve">-       </v>
      </c>
    </row>
    <row r="42" spans="2:27" x14ac:dyDescent="0.35">
      <c r="B42" s="12" t="s">
        <v>124</v>
      </c>
      <c r="C42" s="20">
        <f ca="1">IFERROR($E$34/C43,"NA")</f>
        <v>4.0302463732083247</v>
      </c>
      <c r="D42" s="20">
        <f ca="1">IFERROR($E$34/D43,"NA")</f>
        <v>4.2480969688160224</v>
      </c>
      <c r="E42" s="20">
        <f ca="1">IFERROR($E$34/E43,"NA")</f>
        <v>4.0042098338395125</v>
      </c>
      <c r="F42" s="10"/>
      <c r="G42" s="220" t="s">
        <v>125</v>
      </c>
      <c r="H42" s="220"/>
      <c r="I42" s="220"/>
      <c r="J42" s="213">
        <f>IFERROR(J39+J40+J41," -        ")</f>
        <v>137.94899999999978</v>
      </c>
      <c r="K42" s="213"/>
      <c r="L42" s="213">
        <f t="shared" ref="L42" si="41">IFERROR(L39+L40+L41," -        ")</f>
        <v>141.42100000000025</v>
      </c>
      <c r="M42" s="213"/>
      <c r="N42" s="213">
        <f t="shared" ref="N42" si="42">IFERROR(N39+N40+N41," -        ")</f>
        <v>163.12500000000009</v>
      </c>
      <c r="O42" s="213"/>
      <c r="P42" s="225">
        <f t="shared" ref="P42" si="43">IFERROR(P39+P40+P41," -        ")</f>
        <v>67.737999999999886</v>
      </c>
      <c r="Q42" s="213"/>
      <c r="R42" s="213">
        <f t="shared" ref="R42" si="44">IFERROR(R39+R40+R41," -        ")</f>
        <v>84.644999999999911</v>
      </c>
      <c r="S42" s="226"/>
      <c r="T42" s="213">
        <f t="shared" si="23"/>
        <v>180.0320000000001</v>
      </c>
      <c r="U42" s="213"/>
      <c r="V42" s="10"/>
      <c r="W42" s="220" t="s">
        <v>126</v>
      </c>
      <c r="X42" s="220"/>
      <c r="Y42" s="220"/>
      <c r="Z42" s="12"/>
      <c r="AA42" s="20" t="str">
        <f ca="1">IFERROR(AA56/E21,"-       ")</f>
        <v xml:space="preserve">-       </v>
      </c>
    </row>
    <row r="43" spans="2:27" x14ac:dyDescent="0.35">
      <c r="B43" s="12" t="s">
        <v>121</v>
      </c>
      <c r="C43" s="20">
        <f>IF(T46=0," -       ",T46)</f>
        <v>325.95200000000006</v>
      </c>
      <c r="D43" s="16">
        <f>IFERROR($N$46*(1+6.09076809400505%)," -        ")</f>
        <v>309.23655356344875</v>
      </c>
      <c r="E43" s="16">
        <f>IFERROR($N$46*(1+6.09076809400505%)^2," -        ")</f>
        <v>328.07143490289212</v>
      </c>
      <c r="F43" s="10"/>
      <c r="G43" s="220" t="s">
        <v>111</v>
      </c>
      <c r="H43" s="220"/>
      <c r="I43" s="220"/>
      <c r="J43" s="205">
        <f>IFERROR(J42/J13," -        ")</f>
        <v>5.8269515888537272E-2</v>
      </c>
      <c r="K43" s="205"/>
      <c r="L43" s="205">
        <f t="shared" ref="L43" si="45">IFERROR(L42/L13," -        ")</f>
        <v>5.2983613485362076E-2</v>
      </c>
      <c r="M43" s="205"/>
      <c r="N43" s="205">
        <f t="shared" ref="N43" si="46">IFERROR(N42/N13," -        ")</f>
        <v>5.5938960092588655E-2</v>
      </c>
      <c r="O43" s="205"/>
      <c r="P43" s="216">
        <f t="shared" ref="P43" si="47">IFERROR(P42/P13," -        ")</f>
        <v>4.7482491453389793E-2</v>
      </c>
      <c r="Q43" s="205"/>
      <c r="R43" s="205">
        <f t="shared" ref="R43" si="48">IFERROR(R42/R13," -        ")</f>
        <v>5.1244655771766442E-2</v>
      </c>
      <c r="S43" s="217"/>
      <c r="T43" s="205">
        <f t="shared" si="23"/>
        <v>5.9701124410965305E-2</v>
      </c>
      <c r="U43" s="205"/>
      <c r="V43" s="10"/>
      <c r="W43" s="220" t="s">
        <v>127</v>
      </c>
      <c r="X43" s="220"/>
      <c r="Y43" s="220"/>
      <c r="Z43" s="12"/>
      <c r="AA43" s="20" t="str">
        <f ca="1">IFERROR(AA40+AA41-AA42,"-       ")</f>
        <v xml:space="preserve">-       </v>
      </c>
    </row>
    <row r="44" spans="2:27" x14ac:dyDescent="0.35">
      <c r="B44" s="12" t="s">
        <v>128</v>
      </c>
      <c r="C44" s="20">
        <f ca="1">IFERROR($E$34/C45,"NA")</f>
        <v>7.2968520365268361</v>
      </c>
      <c r="D44" s="20">
        <f t="shared" ref="D44:E44" ca="1" si="49">IFERROR($E$34/D45,"NA")</f>
        <v>6.6648433435785606</v>
      </c>
      <c r="E44" s="20">
        <f t="shared" ca="1" si="49"/>
        <v>5.5158845846052804</v>
      </c>
      <c r="F44" s="10"/>
      <c r="G44" s="220"/>
      <c r="H44" s="220"/>
      <c r="I44" s="220"/>
      <c r="J44" s="213"/>
      <c r="K44" s="213"/>
      <c r="L44" s="213"/>
      <c r="M44" s="213"/>
      <c r="N44" s="213"/>
      <c r="O44" s="213"/>
      <c r="P44" s="225"/>
      <c r="Q44" s="213"/>
      <c r="R44" s="213"/>
      <c r="S44" s="226"/>
      <c r="T44" s="213"/>
      <c r="U44" s="213"/>
      <c r="V44" s="10"/>
      <c r="W44" s="220" t="s">
        <v>129</v>
      </c>
      <c r="X44" s="220"/>
      <c r="Y44" s="220"/>
      <c r="Z44" s="12"/>
      <c r="AA44" s="20" t="str">
        <f>AA66</f>
        <v xml:space="preserve">-       </v>
      </c>
    </row>
    <row r="45" spans="2:27" x14ac:dyDescent="0.35">
      <c r="B45" s="12" t="s">
        <v>121</v>
      </c>
      <c r="C45" s="20">
        <f>IF(T42=0," -       ",T42)</f>
        <v>180.0320000000001</v>
      </c>
      <c r="D45" s="16">
        <f>IFERROR($N$42*(1+20.83%)," -        ")</f>
        <v>197.10393750000009</v>
      </c>
      <c r="E45" s="16">
        <f>IFERROR($N$42*(1+20.83%)^2," -        ")</f>
        <v>238.1606876812501</v>
      </c>
      <c r="F45" s="10"/>
      <c r="G45" s="220" t="s">
        <v>130</v>
      </c>
      <c r="H45" s="220"/>
      <c r="I45" s="220"/>
      <c r="J45" s="230">
        <f>J63</f>
        <v>106.17400000000001</v>
      </c>
      <c r="K45" s="230"/>
      <c r="L45" s="230">
        <f t="shared" ref="L45" si="50">L63</f>
        <v>114.098</v>
      </c>
      <c r="M45" s="230"/>
      <c r="N45" s="230">
        <f t="shared" ref="N45" si="51">N63</f>
        <v>128.358</v>
      </c>
      <c r="O45" s="230"/>
      <c r="P45" s="231">
        <f t="shared" ref="P45" si="52">P63</f>
        <v>68.372</v>
      </c>
      <c r="Q45" s="230"/>
      <c r="R45" s="230">
        <f t="shared" ref="R45" si="53">R63</f>
        <v>85.933999999999997</v>
      </c>
      <c r="S45" s="232"/>
      <c r="T45" s="230">
        <f t="shared" si="23"/>
        <v>145.92000000000002</v>
      </c>
      <c r="U45" s="230"/>
      <c r="V45" s="10"/>
      <c r="W45" s="229" t="s">
        <v>131</v>
      </c>
      <c r="X45" s="229"/>
      <c r="Y45" s="229"/>
      <c r="Z45" s="12"/>
      <c r="AA45" s="32" t="str">
        <f ca="1">IFERROR(AA43+AA44,"-       ")</f>
        <v xml:space="preserve">-       </v>
      </c>
    </row>
    <row r="46" spans="2:27" x14ac:dyDescent="0.35">
      <c r="B46" s="12" t="s">
        <v>132</v>
      </c>
      <c r="C46" s="20">
        <f ca="1">IFERROR($E$21/C47,"NA")</f>
        <v>9.7004624780783164</v>
      </c>
      <c r="D46" s="20">
        <f t="shared" ref="D46:E46" ca="1" si="54">IFERROR($E$21/D47,"NA")</f>
        <v>8.7409760935843828</v>
      </c>
      <c r="E46" s="20">
        <f t="shared" ca="1" si="54"/>
        <v>7.1818060090250437</v>
      </c>
      <c r="F46" s="10"/>
      <c r="G46" s="220" t="s">
        <v>133</v>
      </c>
      <c r="H46" s="220"/>
      <c r="I46" s="220"/>
      <c r="J46" s="230">
        <f>IFERROR(J42+J45," -        ")</f>
        <v>244.12299999999979</v>
      </c>
      <c r="K46" s="230"/>
      <c r="L46" s="230">
        <f t="shared" ref="L46" si="55">IFERROR(L42+L45," -        ")</f>
        <v>255.51900000000023</v>
      </c>
      <c r="M46" s="230"/>
      <c r="N46" s="230">
        <f t="shared" ref="N46" si="56">IFERROR(N42+N45," -        ")</f>
        <v>291.48300000000006</v>
      </c>
      <c r="O46" s="230"/>
      <c r="P46" s="231">
        <f t="shared" ref="P46" si="57">IFERROR(P42+P45," -        ")</f>
        <v>136.1099999999999</v>
      </c>
      <c r="Q46" s="230"/>
      <c r="R46" s="230">
        <f t="shared" ref="R46" si="58">IFERROR(R42+R45," -        ")</f>
        <v>170.57899999999989</v>
      </c>
      <c r="S46" s="232"/>
      <c r="T46" s="230">
        <f t="shared" si="23"/>
        <v>325.95200000000006</v>
      </c>
      <c r="U46" s="230"/>
      <c r="V46" s="10"/>
      <c r="W46" s="12"/>
      <c r="X46" s="12"/>
      <c r="Y46" s="12"/>
      <c r="Z46" s="12"/>
      <c r="AA46" s="25"/>
    </row>
    <row r="47" spans="2:27" x14ac:dyDescent="0.35">
      <c r="B47" s="12" t="s">
        <v>121</v>
      </c>
      <c r="C47" s="20">
        <f>IF(T59=0," -       ",T59)</f>
        <v>0.24947264168784328</v>
      </c>
      <c r="D47" s="16">
        <f>IFERROR($N$59*(1+21.71%)," -        ")</f>
        <v>0.27685695214018585</v>
      </c>
      <c r="E47" s="16">
        <f>IFERROR($N$59*(1+21.71%)^2," -        ")</f>
        <v>0.33696259644982024</v>
      </c>
      <c r="F47" s="10"/>
      <c r="G47" s="220" t="s">
        <v>111</v>
      </c>
      <c r="H47" s="220"/>
      <c r="I47" s="220"/>
      <c r="J47" s="205">
        <f>IFERROR(J46/J13," -        ")</f>
        <v>0.10311730441871557</v>
      </c>
      <c r="K47" s="205"/>
      <c r="L47" s="205">
        <f t="shared" ref="L47" si="59">IFERROR(L46/L13," -        ")</f>
        <v>9.5730619456560348E-2</v>
      </c>
      <c r="M47" s="205"/>
      <c r="N47" s="205">
        <f t="shared" ref="N47" si="60">IFERROR(N46/N13," -        ")</f>
        <v>9.9955591752754105E-2</v>
      </c>
      <c r="O47" s="205"/>
      <c r="P47" s="216">
        <f t="shared" ref="P47" si="61">IFERROR(P46/P13," -        ")</f>
        <v>9.5409399623857957E-2</v>
      </c>
      <c r="Q47" s="205"/>
      <c r="R47" s="205">
        <f t="shared" ref="R47" si="62">IFERROR(R46/R13," -        ")</f>
        <v>0.10326968086587691</v>
      </c>
      <c r="S47" s="217"/>
      <c r="T47" s="205">
        <f t="shared" si="23"/>
        <v>0.10781587299477306</v>
      </c>
      <c r="U47" s="205"/>
      <c r="V47" s="10"/>
      <c r="W47" s="229" t="s">
        <v>134</v>
      </c>
      <c r="X47" s="229"/>
      <c r="Y47" s="229"/>
      <c r="Z47" s="12"/>
      <c r="AA47" s="25"/>
    </row>
    <row r="48" spans="2:27" x14ac:dyDescent="0.35">
      <c r="B48" s="10"/>
      <c r="C48" s="10"/>
      <c r="D48" s="10"/>
      <c r="E48" s="10"/>
      <c r="F48" s="10"/>
      <c r="G48" s="220"/>
      <c r="H48" s="220"/>
      <c r="I48" s="220"/>
      <c r="J48" s="213"/>
      <c r="K48" s="213"/>
      <c r="L48" s="213"/>
      <c r="M48" s="213"/>
      <c r="N48" s="213"/>
      <c r="O48" s="213"/>
      <c r="P48" s="225"/>
      <c r="Q48" s="213"/>
      <c r="R48" s="213"/>
      <c r="S48" s="226"/>
      <c r="T48" s="213"/>
      <c r="U48" s="213"/>
      <c r="V48" s="10"/>
      <c r="W48" s="33"/>
      <c r="X48" s="33" t="s">
        <v>135</v>
      </c>
      <c r="Y48" s="33" t="s">
        <v>136</v>
      </c>
      <c r="Z48" s="33" t="s">
        <v>137</v>
      </c>
      <c r="AA48" s="33"/>
    </row>
    <row r="49" spans="2:27" ht="15" thickBot="1" x14ac:dyDescent="0.4">
      <c r="B49" s="8" t="s">
        <v>138</v>
      </c>
      <c r="C49" s="9"/>
      <c r="D49" s="9"/>
      <c r="E49" s="9"/>
      <c r="F49" s="10"/>
      <c r="G49" s="220" t="s">
        <v>139</v>
      </c>
      <c r="H49" s="220"/>
      <c r="I49" s="220"/>
      <c r="J49" s="213">
        <f>J25</f>
        <v>66.687999999999789</v>
      </c>
      <c r="K49" s="213"/>
      <c r="L49" s="213">
        <f t="shared" ref="L49" si="63">L25</f>
        <v>81.370000000000246</v>
      </c>
      <c r="M49" s="213"/>
      <c r="N49" s="213">
        <f t="shared" ref="N49" si="64">N25</f>
        <v>77.662000000000091</v>
      </c>
      <c r="O49" s="213"/>
      <c r="P49" s="225">
        <f t="shared" ref="P49" si="65">P25</f>
        <v>26.199999999999878</v>
      </c>
      <c r="Q49" s="213"/>
      <c r="R49" s="213">
        <f t="shared" ref="R49" si="66">R25</f>
        <v>51.836999999999904</v>
      </c>
      <c r="S49" s="226"/>
      <c r="T49" s="213">
        <f t="shared" si="23"/>
        <v>103.29900000000012</v>
      </c>
      <c r="U49" s="213"/>
      <c r="V49" s="10"/>
      <c r="W49" s="33" t="s">
        <v>140</v>
      </c>
      <c r="X49" s="33" t="s">
        <v>141</v>
      </c>
      <c r="Y49" s="33" t="s">
        <v>142</v>
      </c>
      <c r="Z49" s="33" t="s">
        <v>141</v>
      </c>
      <c r="AA49" s="33" t="s">
        <v>143</v>
      </c>
    </row>
    <row r="50" spans="2:27" ht="2" customHeight="1" x14ac:dyDescent="0.35">
      <c r="B50" s="2"/>
      <c r="C50" s="2"/>
      <c r="D50" s="2"/>
      <c r="E50" s="2"/>
      <c r="F50" s="10"/>
      <c r="G50" s="220"/>
      <c r="H50" s="220"/>
      <c r="I50" s="220"/>
      <c r="J50" s="213"/>
      <c r="K50" s="213"/>
      <c r="L50" s="213"/>
      <c r="M50" s="213"/>
      <c r="N50" s="213"/>
      <c r="O50" s="213"/>
      <c r="P50" s="225"/>
      <c r="Q50" s="213"/>
      <c r="R50" s="213"/>
      <c r="S50" s="226"/>
      <c r="T50" s="213">
        <f t="shared" si="23"/>
        <v>0</v>
      </c>
      <c r="U50" s="213"/>
      <c r="V50" s="10"/>
      <c r="W50" s="12"/>
      <c r="X50" s="34"/>
      <c r="Y50" s="34"/>
      <c r="Z50" s="12"/>
      <c r="AA50" s="12"/>
    </row>
    <row r="51" spans="2:27" x14ac:dyDescent="0.35">
      <c r="B51" s="220" t="s">
        <v>144</v>
      </c>
      <c r="C51" s="220"/>
      <c r="D51" s="220"/>
      <c r="E51" s="26">
        <f>IFERROR((T42*(1-T26))/(AA15-AA26+AA17+AA18),"-       ")</f>
        <v>0.1443340088416068</v>
      </c>
      <c r="F51" s="10"/>
      <c r="G51" s="220" t="s">
        <v>145</v>
      </c>
      <c r="H51" s="220"/>
      <c r="I51" s="220"/>
      <c r="J51" s="213">
        <f>J34</f>
        <v>0</v>
      </c>
      <c r="K51" s="213"/>
      <c r="L51" s="213">
        <f t="shared" ref="L51" si="67">L34</f>
        <v>0</v>
      </c>
      <c r="M51" s="213"/>
      <c r="N51" s="213">
        <f t="shared" ref="N51" si="68">N34</f>
        <v>0</v>
      </c>
      <c r="O51" s="213"/>
      <c r="P51" s="225">
        <f t="shared" ref="P51" si="69">P34</f>
        <v>0</v>
      </c>
      <c r="Q51" s="213"/>
      <c r="R51" s="213">
        <f t="shared" ref="R51" si="70">R34</f>
        <v>0</v>
      </c>
      <c r="S51" s="226"/>
      <c r="T51" s="213">
        <f t="shared" si="23"/>
        <v>0</v>
      </c>
      <c r="U51" s="213"/>
      <c r="V51" s="10"/>
      <c r="W51" s="12" t="s">
        <v>146</v>
      </c>
      <c r="X51" s="38" t="s">
        <v>197</v>
      </c>
      <c r="Y51" s="16" t="s">
        <v>197</v>
      </c>
      <c r="Z51" s="30" t="str">
        <f ca="1">IF($E$21&gt;Y51,X51,"-       ")</f>
        <v xml:space="preserve">-       </v>
      </c>
      <c r="AA51" s="30" t="str">
        <f ca="1">IFERROR(Z51*Y51,"-       ")</f>
        <v xml:space="preserve">-       </v>
      </c>
    </row>
    <row r="52" spans="2:27" x14ac:dyDescent="0.35">
      <c r="B52" s="220" t="s">
        <v>147</v>
      </c>
      <c r="C52" s="220"/>
      <c r="D52" s="220"/>
      <c r="E52" s="26">
        <f>IFERROR(T55/AA34,"-       ")</f>
        <v>0.17286204334086475</v>
      </c>
      <c r="F52" s="10"/>
      <c r="G52" s="220" t="s">
        <v>122</v>
      </c>
      <c r="H52" s="220"/>
      <c r="I52" s="220"/>
      <c r="J52" s="213">
        <f>J41</f>
        <v>22.262</v>
      </c>
      <c r="K52" s="213"/>
      <c r="L52" s="213">
        <f t="shared" ref="L52" si="71">L41</f>
        <v>2.2679999999999998</v>
      </c>
      <c r="M52" s="213"/>
      <c r="N52" s="213">
        <f t="shared" ref="N52" si="72">N41</f>
        <v>26.302</v>
      </c>
      <c r="O52" s="213"/>
      <c r="P52" s="225">
        <f t="shared" ref="P52" si="73">P41</f>
        <v>15.435</v>
      </c>
      <c r="Q52" s="213"/>
      <c r="R52" s="213">
        <f t="shared" ref="R52" si="74">R41</f>
        <v>-0.15200000000000014</v>
      </c>
      <c r="S52" s="226"/>
      <c r="T52" s="213">
        <f t="shared" si="23"/>
        <v>10.714999999999998</v>
      </c>
      <c r="U52" s="213"/>
      <c r="V52" s="10"/>
      <c r="W52" s="12" t="s">
        <v>148</v>
      </c>
      <c r="X52" s="38" t="s">
        <v>197</v>
      </c>
      <c r="Y52" s="16" t="s">
        <v>197</v>
      </c>
      <c r="Z52" s="30" t="str">
        <f t="shared" ref="Z52:Z55" ca="1" si="75">IF($E$21&gt;Y52,X52,"-       ")</f>
        <v xml:space="preserve">-       </v>
      </c>
      <c r="AA52" s="30" t="str">
        <f t="shared" ref="AA52:AA55" ca="1" si="76">IFERROR(Z52*Y52,"-       ")</f>
        <v xml:space="preserve">-       </v>
      </c>
    </row>
    <row r="53" spans="2:27" x14ac:dyDescent="0.35">
      <c r="B53" s="220" t="s">
        <v>149</v>
      </c>
      <c r="C53" s="220"/>
      <c r="D53" s="220"/>
      <c r="E53" s="26">
        <f>IFERROR(T55/AA21,"-       ")</f>
        <v>6.4105083656839187E-2</v>
      </c>
      <c r="F53" s="10"/>
      <c r="G53" s="220" t="s">
        <v>150</v>
      </c>
      <c r="H53" s="220"/>
      <c r="I53" s="220"/>
      <c r="J53" s="209">
        <v>1.2549999999999999</v>
      </c>
      <c r="K53" s="210"/>
      <c r="L53" s="209">
        <v>1.998</v>
      </c>
      <c r="M53" s="210"/>
      <c r="N53" s="209">
        <v>1.1319999999999999</v>
      </c>
      <c r="O53" s="210"/>
      <c r="P53" s="211">
        <v>0</v>
      </c>
      <c r="Q53" s="210"/>
      <c r="R53" s="209">
        <v>0</v>
      </c>
      <c r="S53" s="212"/>
      <c r="T53" s="213">
        <f t="shared" si="23"/>
        <v>1.1319999999999999</v>
      </c>
      <c r="U53" s="213"/>
      <c r="V53" s="10"/>
      <c r="W53" s="12" t="s">
        <v>151</v>
      </c>
      <c r="X53" s="38" t="s">
        <v>197</v>
      </c>
      <c r="Y53" s="16" t="s">
        <v>197</v>
      </c>
      <c r="Z53" s="30" t="str">
        <f t="shared" ca="1" si="75"/>
        <v xml:space="preserve">-       </v>
      </c>
      <c r="AA53" s="30" t="str">
        <f t="shared" ca="1" si="76"/>
        <v xml:space="preserve">-       </v>
      </c>
    </row>
    <row r="54" spans="2:27" x14ac:dyDescent="0.35">
      <c r="B54" s="220" t="s">
        <v>207</v>
      </c>
      <c r="C54" s="220"/>
      <c r="D54" s="220"/>
      <c r="E54" s="26">
        <f ca="1">IFERROR(E14*4/E21,"NA")</f>
        <v>5.7851239669421496E-2</v>
      </c>
      <c r="F54" s="10"/>
      <c r="G54" s="220" t="s">
        <v>153</v>
      </c>
      <c r="H54" s="220"/>
      <c r="I54" s="220"/>
      <c r="J54" s="213">
        <v>0</v>
      </c>
      <c r="K54" s="213"/>
      <c r="L54" s="213">
        <v>0</v>
      </c>
      <c r="M54" s="213"/>
      <c r="N54" s="213">
        <v>0</v>
      </c>
      <c r="O54" s="213"/>
      <c r="P54" s="225">
        <v>0</v>
      </c>
      <c r="Q54" s="213"/>
      <c r="R54" s="213">
        <v>0</v>
      </c>
      <c r="S54" s="226"/>
      <c r="T54" s="213">
        <f t="shared" si="23"/>
        <v>0</v>
      </c>
      <c r="U54" s="213"/>
      <c r="V54" s="10"/>
      <c r="W54" s="12" t="s">
        <v>154</v>
      </c>
      <c r="X54" s="38" t="s">
        <v>197</v>
      </c>
      <c r="Y54" s="16" t="s">
        <v>197</v>
      </c>
      <c r="Z54" s="30" t="str">
        <f t="shared" ca="1" si="75"/>
        <v xml:space="preserve">-       </v>
      </c>
      <c r="AA54" s="30" t="str">
        <f ca="1">IFERROR(Z54*Y54,"-       ")</f>
        <v xml:space="preserve">-       </v>
      </c>
    </row>
    <row r="55" spans="2:27" x14ac:dyDescent="0.35">
      <c r="B55" s="10"/>
      <c r="C55" s="10"/>
      <c r="D55" s="10"/>
      <c r="E55" s="10"/>
      <c r="F55" s="10"/>
      <c r="G55" s="220" t="s">
        <v>155</v>
      </c>
      <c r="H55" s="220"/>
      <c r="I55" s="220"/>
      <c r="J55" s="213">
        <f>IFERROR(J49+J51+J52+J53+J54," -        ")</f>
        <v>90.204999999999785</v>
      </c>
      <c r="K55" s="213"/>
      <c r="L55" s="213">
        <f t="shared" ref="L55" si="77">IFERROR(L49+L51+L52+L53+L54," -        ")</f>
        <v>85.636000000000251</v>
      </c>
      <c r="M55" s="213"/>
      <c r="N55" s="213">
        <f t="shared" ref="N55" si="78">IFERROR(N49+N51+N52+N53+N54," -        ")</f>
        <v>105.09600000000009</v>
      </c>
      <c r="O55" s="213"/>
      <c r="P55" s="225">
        <f t="shared" ref="P55" si="79">IFERROR(P49+P51+P52+P53+P54," -        ")</f>
        <v>41.634999999999877</v>
      </c>
      <c r="Q55" s="213"/>
      <c r="R55" s="213">
        <f t="shared" ref="R55" si="80">IFERROR(R49+R51+R52+R53+R54," -        ")</f>
        <v>51.684999999999903</v>
      </c>
      <c r="S55" s="226"/>
      <c r="T55" s="213">
        <f t="shared" si="23"/>
        <v>115.14600000000013</v>
      </c>
      <c r="U55" s="213"/>
      <c r="V55" s="10"/>
      <c r="W55" s="12" t="s">
        <v>156</v>
      </c>
      <c r="X55" s="38" t="s">
        <v>197</v>
      </c>
      <c r="Y55" s="16" t="s">
        <v>197</v>
      </c>
      <c r="Z55" s="30" t="str">
        <f t="shared" ca="1" si="75"/>
        <v xml:space="preserve">-       </v>
      </c>
      <c r="AA55" s="30" t="str">
        <f t="shared" ca="1" si="76"/>
        <v xml:space="preserve">-       </v>
      </c>
    </row>
    <row r="56" spans="2:27" ht="15" thickBot="1" x14ac:dyDescent="0.4">
      <c r="B56" s="8" t="s">
        <v>157</v>
      </c>
      <c r="C56" s="9"/>
      <c r="D56" s="9"/>
      <c r="E56" s="9"/>
      <c r="F56" s="10"/>
      <c r="G56" s="220" t="s">
        <v>111</v>
      </c>
      <c r="H56" s="220"/>
      <c r="I56" s="220"/>
      <c r="J56" s="205">
        <f>IFERROR(J55/J13," -        ")</f>
        <v>3.8102499334721533E-2</v>
      </c>
      <c r="K56" s="205"/>
      <c r="L56" s="205">
        <f t="shared" ref="L56" si="81">IFERROR(L55/L13," -        ")</f>
        <v>3.2083670207624551E-2</v>
      </c>
      <c r="M56" s="205"/>
      <c r="N56" s="205">
        <f t="shared" ref="N56" si="82">IFERROR(N55/N13," -        ")</f>
        <v>3.6039607355651794E-2</v>
      </c>
      <c r="O56" s="205"/>
      <c r="P56" s="216">
        <f t="shared" ref="P56" si="83">IFERROR(P55/P13," -        ")</f>
        <v>2.9185000024533961E-2</v>
      </c>
      <c r="Q56" s="205"/>
      <c r="R56" s="205">
        <f t="shared" ref="R56" si="84">IFERROR(R55/R13," -        ")</f>
        <v>3.1290448739603592E-2</v>
      </c>
      <c r="S56" s="217"/>
      <c r="T56" s="205">
        <f t="shared" si="23"/>
        <v>3.8145056070721425E-2</v>
      </c>
      <c r="U56" s="205"/>
      <c r="V56" s="10"/>
      <c r="W56" s="18" t="s">
        <v>158</v>
      </c>
      <c r="X56" s="45" t="str">
        <f>IFERROR(X51+X52+X53+X54+X55,"-       ")</f>
        <v xml:space="preserve">-       </v>
      </c>
      <c r="Y56" s="45"/>
      <c r="Z56" s="45" t="str">
        <f ca="1">IFERROR(Z51+Z52+Z53+Z54+Z55,"-       ")</f>
        <v xml:space="preserve">-       </v>
      </c>
      <c r="AA56" s="45" t="str">
        <f ca="1">IF(SUM(AA51:AA55)=0,"-       ",SUM(AA51:AA55))</f>
        <v xml:space="preserve">-       </v>
      </c>
    </row>
    <row r="57" spans="2:27" ht="3.5" customHeight="1" x14ac:dyDescent="0.35">
      <c r="B57" s="2"/>
      <c r="C57" s="2"/>
      <c r="D57" s="2"/>
      <c r="E57" s="2"/>
      <c r="F57" s="10"/>
      <c r="G57" s="220"/>
      <c r="H57" s="220"/>
      <c r="I57" s="220"/>
      <c r="J57" s="224"/>
      <c r="K57" s="224"/>
      <c r="L57" s="224"/>
      <c r="M57" s="224"/>
      <c r="N57" s="224"/>
      <c r="O57" s="224"/>
      <c r="P57" s="227"/>
      <c r="Q57" s="224"/>
      <c r="R57" s="224"/>
      <c r="S57" s="228"/>
      <c r="T57" s="224">
        <f t="shared" si="23"/>
        <v>0</v>
      </c>
      <c r="U57" s="224"/>
      <c r="V57" s="10"/>
      <c r="W57" s="12"/>
      <c r="X57" s="12"/>
      <c r="Y57" s="12"/>
      <c r="Z57" s="12"/>
      <c r="AA57" s="12"/>
    </row>
    <row r="58" spans="2:27" x14ac:dyDescent="0.35">
      <c r="B58" s="220" t="s">
        <v>198</v>
      </c>
      <c r="C58" s="220"/>
      <c r="D58" s="220"/>
      <c r="E58" s="26">
        <f ca="1">IFERROR(AA28/(E27*E21),"-       ")</f>
        <v>0.29593664173867323</v>
      </c>
      <c r="F58" s="10"/>
      <c r="G58" s="220"/>
      <c r="H58" s="220"/>
      <c r="I58" s="220"/>
      <c r="J58" s="213"/>
      <c r="K58" s="213"/>
      <c r="L58" s="213"/>
      <c r="M58" s="213"/>
      <c r="N58" s="213"/>
      <c r="O58" s="213"/>
      <c r="P58" s="225"/>
      <c r="Q58" s="213"/>
      <c r="R58" s="213"/>
      <c r="S58" s="226"/>
      <c r="T58" s="213"/>
      <c r="U58" s="213"/>
      <c r="V58" s="10"/>
      <c r="W58" s="18" t="s">
        <v>160</v>
      </c>
      <c r="X58" s="12"/>
      <c r="Y58" s="12"/>
      <c r="Z58" s="12"/>
      <c r="AA58" s="12"/>
    </row>
    <row r="59" spans="2:27" ht="15" thickBot="1" x14ac:dyDescent="0.4">
      <c r="B59" s="220" t="s">
        <v>161</v>
      </c>
      <c r="C59" s="220"/>
      <c r="D59" s="220"/>
      <c r="E59" s="37">
        <f>IFERROR((AA28+AA24)/T46,"-       ")</f>
        <v>1.3609764627920673</v>
      </c>
      <c r="F59" s="10"/>
      <c r="G59" s="220" t="s">
        <v>162</v>
      </c>
      <c r="H59" s="220"/>
      <c r="I59" s="220"/>
      <c r="J59" s="213">
        <f>IFERROR(J55/J28," -        ")</f>
        <v>0.19813560773959962</v>
      </c>
      <c r="K59" s="213"/>
      <c r="L59" s="213">
        <f>IFERROR(L55/L28," -        ")</f>
        <v>0.18638117645010469</v>
      </c>
      <c r="M59" s="213"/>
      <c r="N59" s="213">
        <f>IFERROR(N55/N28," -        ")</f>
        <v>0.22747264164011655</v>
      </c>
      <c r="O59" s="213"/>
      <c r="P59" s="223">
        <f>IFERROR(P55/P28," -        ")</f>
        <v>9.0000000021616164E-2</v>
      </c>
      <c r="Q59" s="218"/>
      <c r="R59" s="218">
        <f>IFERROR(R55/R28," -        ")</f>
        <v>0.11200000006934292</v>
      </c>
      <c r="S59" s="219"/>
      <c r="T59" s="213">
        <f t="shared" si="23"/>
        <v>0.24947264168784328</v>
      </c>
      <c r="U59" s="213"/>
      <c r="V59" s="10"/>
      <c r="W59" s="12"/>
      <c r="X59" s="33"/>
      <c r="Y59" s="33" t="s">
        <v>163</v>
      </c>
      <c r="Z59" s="33" t="s">
        <v>163</v>
      </c>
      <c r="AA59" s="33" t="s">
        <v>164</v>
      </c>
    </row>
    <row r="60" spans="2:27" x14ac:dyDescent="0.35">
      <c r="B60" s="220" t="s">
        <v>165</v>
      </c>
      <c r="C60" s="220"/>
      <c r="D60" s="220"/>
      <c r="E60" s="37">
        <f>IFERROR((AA28+AA24-AA11)/T46,"-       ")</f>
        <v>0.48840933634400141</v>
      </c>
      <c r="F60" s="10"/>
      <c r="G60" s="10"/>
      <c r="H60" s="10"/>
      <c r="I60" s="10"/>
      <c r="J60" s="10"/>
      <c r="K60" s="10"/>
      <c r="L60" s="10"/>
      <c r="M60" s="10"/>
      <c r="N60" s="10"/>
      <c r="O60" s="10"/>
      <c r="P60" s="10"/>
      <c r="Q60" s="10"/>
      <c r="R60" s="10"/>
      <c r="S60" s="10"/>
      <c r="T60" s="10"/>
      <c r="U60" s="10"/>
      <c r="V60" s="10"/>
      <c r="W60" s="12"/>
      <c r="X60" s="33" t="s">
        <v>166</v>
      </c>
      <c r="Y60" s="33" t="s">
        <v>142</v>
      </c>
      <c r="Z60" s="33" t="s">
        <v>167</v>
      </c>
      <c r="AA60" s="33" t="s">
        <v>141</v>
      </c>
    </row>
    <row r="61" spans="2:27" x14ac:dyDescent="0.35">
      <c r="B61" s="220" t="s">
        <v>168</v>
      </c>
      <c r="C61" s="220"/>
      <c r="D61" s="220"/>
      <c r="E61" s="37">
        <f>IFERROR(T46/T19,"-       ")</f>
        <v>12.669646674699734</v>
      </c>
      <c r="F61" s="10"/>
      <c r="G61" s="10"/>
      <c r="H61" s="10"/>
      <c r="I61" s="10"/>
      <c r="J61" s="10"/>
      <c r="K61" s="10"/>
      <c r="L61" s="10"/>
      <c r="M61" s="10"/>
      <c r="N61" s="10"/>
      <c r="O61" s="10"/>
      <c r="P61" s="10"/>
      <c r="Q61" s="10"/>
      <c r="R61" s="10"/>
      <c r="S61" s="10"/>
      <c r="T61" s="10"/>
      <c r="U61" s="10"/>
      <c r="V61" s="10"/>
      <c r="W61" s="12" t="s">
        <v>169</v>
      </c>
      <c r="X61" s="38" t="s">
        <v>197</v>
      </c>
      <c r="Y61" s="38" t="s">
        <v>197</v>
      </c>
      <c r="Z61" s="38" t="s">
        <v>197</v>
      </c>
      <c r="AA61" s="30" t="str">
        <f>IFERROR(X61/Y61*Z61,"-       ")</f>
        <v xml:space="preserve">-       </v>
      </c>
    </row>
    <row r="62" spans="2:27" ht="15" thickBot="1" x14ac:dyDescent="0.4">
      <c r="B62" s="220" t="s">
        <v>170</v>
      </c>
      <c r="C62" s="220"/>
      <c r="D62" s="220"/>
      <c r="E62" s="37">
        <f>IFERROR((T46-T65)/T19,"-       ")</f>
        <v>5.1414078594472743</v>
      </c>
      <c r="F62" s="10"/>
      <c r="G62" s="1" t="s">
        <v>171</v>
      </c>
      <c r="H62" s="2"/>
      <c r="I62" s="2"/>
      <c r="J62" s="2"/>
      <c r="K62" s="2"/>
      <c r="L62" s="2"/>
      <c r="M62" s="2"/>
      <c r="N62" s="2"/>
      <c r="O62" s="2"/>
      <c r="P62" s="2"/>
      <c r="Q62" s="2"/>
      <c r="R62" s="2"/>
      <c r="S62" s="2"/>
      <c r="T62" s="2"/>
      <c r="U62" s="2"/>
      <c r="V62" s="10"/>
      <c r="W62" s="12" t="s">
        <v>172</v>
      </c>
      <c r="X62" s="38" t="s">
        <v>197</v>
      </c>
      <c r="Y62" s="38" t="s">
        <v>197</v>
      </c>
      <c r="Z62" s="38" t="s">
        <v>197</v>
      </c>
      <c r="AA62" s="30" t="str">
        <f t="shared" ref="AA62:AA65" si="85">IFERROR(X62/Y62*Z62,"-       ")</f>
        <v xml:space="preserve">-       </v>
      </c>
    </row>
    <row r="63" spans="2:27" x14ac:dyDescent="0.35">
      <c r="B63" s="220" t="s">
        <v>173</v>
      </c>
      <c r="C63" s="220"/>
      <c r="D63" s="220"/>
      <c r="E63" s="37">
        <f>IFERROR(T42/T19,"-       ")</f>
        <v>6.9977844288102027</v>
      </c>
      <c r="F63" s="10"/>
      <c r="G63" s="12" t="s">
        <v>130</v>
      </c>
      <c r="H63" s="12"/>
      <c r="I63" s="12"/>
      <c r="J63" s="209">
        <v>106.17400000000001</v>
      </c>
      <c r="K63" s="210"/>
      <c r="L63" s="209">
        <v>114.098</v>
      </c>
      <c r="M63" s="210"/>
      <c r="N63" s="209">
        <v>128.358</v>
      </c>
      <c r="O63" s="210"/>
      <c r="P63" s="221">
        <v>68.372</v>
      </c>
      <c r="Q63" s="222"/>
      <c r="R63" s="214">
        <v>85.933999999999997</v>
      </c>
      <c r="S63" s="215"/>
      <c r="T63" s="213">
        <f t="shared" ref="T63:T66" si="86">IFERROR(N63+R63-P63," -        ")</f>
        <v>145.92000000000002</v>
      </c>
      <c r="U63" s="213"/>
      <c r="V63" s="10"/>
      <c r="W63" s="12" t="s">
        <v>174</v>
      </c>
      <c r="X63" s="38" t="s">
        <v>197</v>
      </c>
      <c r="Y63" s="38" t="s">
        <v>197</v>
      </c>
      <c r="Z63" s="38" t="s">
        <v>197</v>
      </c>
      <c r="AA63" s="30" t="str">
        <f t="shared" si="85"/>
        <v xml:space="preserve">-       </v>
      </c>
    </row>
    <row r="64" spans="2:27" x14ac:dyDescent="0.35">
      <c r="B64" s="10"/>
      <c r="C64" s="10"/>
      <c r="D64" s="10"/>
      <c r="E64" s="10"/>
      <c r="F64" s="10"/>
      <c r="G64" s="12" t="s">
        <v>175</v>
      </c>
      <c r="H64" s="12"/>
      <c r="I64" s="12"/>
      <c r="J64" s="205">
        <f>IFERROR(J63/J13," -        ")</f>
        <v>4.4847788530178304E-2</v>
      </c>
      <c r="K64" s="205"/>
      <c r="L64" s="205">
        <f t="shared" ref="L64" si="87">IFERROR(L63/L13," -        ")</f>
        <v>4.2747005971198272E-2</v>
      </c>
      <c r="M64" s="205"/>
      <c r="N64" s="205">
        <f t="shared" ref="N64" si="88">IFERROR(N63/N13," -        ")</f>
        <v>4.4016631660165458E-2</v>
      </c>
      <c r="O64" s="205"/>
      <c r="P64" s="216">
        <f t="shared" ref="P64" si="89">IFERROR(P63/P13," -        ")</f>
        <v>4.7926908170468158E-2</v>
      </c>
      <c r="Q64" s="205"/>
      <c r="R64" s="205">
        <f t="shared" ref="R64" si="90">IFERROR(R63/R13," -        ")</f>
        <v>5.2025025094110486E-2</v>
      </c>
      <c r="S64" s="217"/>
      <c r="T64" s="205">
        <f t="shared" si="86"/>
        <v>4.8114748583807793E-2</v>
      </c>
      <c r="U64" s="205"/>
      <c r="V64" s="10"/>
      <c r="W64" s="12" t="s">
        <v>176</v>
      </c>
      <c r="X64" s="38" t="s">
        <v>197</v>
      </c>
      <c r="Y64" s="38" t="s">
        <v>197</v>
      </c>
      <c r="Z64" s="38" t="s">
        <v>197</v>
      </c>
      <c r="AA64" s="30" t="str">
        <f t="shared" si="85"/>
        <v xml:space="preserve">-       </v>
      </c>
    </row>
    <row r="65" spans="2:27" x14ac:dyDescent="0.35">
      <c r="B65" s="1" t="s">
        <v>177</v>
      </c>
      <c r="C65" s="2"/>
      <c r="D65" s="2"/>
      <c r="E65" s="2"/>
      <c r="F65" s="10"/>
      <c r="G65" s="12" t="s">
        <v>178</v>
      </c>
      <c r="H65" s="12"/>
      <c r="I65" s="12"/>
      <c r="J65" s="209">
        <v>201.43100000000001</v>
      </c>
      <c r="K65" s="210"/>
      <c r="L65" s="209">
        <v>183.4</v>
      </c>
      <c r="M65" s="210"/>
      <c r="N65" s="209">
        <v>192.846</v>
      </c>
      <c r="O65" s="210"/>
      <c r="P65" s="211">
        <v>90.385000000000005</v>
      </c>
      <c r="Q65" s="210"/>
      <c r="R65" s="209">
        <v>91.218000000000004</v>
      </c>
      <c r="S65" s="212"/>
      <c r="T65" s="213">
        <f t="shared" si="86"/>
        <v>193.67900000000003</v>
      </c>
      <c r="U65" s="213"/>
      <c r="V65" s="10"/>
      <c r="W65" s="12" t="s">
        <v>179</v>
      </c>
      <c r="X65" s="38" t="s">
        <v>197</v>
      </c>
      <c r="Y65" s="38" t="s">
        <v>197</v>
      </c>
      <c r="Z65" s="38" t="s">
        <v>197</v>
      </c>
      <c r="AA65" s="30" t="str">
        <f t="shared" si="85"/>
        <v xml:space="preserve">-       </v>
      </c>
    </row>
    <row r="66" spans="2:27" ht="15" thickBot="1" x14ac:dyDescent="0.4">
      <c r="B66" s="12"/>
      <c r="C66" s="13" t="s">
        <v>8</v>
      </c>
      <c r="D66" s="13" t="s">
        <v>180</v>
      </c>
      <c r="E66" s="13" t="s">
        <v>181</v>
      </c>
      <c r="F66" s="10"/>
      <c r="G66" s="12" t="s">
        <v>175</v>
      </c>
      <c r="H66" s="12"/>
      <c r="I66" s="12"/>
      <c r="J66" s="205">
        <f>IFERROR(J65/J13," -        ")</f>
        <v>8.5084247475110147E-2</v>
      </c>
      <c r="K66" s="205"/>
      <c r="L66" s="205">
        <f>IFERROR(L65/L13," -        ")</f>
        <v>6.8711115840047715E-2</v>
      </c>
      <c r="M66" s="205"/>
      <c r="N66" s="205">
        <f t="shared" ref="N66" si="91">IFERROR(N65/N13," -        ")</f>
        <v>6.613091002614771E-2</v>
      </c>
      <c r="O66" s="205"/>
      <c r="P66" s="206">
        <f t="shared" ref="P66" si="92">IFERROR(P65/P13," -        ")</f>
        <v>6.3357421093251112E-2</v>
      </c>
      <c r="Q66" s="207"/>
      <c r="R66" s="207">
        <f t="shared" ref="R66" si="93">IFERROR(R65/R13," -        ")</f>
        <v>5.5223994449630769E-2</v>
      </c>
      <c r="S66" s="208"/>
      <c r="T66" s="205">
        <f t="shared" si="86"/>
        <v>5.7997483382527373E-2</v>
      </c>
      <c r="U66" s="205"/>
      <c r="V66" s="10"/>
      <c r="W66" s="12" t="s">
        <v>182</v>
      </c>
      <c r="X66" s="30"/>
      <c r="Y66" s="30"/>
      <c r="Z66" s="30"/>
      <c r="AA66" s="30" t="str">
        <f>IFERROR(AA61+AA62+AA65+AA64+AA63,"-       ")</f>
        <v xml:space="preserve">-       </v>
      </c>
    </row>
    <row r="67" spans="2:27" x14ac:dyDescent="0.35">
      <c r="B67" s="18" t="s">
        <v>183</v>
      </c>
      <c r="C67" s="25"/>
      <c r="D67" s="25"/>
      <c r="E67" s="25"/>
      <c r="F67" s="10"/>
      <c r="G67" s="12"/>
      <c r="H67" s="12"/>
      <c r="I67" s="12"/>
      <c r="J67" s="25"/>
      <c r="K67" s="25"/>
      <c r="L67" s="25"/>
      <c r="M67" s="25"/>
      <c r="N67" s="25"/>
      <c r="O67" s="25"/>
      <c r="P67" s="39"/>
      <c r="Q67" s="39"/>
      <c r="R67" s="39"/>
      <c r="S67" s="39"/>
      <c r="T67" s="25"/>
      <c r="U67" s="25"/>
      <c r="V67" s="10"/>
      <c r="W67" s="12"/>
      <c r="X67" s="12"/>
      <c r="Y67" s="12"/>
      <c r="Z67" s="12"/>
      <c r="AA67" s="12"/>
    </row>
    <row r="68" spans="2:27" x14ac:dyDescent="0.35">
      <c r="B68" s="12" t="s">
        <v>184</v>
      </c>
      <c r="C68" s="26">
        <f>IFERROR(N13/L13-1,"-       ")</f>
        <v>9.2531094215153376E-2</v>
      </c>
      <c r="D68" s="26">
        <f>IFERROR(N46/L46-1,"-       ")</f>
        <v>0.14074882885421358</v>
      </c>
      <c r="E68" s="26">
        <f>IFERROR(N59/L59-1,"-       ")</f>
        <v>0.22047003872739412</v>
      </c>
      <c r="F68" s="10"/>
      <c r="G68" s="10"/>
      <c r="H68" s="10"/>
      <c r="I68" s="10"/>
      <c r="J68" s="10"/>
      <c r="K68" s="10"/>
      <c r="L68" s="10"/>
      <c r="M68" s="10"/>
      <c r="N68" s="10"/>
      <c r="O68" s="10"/>
      <c r="P68" s="10"/>
      <c r="Q68" s="10"/>
      <c r="R68" s="10"/>
      <c r="S68" s="10"/>
      <c r="T68" s="10"/>
      <c r="U68" s="10"/>
      <c r="V68" s="10"/>
      <c r="W68" s="10"/>
      <c r="X68" s="10"/>
      <c r="Y68" s="10"/>
      <c r="Z68" s="10"/>
      <c r="AA68" s="10"/>
    </row>
    <row r="69" spans="2:27" x14ac:dyDescent="0.35">
      <c r="B69" s="12" t="s">
        <v>185</v>
      </c>
      <c r="C69" s="26">
        <f>IFERROR((N13/J13)^0.5-1,"-       ")</f>
        <v>0.10985053243206</v>
      </c>
      <c r="D69" s="26">
        <f>IFERROR((N46/J46)^0.5-1,"-       ")</f>
        <v>9.2703329037122861E-2</v>
      </c>
      <c r="E69" s="26">
        <f>IFERROR((N59/J59)^0.5-1,"-       ")</f>
        <v>7.1478151764417186E-2</v>
      </c>
      <c r="F69" s="10"/>
      <c r="G69" s="1" t="s">
        <v>186</v>
      </c>
      <c r="H69" s="2"/>
      <c r="I69" s="2"/>
      <c r="J69" s="2"/>
      <c r="K69" s="2"/>
      <c r="L69" s="2"/>
      <c r="M69" s="2"/>
      <c r="N69" s="2"/>
      <c r="O69" s="2"/>
      <c r="P69" s="2"/>
      <c r="Q69" s="2"/>
      <c r="R69" s="2"/>
      <c r="S69" s="2"/>
      <c r="T69" s="2"/>
      <c r="U69" s="2"/>
      <c r="V69" s="2"/>
      <c r="W69" s="2"/>
      <c r="X69" s="2"/>
      <c r="Y69" s="2"/>
      <c r="Z69" s="2"/>
      <c r="AA69" s="2"/>
    </row>
    <row r="70" spans="2:27" x14ac:dyDescent="0.35">
      <c r="B70" s="18" t="s">
        <v>187</v>
      </c>
      <c r="C70" s="26"/>
      <c r="D70" s="26"/>
      <c r="E70" s="26"/>
      <c r="F70" s="10"/>
      <c r="G70" s="34" t="s">
        <v>230</v>
      </c>
      <c r="H70" s="34"/>
      <c r="I70" s="34"/>
      <c r="J70" s="34"/>
      <c r="K70" s="34"/>
      <c r="L70" s="34"/>
      <c r="M70" s="34"/>
      <c r="N70" s="34"/>
      <c r="O70" s="34"/>
      <c r="P70" s="34"/>
      <c r="Q70" s="34"/>
      <c r="R70" s="34"/>
      <c r="S70" s="34"/>
      <c r="T70" s="34"/>
      <c r="U70" s="34"/>
      <c r="V70" s="34"/>
      <c r="W70" s="34"/>
      <c r="X70" s="34"/>
      <c r="Y70" s="34"/>
      <c r="Z70" s="34"/>
      <c r="AA70" s="34"/>
    </row>
    <row r="71" spans="2:27" x14ac:dyDescent="0.35">
      <c r="B71" s="12" t="s">
        <v>184</v>
      </c>
      <c r="C71" s="26">
        <f>IFERROR(D41/$N$13-1,"-       ")</f>
        <v>0.14898062778167809</v>
      </c>
      <c r="D71" s="26">
        <f>IFERROR(D43/N46-1,"-       ")</f>
        <v>6.090768094005039E-2</v>
      </c>
      <c r="E71" s="26">
        <f>IFERROR(D47/N59-1,"-       ")</f>
        <v>0.21710000000000007</v>
      </c>
      <c r="F71" s="10"/>
      <c r="G71" s="34" t="s">
        <v>231</v>
      </c>
      <c r="H71" s="34"/>
      <c r="I71" s="34"/>
      <c r="J71" s="34"/>
      <c r="K71" s="34"/>
      <c r="L71" s="34"/>
      <c r="M71" s="34"/>
      <c r="N71" s="34"/>
      <c r="O71" s="34"/>
      <c r="P71" s="34"/>
      <c r="Q71" s="34"/>
      <c r="R71" s="34"/>
      <c r="S71" s="34"/>
      <c r="T71" s="34"/>
      <c r="U71" s="34"/>
      <c r="V71" s="34"/>
      <c r="W71" s="34"/>
      <c r="X71" s="34"/>
      <c r="Y71" s="34"/>
      <c r="Z71" s="34"/>
      <c r="AA71" s="34"/>
    </row>
    <row r="72" spans="2:27" x14ac:dyDescent="0.35">
      <c r="B72" s="12" t="s">
        <v>185</v>
      </c>
      <c r="C72" s="26">
        <f>IFERROR((E41/$N$13)^0.5-1,"-       ")</f>
        <v>0.14898062778167809</v>
      </c>
      <c r="D72" s="26">
        <f>IFERROR((E43/$N$46)^0.5-1,"-       ")</f>
        <v>6.090768094005039E-2</v>
      </c>
      <c r="E72" s="26">
        <f>IFERROR((E47/$N$59)^0.5-1,"-       ")</f>
        <v>0.21710000000000007</v>
      </c>
      <c r="F72" s="10"/>
      <c r="G72" s="34" t="s">
        <v>232</v>
      </c>
      <c r="H72" s="34"/>
      <c r="I72" s="34"/>
      <c r="J72" s="34"/>
      <c r="K72" s="34"/>
      <c r="L72" s="34"/>
      <c r="M72" s="34"/>
      <c r="N72" s="34"/>
      <c r="O72" s="34"/>
      <c r="P72" s="34"/>
      <c r="Q72" s="34"/>
      <c r="R72" s="34"/>
      <c r="S72" s="34"/>
      <c r="T72" s="34"/>
      <c r="U72" s="34"/>
      <c r="V72" s="34"/>
      <c r="W72" s="34"/>
      <c r="X72" s="34"/>
      <c r="Y72" s="34"/>
      <c r="Z72" s="34"/>
      <c r="AA72" s="34"/>
    </row>
    <row r="73" spans="2:27" x14ac:dyDescent="0.35">
      <c r="B73" s="204" t="s">
        <v>191</v>
      </c>
      <c r="C73" s="204"/>
      <c r="D73" s="204"/>
      <c r="E73" s="40">
        <v>0.13900000000000001</v>
      </c>
      <c r="F73" s="10"/>
      <c r="G73" s="34" t="s">
        <v>233</v>
      </c>
      <c r="H73" s="34"/>
      <c r="I73" s="34"/>
      <c r="J73" s="34"/>
      <c r="K73" s="34"/>
      <c r="L73" s="34"/>
      <c r="M73" s="34"/>
      <c r="N73" s="34"/>
      <c r="O73" s="34"/>
      <c r="P73" s="34"/>
      <c r="Q73" s="34"/>
      <c r="R73" s="34"/>
      <c r="S73" s="34"/>
      <c r="T73" s="34"/>
      <c r="U73" s="34"/>
      <c r="V73" s="34"/>
      <c r="W73" s="34"/>
      <c r="X73" s="34"/>
      <c r="Y73" s="34"/>
      <c r="Z73" s="34"/>
      <c r="AA73" s="34"/>
    </row>
    <row r="74" spans="2:27" x14ac:dyDescent="0.35"/>
  </sheetData>
  <mergeCells count="416">
    <mergeCell ref="B11:C11"/>
    <mergeCell ref="G11:I11"/>
    <mergeCell ref="P11:Q11"/>
    <mergeCell ref="R11:S11"/>
    <mergeCell ref="T11:U11"/>
    <mergeCell ref="W11:Y11"/>
    <mergeCell ref="B2:Q3"/>
    <mergeCell ref="W3:AA5"/>
    <mergeCell ref="B4:J4"/>
    <mergeCell ref="B10:C10"/>
    <mergeCell ref="G10:I10"/>
    <mergeCell ref="J10:O11"/>
    <mergeCell ref="P10:Q10"/>
    <mergeCell ref="R10:S10"/>
    <mergeCell ref="T10:U10"/>
    <mergeCell ref="W10:Y10"/>
    <mergeCell ref="R12:S12"/>
    <mergeCell ref="T12:U12"/>
    <mergeCell ref="W12:Y12"/>
    <mergeCell ref="B13:C13"/>
    <mergeCell ref="G13:I13"/>
    <mergeCell ref="J13:K13"/>
    <mergeCell ref="L13:M13"/>
    <mergeCell ref="N13:O13"/>
    <mergeCell ref="P13:Q13"/>
    <mergeCell ref="R13:S13"/>
    <mergeCell ref="B12:C12"/>
    <mergeCell ref="G12:I12"/>
    <mergeCell ref="J12:K12"/>
    <mergeCell ref="L12:M12"/>
    <mergeCell ref="N12:O12"/>
    <mergeCell ref="P12:Q12"/>
    <mergeCell ref="T13:U13"/>
    <mergeCell ref="W13:Y13"/>
    <mergeCell ref="B14:D14"/>
    <mergeCell ref="G14:I14"/>
    <mergeCell ref="J14:K14"/>
    <mergeCell ref="L14:M14"/>
    <mergeCell ref="N14:O14"/>
    <mergeCell ref="P14:Q14"/>
    <mergeCell ref="R14:S14"/>
    <mergeCell ref="T14:U14"/>
    <mergeCell ref="W14:Y14"/>
    <mergeCell ref="B15:C15"/>
    <mergeCell ref="G15:I15"/>
    <mergeCell ref="J15:K15"/>
    <mergeCell ref="L15:M15"/>
    <mergeCell ref="N15:O15"/>
    <mergeCell ref="P15:Q15"/>
    <mergeCell ref="R15:S15"/>
    <mergeCell ref="T15:U15"/>
    <mergeCell ref="W15:Y15"/>
    <mergeCell ref="R16:S16"/>
    <mergeCell ref="T16:U16"/>
    <mergeCell ref="W16:Y16"/>
    <mergeCell ref="B17:C17"/>
    <mergeCell ref="G17:I17"/>
    <mergeCell ref="J17:K17"/>
    <mergeCell ref="L17:M17"/>
    <mergeCell ref="N17:O17"/>
    <mergeCell ref="P17:Q17"/>
    <mergeCell ref="R17:S17"/>
    <mergeCell ref="B16:C16"/>
    <mergeCell ref="G16:I16"/>
    <mergeCell ref="J16:K16"/>
    <mergeCell ref="L16:M16"/>
    <mergeCell ref="N16:O16"/>
    <mergeCell ref="P16:Q16"/>
    <mergeCell ref="T17:U17"/>
    <mergeCell ref="W17:Y17"/>
    <mergeCell ref="G18:I18"/>
    <mergeCell ref="J18:K18"/>
    <mergeCell ref="L18:M18"/>
    <mergeCell ref="N18:O18"/>
    <mergeCell ref="P18:Q18"/>
    <mergeCell ref="R18:S18"/>
    <mergeCell ref="T18:U18"/>
    <mergeCell ref="W18:Y18"/>
    <mergeCell ref="T19:U19"/>
    <mergeCell ref="W19:Y19"/>
    <mergeCell ref="G20:I20"/>
    <mergeCell ref="J20:K20"/>
    <mergeCell ref="L20:M20"/>
    <mergeCell ref="N20:O20"/>
    <mergeCell ref="P20:Q20"/>
    <mergeCell ref="R20:S20"/>
    <mergeCell ref="T20:U20"/>
    <mergeCell ref="W20:X20"/>
    <mergeCell ref="G19:I19"/>
    <mergeCell ref="J19:K19"/>
    <mergeCell ref="L19:M19"/>
    <mergeCell ref="N19:O19"/>
    <mergeCell ref="P19:Q19"/>
    <mergeCell ref="R19:S19"/>
    <mergeCell ref="R21:S21"/>
    <mergeCell ref="T21:U21"/>
    <mergeCell ref="W21:Y21"/>
    <mergeCell ref="B22:C22"/>
    <mergeCell ref="G22:I22"/>
    <mergeCell ref="J22:K22"/>
    <mergeCell ref="L22:M22"/>
    <mergeCell ref="N22:O22"/>
    <mergeCell ref="P22:Q22"/>
    <mergeCell ref="R22:S22"/>
    <mergeCell ref="B21:C21"/>
    <mergeCell ref="G21:I21"/>
    <mergeCell ref="J21:K21"/>
    <mergeCell ref="L21:M21"/>
    <mergeCell ref="N21:O21"/>
    <mergeCell ref="P21:Q21"/>
    <mergeCell ref="T22:U22"/>
    <mergeCell ref="W22:Y22"/>
    <mergeCell ref="B23:C23"/>
    <mergeCell ref="G23:I23"/>
    <mergeCell ref="J23:K23"/>
    <mergeCell ref="L23:M23"/>
    <mergeCell ref="N23:O23"/>
    <mergeCell ref="P23:Q23"/>
    <mergeCell ref="R23:S23"/>
    <mergeCell ref="T23:U23"/>
    <mergeCell ref="W23:Y23"/>
    <mergeCell ref="B24:C24"/>
    <mergeCell ref="G24:I24"/>
    <mergeCell ref="J24:K24"/>
    <mergeCell ref="L24:M24"/>
    <mergeCell ref="N24:O24"/>
    <mergeCell ref="P24:Q24"/>
    <mergeCell ref="R24:S24"/>
    <mergeCell ref="T24:U24"/>
    <mergeCell ref="W24:Y24"/>
    <mergeCell ref="R25:S25"/>
    <mergeCell ref="T25:U25"/>
    <mergeCell ref="W25:Y25"/>
    <mergeCell ref="B26:C26"/>
    <mergeCell ref="G26:I26"/>
    <mergeCell ref="J26:K26"/>
    <mergeCell ref="L26:M26"/>
    <mergeCell ref="N26:O26"/>
    <mergeCell ref="P26:Q26"/>
    <mergeCell ref="R26:S26"/>
    <mergeCell ref="B25:C25"/>
    <mergeCell ref="G25:I25"/>
    <mergeCell ref="J25:K25"/>
    <mergeCell ref="L25:M25"/>
    <mergeCell ref="N25:O25"/>
    <mergeCell ref="P25:Q25"/>
    <mergeCell ref="T26:U26"/>
    <mergeCell ref="W26:Y26"/>
    <mergeCell ref="G27:I27"/>
    <mergeCell ref="J27:K27"/>
    <mergeCell ref="L27:M27"/>
    <mergeCell ref="N27:O27"/>
    <mergeCell ref="P27:Q27"/>
    <mergeCell ref="R27:S27"/>
    <mergeCell ref="T27:U27"/>
    <mergeCell ref="W27:Y27"/>
    <mergeCell ref="T29:U29"/>
    <mergeCell ref="W29:Y29"/>
    <mergeCell ref="B30:C30"/>
    <mergeCell ref="W30:Y30"/>
    <mergeCell ref="B31:C31"/>
    <mergeCell ref="W31:Y31"/>
    <mergeCell ref="R28:S28"/>
    <mergeCell ref="T28:U28"/>
    <mergeCell ref="W28:Y28"/>
    <mergeCell ref="B29:C29"/>
    <mergeCell ref="G29:I29"/>
    <mergeCell ref="J29:K29"/>
    <mergeCell ref="L29:M29"/>
    <mergeCell ref="N29:O29"/>
    <mergeCell ref="P29:Q29"/>
    <mergeCell ref="R29:S29"/>
    <mergeCell ref="B28:C28"/>
    <mergeCell ref="G28:I28"/>
    <mergeCell ref="J28:K28"/>
    <mergeCell ref="L28:M28"/>
    <mergeCell ref="N28:O28"/>
    <mergeCell ref="P28:Q28"/>
    <mergeCell ref="B34:C34"/>
    <mergeCell ref="G34:I34"/>
    <mergeCell ref="J34:K34"/>
    <mergeCell ref="L34:M34"/>
    <mergeCell ref="N34:O34"/>
    <mergeCell ref="P34:Q34"/>
    <mergeCell ref="B32:C32"/>
    <mergeCell ref="W32:Y32"/>
    <mergeCell ref="G33:I33"/>
    <mergeCell ref="J33:K33"/>
    <mergeCell ref="L33:M33"/>
    <mergeCell ref="N33:O33"/>
    <mergeCell ref="P33:Q33"/>
    <mergeCell ref="R33:S33"/>
    <mergeCell ref="T33:U33"/>
    <mergeCell ref="W33:Y33"/>
    <mergeCell ref="R34:S34"/>
    <mergeCell ref="T34:U34"/>
    <mergeCell ref="W34:Y34"/>
    <mergeCell ref="G35:I35"/>
    <mergeCell ref="J35:K35"/>
    <mergeCell ref="L35:M35"/>
    <mergeCell ref="N35:O35"/>
    <mergeCell ref="P35:Q35"/>
    <mergeCell ref="R35:S35"/>
    <mergeCell ref="T35:U35"/>
    <mergeCell ref="W35:Y35"/>
    <mergeCell ref="G36:I36"/>
    <mergeCell ref="J36:K36"/>
    <mergeCell ref="L36:M36"/>
    <mergeCell ref="N36:O36"/>
    <mergeCell ref="P36:Q36"/>
    <mergeCell ref="R36:S36"/>
    <mergeCell ref="T36:U36"/>
    <mergeCell ref="W36:Y36"/>
    <mergeCell ref="T37:U37"/>
    <mergeCell ref="G38:I38"/>
    <mergeCell ref="J38:K38"/>
    <mergeCell ref="L38:M38"/>
    <mergeCell ref="N38:O38"/>
    <mergeCell ref="P38:Q38"/>
    <mergeCell ref="R38:S38"/>
    <mergeCell ref="T38:U38"/>
    <mergeCell ref="G37:I37"/>
    <mergeCell ref="J37:K37"/>
    <mergeCell ref="L37:M37"/>
    <mergeCell ref="N37:O37"/>
    <mergeCell ref="P37:Q37"/>
    <mergeCell ref="R37:S37"/>
    <mergeCell ref="T39:U39"/>
    <mergeCell ref="G40:I40"/>
    <mergeCell ref="J40:K40"/>
    <mergeCell ref="L40:M40"/>
    <mergeCell ref="N40:O40"/>
    <mergeCell ref="P40:Q40"/>
    <mergeCell ref="R40:S40"/>
    <mergeCell ref="T40:U40"/>
    <mergeCell ref="G39:I39"/>
    <mergeCell ref="J39:K39"/>
    <mergeCell ref="L39:M39"/>
    <mergeCell ref="N39:O39"/>
    <mergeCell ref="P39:Q39"/>
    <mergeCell ref="R39:S39"/>
    <mergeCell ref="W40:Y40"/>
    <mergeCell ref="G41:I41"/>
    <mergeCell ref="J41:K41"/>
    <mergeCell ref="L41:M41"/>
    <mergeCell ref="N41:O41"/>
    <mergeCell ref="P41:Q41"/>
    <mergeCell ref="R41:S41"/>
    <mergeCell ref="T41:U41"/>
    <mergeCell ref="W41:Z41"/>
    <mergeCell ref="T42:U42"/>
    <mergeCell ref="W42:Y42"/>
    <mergeCell ref="G43:I43"/>
    <mergeCell ref="J43:K43"/>
    <mergeCell ref="L43:M43"/>
    <mergeCell ref="N43:O43"/>
    <mergeCell ref="P43:Q43"/>
    <mergeCell ref="R43:S43"/>
    <mergeCell ref="T43:U43"/>
    <mergeCell ref="W43:Y43"/>
    <mergeCell ref="G42:I42"/>
    <mergeCell ref="J42:K42"/>
    <mergeCell ref="L42:M42"/>
    <mergeCell ref="N42:O42"/>
    <mergeCell ref="P42:Q42"/>
    <mergeCell ref="R42:S42"/>
    <mergeCell ref="T44:U44"/>
    <mergeCell ref="W44:Y44"/>
    <mergeCell ref="G45:I45"/>
    <mergeCell ref="J45:K45"/>
    <mergeCell ref="L45:M45"/>
    <mergeCell ref="N45:O45"/>
    <mergeCell ref="P45:Q45"/>
    <mergeCell ref="R45:S45"/>
    <mergeCell ref="T45:U45"/>
    <mergeCell ref="W45:Y45"/>
    <mergeCell ref="G44:I44"/>
    <mergeCell ref="J44:K44"/>
    <mergeCell ref="L44:M44"/>
    <mergeCell ref="N44:O44"/>
    <mergeCell ref="P44:Q44"/>
    <mergeCell ref="R44:S44"/>
    <mergeCell ref="W47:Y47"/>
    <mergeCell ref="G48:I48"/>
    <mergeCell ref="J48:K48"/>
    <mergeCell ref="L48:M48"/>
    <mergeCell ref="N48:O48"/>
    <mergeCell ref="P48:Q48"/>
    <mergeCell ref="R48:S48"/>
    <mergeCell ref="T48:U48"/>
    <mergeCell ref="T46:U46"/>
    <mergeCell ref="G47:I47"/>
    <mergeCell ref="J47:K47"/>
    <mergeCell ref="L47:M47"/>
    <mergeCell ref="N47:O47"/>
    <mergeCell ref="P47:Q47"/>
    <mergeCell ref="R47:S47"/>
    <mergeCell ref="T47:U47"/>
    <mergeCell ref="G46:I46"/>
    <mergeCell ref="J46:K46"/>
    <mergeCell ref="L46:M46"/>
    <mergeCell ref="N46:O46"/>
    <mergeCell ref="P46:Q46"/>
    <mergeCell ref="R46:S46"/>
    <mergeCell ref="T49:U49"/>
    <mergeCell ref="G50:I50"/>
    <mergeCell ref="J50:K50"/>
    <mergeCell ref="L50:M50"/>
    <mergeCell ref="N50:O50"/>
    <mergeCell ref="P50:Q50"/>
    <mergeCell ref="R50:S50"/>
    <mergeCell ref="T50:U50"/>
    <mergeCell ref="G49:I49"/>
    <mergeCell ref="J49:K49"/>
    <mergeCell ref="L49:M49"/>
    <mergeCell ref="N49:O49"/>
    <mergeCell ref="P49:Q49"/>
    <mergeCell ref="R49:S49"/>
    <mergeCell ref="R51:S51"/>
    <mergeCell ref="T51:U51"/>
    <mergeCell ref="B52:D52"/>
    <mergeCell ref="G52:I52"/>
    <mergeCell ref="J52:K52"/>
    <mergeCell ref="L52:M52"/>
    <mergeCell ref="N52:O52"/>
    <mergeCell ref="P52:Q52"/>
    <mergeCell ref="R52:S52"/>
    <mergeCell ref="T52:U52"/>
    <mergeCell ref="B51:D51"/>
    <mergeCell ref="G51:I51"/>
    <mergeCell ref="J51:K51"/>
    <mergeCell ref="L51:M51"/>
    <mergeCell ref="N51:O51"/>
    <mergeCell ref="P51:Q51"/>
    <mergeCell ref="R53:S53"/>
    <mergeCell ref="T53:U53"/>
    <mergeCell ref="B54:D54"/>
    <mergeCell ref="G54:I54"/>
    <mergeCell ref="J54:K54"/>
    <mergeCell ref="L54:M54"/>
    <mergeCell ref="N54:O54"/>
    <mergeCell ref="P54:Q54"/>
    <mergeCell ref="R54:S54"/>
    <mergeCell ref="T54:U54"/>
    <mergeCell ref="B53:D53"/>
    <mergeCell ref="G53:I53"/>
    <mergeCell ref="J53:K53"/>
    <mergeCell ref="L53:M53"/>
    <mergeCell ref="N53:O53"/>
    <mergeCell ref="P53:Q53"/>
    <mergeCell ref="T55:U55"/>
    <mergeCell ref="G56:I56"/>
    <mergeCell ref="J56:K56"/>
    <mergeCell ref="L56:M56"/>
    <mergeCell ref="N56:O56"/>
    <mergeCell ref="P56:Q56"/>
    <mergeCell ref="R56:S56"/>
    <mergeCell ref="T56:U56"/>
    <mergeCell ref="G55:I55"/>
    <mergeCell ref="J55:K55"/>
    <mergeCell ref="L55:M55"/>
    <mergeCell ref="N55:O55"/>
    <mergeCell ref="P55:Q55"/>
    <mergeCell ref="R55:S55"/>
    <mergeCell ref="T57:U57"/>
    <mergeCell ref="B58:D58"/>
    <mergeCell ref="G58:I58"/>
    <mergeCell ref="J58:K58"/>
    <mergeCell ref="L58:M58"/>
    <mergeCell ref="N58:O58"/>
    <mergeCell ref="P58:Q58"/>
    <mergeCell ref="R58:S58"/>
    <mergeCell ref="T58:U58"/>
    <mergeCell ref="G57:I57"/>
    <mergeCell ref="J57:K57"/>
    <mergeCell ref="L57:M57"/>
    <mergeCell ref="N57:O57"/>
    <mergeCell ref="P57:Q57"/>
    <mergeCell ref="R57:S57"/>
    <mergeCell ref="B60:D60"/>
    <mergeCell ref="B61:D61"/>
    <mergeCell ref="B62:D62"/>
    <mergeCell ref="B63:D63"/>
    <mergeCell ref="J63:K63"/>
    <mergeCell ref="L63:M63"/>
    <mergeCell ref="N63:O63"/>
    <mergeCell ref="P63:Q63"/>
    <mergeCell ref="B59:D59"/>
    <mergeCell ref="G59:I59"/>
    <mergeCell ref="J59:K59"/>
    <mergeCell ref="L59:M59"/>
    <mergeCell ref="N59:O59"/>
    <mergeCell ref="P59:Q59"/>
    <mergeCell ref="R63:S63"/>
    <mergeCell ref="T63:U63"/>
    <mergeCell ref="J64:K64"/>
    <mergeCell ref="L64:M64"/>
    <mergeCell ref="N64:O64"/>
    <mergeCell ref="P64:Q64"/>
    <mergeCell ref="R64:S64"/>
    <mergeCell ref="T64:U64"/>
    <mergeCell ref="R59:S59"/>
    <mergeCell ref="T59:U59"/>
    <mergeCell ref="B73:D73"/>
    <mergeCell ref="J66:K66"/>
    <mergeCell ref="L66:M66"/>
    <mergeCell ref="N66:O66"/>
    <mergeCell ref="P66:Q66"/>
    <mergeCell ref="R66:S66"/>
    <mergeCell ref="T66:U66"/>
    <mergeCell ref="J65:K65"/>
    <mergeCell ref="L65:M65"/>
    <mergeCell ref="N65:O65"/>
    <mergeCell ref="P65:Q65"/>
    <mergeCell ref="R65:S65"/>
    <mergeCell ref="T65:U65"/>
  </mergeCells>
  <pageMargins left="0.7" right="0.7" top="0.75" bottom="0.75" header="0.3" footer="0.3"/>
  <drawing r:id="rId1"/>
  <legacyDrawing r:id="rId2"/>
  <picture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6B1F22-612A-427F-9FCD-7688710BA076}">
  <dimension ref="A1:AB74"/>
  <sheetViews>
    <sheetView showGridLines="0" topLeftCell="J34" zoomScale="93" zoomScaleNormal="55" workbookViewId="0">
      <selection activeCell="D15" sqref="D15:D16"/>
    </sheetView>
  </sheetViews>
  <sheetFormatPr defaultColWidth="0" defaultRowHeight="14.5" customHeight="1" zeroHeight="1" x14ac:dyDescent="0.35"/>
  <cols>
    <col min="1" max="1" width="8.7265625" style="4" customWidth="1"/>
    <col min="2" max="2" width="8.7265625" style="41" customWidth="1"/>
    <col min="3" max="3" width="10.453125" style="41" customWidth="1"/>
    <col min="4" max="4" width="9.6328125" style="41" bestFit="1" customWidth="1"/>
    <col min="5" max="5" width="7.7265625" style="41" customWidth="1"/>
    <col min="6" max="22" width="8.7265625" style="41" customWidth="1"/>
    <col min="23" max="26" width="10.90625" style="41" customWidth="1"/>
    <col min="27" max="27" width="9.26953125" style="41" bestFit="1" customWidth="1"/>
    <col min="28" max="28" width="8.7265625" style="4" customWidth="1"/>
    <col min="29" max="16384" width="8.7265625" style="4" hidden="1"/>
  </cols>
  <sheetData>
    <row r="1" spans="2:27" x14ac:dyDescent="0.35">
      <c r="B1" s="4"/>
      <c r="C1" s="4"/>
      <c r="D1" s="4"/>
      <c r="E1" s="4"/>
      <c r="F1" s="4"/>
      <c r="G1" s="4"/>
      <c r="H1" s="4"/>
      <c r="I1" s="4"/>
      <c r="J1" s="4"/>
      <c r="K1" s="4"/>
      <c r="L1" s="4"/>
      <c r="M1" s="4"/>
      <c r="N1" s="4"/>
      <c r="O1" s="4"/>
      <c r="P1" s="4"/>
      <c r="Q1" s="4"/>
      <c r="R1" s="4"/>
      <c r="S1" s="4"/>
      <c r="T1" s="4"/>
      <c r="U1" s="4"/>
      <c r="V1" s="4"/>
      <c r="W1" s="4"/>
      <c r="X1" s="4"/>
      <c r="Y1" s="4"/>
      <c r="Z1" s="4"/>
      <c r="AA1" s="4"/>
    </row>
    <row r="2" spans="2:27" ht="14.5" customHeight="1" x14ac:dyDescent="0.35">
      <c r="B2" s="258" t="e" vm="9">
        <v>#VALUE!</v>
      </c>
      <c r="C2" s="258"/>
      <c r="D2" s="258"/>
      <c r="E2" s="258"/>
      <c r="F2" s="258"/>
      <c r="G2" s="258"/>
      <c r="H2" s="258"/>
      <c r="I2" s="258"/>
      <c r="J2" s="258"/>
      <c r="K2" s="258"/>
      <c r="L2" s="258"/>
      <c r="M2" s="258"/>
      <c r="N2" s="258"/>
      <c r="O2" s="258"/>
      <c r="P2" s="258"/>
      <c r="Q2" s="258"/>
      <c r="R2" s="5"/>
      <c r="S2" s="5"/>
      <c r="T2" s="5"/>
      <c r="U2" s="5"/>
      <c r="V2" s="5"/>
      <c r="W2" s="46" t="s">
        <v>36</v>
      </c>
      <c r="X2" s="5"/>
      <c r="Y2" s="5"/>
      <c r="Z2" s="5"/>
      <c r="AA2" s="5"/>
    </row>
    <row r="3" spans="2:27" ht="14.5" customHeight="1" x14ac:dyDescent="0.35">
      <c r="B3" s="258"/>
      <c r="C3" s="258"/>
      <c r="D3" s="258"/>
      <c r="E3" s="258"/>
      <c r="F3" s="258"/>
      <c r="G3" s="258"/>
      <c r="H3" s="258"/>
      <c r="I3" s="258"/>
      <c r="J3" s="258"/>
      <c r="K3" s="258"/>
      <c r="L3" s="258"/>
      <c r="M3" s="258"/>
      <c r="N3" s="258"/>
      <c r="O3" s="258"/>
      <c r="P3" s="258"/>
      <c r="Q3" s="258"/>
      <c r="R3" s="5"/>
      <c r="S3" s="5"/>
      <c r="T3" s="5"/>
      <c r="U3" s="5"/>
      <c r="V3" s="5"/>
      <c r="W3" s="260" t="str">
        <f>'Business Infos'!D17</f>
        <v>Mining logistics and haulage company. Offers bulk material handling, on-site crushing, and integrated supply chain support to quarries and mines across WA and NT.</v>
      </c>
      <c r="X3" s="260"/>
      <c r="Y3" s="260"/>
      <c r="Z3" s="260"/>
      <c r="AA3" s="260"/>
    </row>
    <row r="4" spans="2:27" ht="15.5" customHeight="1" x14ac:dyDescent="0.35">
      <c r="B4" s="261" t="s">
        <v>37</v>
      </c>
      <c r="C4" s="262"/>
      <c r="D4" s="262"/>
      <c r="E4" s="262"/>
      <c r="F4" s="262"/>
      <c r="G4" s="262"/>
      <c r="H4" s="262"/>
      <c r="I4" s="262"/>
      <c r="J4" s="262"/>
      <c r="K4" s="5"/>
      <c r="L4" s="5"/>
      <c r="M4" s="5"/>
      <c r="N4" s="5"/>
      <c r="O4" s="5"/>
      <c r="P4" s="5"/>
      <c r="Q4" s="5"/>
      <c r="R4" s="5"/>
      <c r="S4" s="5"/>
      <c r="T4" s="5"/>
      <c r="U4" s="5"/>
      <c r="V4" s="5"/>
      <c r="W4" s="260" t="s">
        <v>193</v>
      </c>
      <c r="X4" s="260"/>
      <c r="Y4" s="260"/>
      <c r="Z4" s="260"/>
      <c r="AA4" s="260"/>
    </row>
    <row r="5" spans="2:27" x14ac:dyDescent="0.35">
      <c r="B5" s="7" t="s">
        <v>38</v>
      </c>
      <c r="C5" s="5"/>
      <c r="D5" s="5"/>
      <c r="E5" s="5"/>
      <c r="F5" s="5"/>
      <c r="G5" s="5"/>
      <c r="H5" s="5"/>
      <c r="I5" s="5"/>
      <c r="J5" s="5"/>
      <c r="K5" s="5"/>
      <c r="L5" s="5"/>
      <c r="M5" s="5"/>
      <c r="N5" s="5"/>
      <c r="O5" s="5"/>
      <c r="P5" s="5"/>
      <c r="Q5" s="5"/>
      <c r="R5" s="5"/>
      <c r="S5" s="5"/>
      <c r="T5" s="5"/>
      <c r="U5" s="5"/>
      <c r="V5" s="5"/>
      <c r="W5" s="260"/>
      <c r="X5" s="260"/>
      <c r="Y5" s="260"/>
      <c r="Z5" s="260"/>
      <c r="AA5" s="260"/>
    </row>
    <row r="6" spans="2:27" x14ac:dyDescent="0.35">
      <c r="B6" s="4"/>
      <c r="C6" s="4"/>
      <c r="D6" s="4"/>
      <c r="E6" s="4"/>
      <c r="F6" s="4"/>
      <c r="G6" s="4"/>
      <c r="H6" s="4"/>
      <c r="I6" s="4"/>
      <c r="J6" s="4"/>
      <c r="K6" s="4"/>
      <c r="L6" s="4"/>
      <c r="M6" s="4"/>
      <c r="N6" s="4"/>
      <c r="O6" s="4"/>
      <c r="P6" s="4"/>
      <c r="Q6" s="4"/>
      <c r="R6" s="4"/>
      <c r="S6" s="4"/>
      <c r="T6" s="4"/>
      <c r="U6" s="4"/>
      <c r="V6" s="4"/>
      <c r="W6"/>
      <c r="X6"/>
      <c r="Y6"/>
      <c r="Z6"/>
      <c r="AA6"/>
    </row>
    <row r="7" spans="2:27" x14ac:dyDescent="0.35">
      <c r="B7" s="4"/>
      <c r="C7" s="4"/>
      <c r="D7" s="4"/>
      <c r="E7" s="4"/>
      <c r="F7" s="4"/>
      <c r="G7" s="4"/>
      <c r="H7" s="4"/>
      <c r="I7" s="4"/>
      <c r="J7" s="4"/>
      <c r="K7" s="4"/>
      <c r="L7" s="4"/>
      <c r="M7" s="4"/>
      <c r="N7" s="4"/>
      <c r="O7" s="4"/>
      <c r="P7" s="4"/>
      <c r="Q7" s="4"/>
      <c r="R7" s="4"/>
      <c r="S7" s="4"/>
      <c r="T7" s="4"/>
      <c r="U7" s="4"/>
      <c r="V7" s="4"/>
      <c r="W7" s="4"/>
      <c r="X7" s="4"/>
      <c r="Y7" s="4"/>
      <c r="Z7" s="4"/>
      <c r="AA7" s="4"/>
    </row>
    <row r="8" spans="2:27" ht="15" thickBot="1" x14ac:dyDescent="0.4">
      <c r="B8" s="8" t="s">
        <v>39</v>
      </c>
      <c r="C8" s="9"/>
      <c r="D8" s="9"/>
      <c r="E8" s="9"/>
      <c r="F8" s="10"/>
      <c r="G8" s="8" t="s">
        <v>40</v>
      </c>
      <c r="H8" s="9"/>
      <c r="I8" s="9"/>
      <c r="J8" s="51"/>
      <c r="K8" s="9"/>
      <c r="L8" s="9"/>
      <c r="M8" s="9"/>
      <c r="N8" s="9"/>
      <c r="O8" s="8"/>
      <c r="P8" s="9"/>
      <c r="Q8" s="9"/>
      <c r="R8" s="9"/>
      <c r="S8" s="9"/>
      <c r="T8" s="9"/>
      <c r="U8" s="9"/>
      <c r="V8" s="10"/>
      <c r="W8" s="8" t="s">
        <v>41</v>
      </c>
      <c r="X8" s="9"/>
      <c r="Y8" s="9"/>
      <c r="Z8" s="9"/>
      <c r="AA8" s="9"/>
    </row>
    <row r="9" spans="2:27" ht="4" customHeight="1" x14ac:dyDescent="0.35">
      <c r="B9" s="2"/>
      <c r="C9" s="2"/>
      <c r="D9" s="2"/>
      <c r="E9" s="2"/>
      <c r="F9" s="10"/>
      <c r="G9" s="2"/>
      <c r="H9" s="2"/>
      <c r="I9" s="2"/>
      <c r="J9" s="2"/>
      <c r="K9" s="2"/>
      <c r="L9" s="2"/>
      <c r="M9" s="2"/>
      <c r="N9" s="2"/>
      <c r="O9" s="2"/>
      <c r="P9" s="2"/>
      <c r="Q9" s="2"/>
      <c r="R9" s="2"/>
      <c r="S9" s="2"/>
      <c r="T9" s="2"/>
      <c r="U9" s="2"/>
      <c r="V9" s="10"/>
      <c r="W9" s="2"/>
      <c r="X9" s="2"/>
      <c r="Y9" s="2"/>
      <c r="Z9" s="2"/>
      <c r="AA9" s="2"/>
    </row>
    <row r="10" spans="2:27" x14ac:dyDescent="0.35">
      <c r="B10" s="263" t="s">
        <v>42</v>
      </c>
      <c r="C10" s="263"/>
      <c r="D10" s="11"/>
      <c r="E10" s="11" t="s">
        <v>234</v>
      </c>
      <c r="F10" s="10"/>
      <c r="G10" s="220"/>
      <c r="H10" s="220"/>
      <c r="I10" s="220"/>
      <c r="J10" s="257" t="s">
        <v>43</v>
      </c>
      <c r="K10" s="264"/>
      <c r="L10" s="264"/>
      <c r="M10" s="264"/>
      <c r="N10" s="264"/>
      <c r="O10" s="264"/>
      <c r="P10" s="257" t="s">
        <v>44</v>
      </c>
      <c r="Q10" s="257"/>
      <c r="R10" s="257" t="s">
        <v>45</v>
      </c>
      <c r="S10" s="257"/>
      <c r="T10" s="220"/>
      <c r="U10" s="220"/>
      <c r="V10" s="10"/>
      <c r="W10" s="220"/>
      <c r="X10" s="220"/>
      <c r="Y10" s="220"/>
      <c r="Z10" s="13" t="s">
        <v>46</v>
      </c>
      <c r="AA10" s="14">
        <v>45657</v>
      </c>
    </row>
    <row r="11" spans="2:27" x14ac:dyDescent="0.35">
      <c r="B11" s="220" t="s">
        <v>5</v>
      </c>
      <c r="C11" s="220"/>
      <c r="D11" s="12"/>
      <c r="E11" s="11" t="s">
        <v>28</v>
      </c>
      <c r="F11" s="15"/>
      <c r="G11" s="220"/>
      <c r="H11" s="220"/>
      <c r="I11" s="220"/>
      <c r="J11" s="264"/>
      <c r="K11" s="264"/>
      <c r="L11" s="264"/>
      <c r="M11" s="264"/>
      <c r="N11" s="264"/>
      <c r="O11" s="264"/>
      <c r="P11" s="257" t="s">
        <v>47</v>
      </c>
      <c r="Q11" s="257"/>
      <c r="R11" s="257" t="s">
        <v>47</v>
      </c>
      <c r="S11" s="257"/>
      <c r="T11" s="257" t="s">
        <v>3</v>
      </c>
      <c r="U11" s="257"/>
      <c r="V11" s="10"/>
      <c r="W11" s="220" t="s">
        <v>48</v>
      </c>
      <c r="X11" s="220"/>
      <c r="Y11" s="220"/>
      <c r="Z11" s="16">
        <v>5.8609299999999998</v>
      </c>
      <c r="AA11" s="16">
        <v>1.2066239999999999</v>
      </c>
    </row>
    <row r="12" spans="2:27" ht="15" thickBot="1" x14ac:dyDescent="0.4">
      <c r="B12" s="220" t="s">
        <v>49</v>
      </c>
      <c r="C12" s="220"/>
      <c r="D12" s="12"/>
      <c r="E12" s="11" t="s">
        <v>194</v>
      </c>
      <c r="F12" s="10"/>
      <c r="G12" s="220"/>
      <c r="H12" s="220"/>
      <c r="I12" s="220"/>
      <c r="J12" s="257" t="s">
        <v>50</v>
      </c>
      <c r="K12" s="257"/>
      <c r="L12" s="257" t="s">
        <v>51</v>
      </c>
      <c r="M12" s="257"/>
      <c r="N12" s="257" t="s">
        <v>46</v>
      </c>
      <c r="O12" s="257"/>
      <c r="P12" s="250">
        <v>45291</v>
      </c>
      <c r="Q12" s="251"/>
      <c r="R12" s="250">
        <v>45657</v>
      </c>
      <c r="S12" s="251"/>
      <c r="T12" s="252">
        <v>45657</v>
      </c>
      <c r="U12" s="252"/>
      <c r="V12" s="10"/>
      <c r="W12" s="220" t="s">
        <v>52</v>
      </c>
      <c r="X12" s="220"/>
      <c r="Y12" s="220"/>
      <c r="Z12" s="16">
        <v>60.417569999999998</v>
      </c>
      <c r="AA12" s="16">
        <v>66.865060999999997</v>
      </c>
    </row>
    <row r="13" spans="2:27" x14ac:dyDescent="0.35">
      <c r="B13" s="220" t="s">
        <v>53</v>
      </c>
      <c r="C13" s="220"/>
      <c r="D13" s="12"/>
      <c r="E13" s="17">
        <v>45838</v>
      </c>
      <c r="F13" s="10"/>
      <c r="G13" s="229" t="s">
        <v>8</v>
      </c>
      <c r="H13" s="229"/>
      <c r="I13" s="229"/>
      <c r="J13" s="233">
        <v>289.775172</v>
      </c>
      <c r="K13" s="234"/>
      <c r="L13" s="233">
        <v>383.84458699999999</v>
      </c>
      <c r="M13" s="234"/>
      <c r="N13" s="233">
        <v>474.84923900000001</v>
      </c>
      <c r="O13" s="234"/>
      <c r="P13" s="253">
        <v>226.36039400000001</v>
      </c>
      <c r="Q13" s="254"/>
      <c r="R13" s="255">
        <v>272.86562400000003</v>
      </c>
      <c r="S13" s="256"/>
      <c r="T13" s="231">
        <f>IFERROR(N13+R13-P13," -        ")</f>
        <v>521.35446899999999</v>
      </c>
      <c r="U13" s="230"/>
      <c r="V13" s="10"/>
      <c r="W13" s="220" t="s">
        <v>54</v>
      </c>
      <c r="X13" s="220"/>
      <c r="Y13" s="220"/>
      <c r="Z13" s="16">
        <v>7.0386899999999999</v>
      </c>
      <c r="AA13" s="16">
        <v>19.077014999999999</v>
      </c>
    </row>
    <row r="14" spans="2:27" ht="14.5" customHeight="1" x14ac:dyDescent="0.35">
      <c r="B14" s="249" t="s">
        <v>55</v>
      </c>
      <c r="C14" s="249"/>
      <c r="D14" s="249"/>
      <c r="E14" s="42">
        <v>0</v>
      </c>
      <c r="F14" s="10"/>
      <c r="G14" s="220" t="s">
        <v>56</v>
      </c>
      <c r="H14" s="229"/>
      <c r="I14" s="229"/>
      <c r="J14" s="233">
        <v>205.20579699999999</v>
      </c>
      <c r="K14" s="234"/>
      <c r="L14" s="233">
        <v>276.295548</v>
      </c>
      <c r="M14" s="233"/>
      <c r="N14" s="233">
        <v>326.31032299999998</v>
      </c>
      <c r="O14" s="265"/>
      <c r="P14" s="235">
        <v>159.894127</v>
      </c>
      <c r="Q14" s="234"/>
      <c r="R14" s="233">
        <v>184.264734</v>
      </c>
      <c r="S14" s="236"/>
      <c r="T14" s="230">
        <f t="shared" ref="T14:T29" si="0">IFERROR(N14+R14-P14," -        ")</f>
        <v>350.68092999999999</v>
      </c>
      <c r="U14" s="230"/>
      <c r="V14" s="10"/>
      <c r="W14" s="220" t="s">
        <v>57</v>
      </c>
      <c r="X14" s="220"/>
      <c r="Y14" s="220"/>
      <c r="Z14" s="16">
        <v>18.586449999999999</v>
      </c>
      <c r="AA14" s="16">
        <v>0</v>
      </c>
    </row>
    <row r="15" spans="2:27" x14ac:dyDescent="0.35">
      <c r="B15" s="220" t="s">
        <v>58</v>
      </c>
      <c r="C15" s="220"/>
      <c r="D15" s="12"/>
      <c r="E15" s="11" t="s">
        <v>65</v>
      </c>
      <c r="F15" s="10"/>
      <c r="G15" s="220" t="s">
        <v>60</v>
      </c>
      <c r="H15" s="220"/>
      <c r="I15" s="220"/>
      <c r="J15" s="230">
        <f>IFERROR(J13-J14," -        ")</f>
        <v>84.569375000000008</v>
      </c>
      <c r="K15" s="230"/>
      <c r="L15" s="230">
        <f t="shared" ref="L15" si="1">IFERROR(L13-L14," -        ")</f>
        <v>107.54903899999999</v>
      </c>
      <c r="M15" s="230"/>
      <c r="N15" s="230">
        <f t="shared" ref="N15" si="2">IFERROR(N13-N14," -        ")</f>
        <v>148.53891600000003</v>
      </c>
      <c r="O15" s="230"/>
      <c r="P15" s="231">
        <f>IFERROR(P13-P14," -        ")</f>
        <v>66.466267000000016</v>
      </c>
      <c r="Q15" s="230"/>
      <c r="R15" s="230">
        <f t="shared" ref="R15" si="3">IFERROR(R13-R14," -        ")</f>
        <v>88.600890000000021</v>
      </c>
      <c r="S15" s="232"/>
      <c r="T15" s="230">
        <f t="shared" si="0"/>
        <v>170.67353900000003</v>
      </c>
      <c r="U15" s="230"/>
      <c r="V15" s="10"/>
      <c r="W15" s="220" t="s">
        <v>61</v>
      </c>
      <c r="X15" s="220"/>
      <c r="Y15" s="220"/>
      <c r="Z15" s="20">
        <f>IFERROR(Z11+Z12+Z13+Z14," -        ")</f>
        <v>91.903639999999996</v>
      </c>
      <c r="AA15" s="20">
        <f>IFERROR(AA11+AA12+AA13+AA14," -        ")</f>
        <v>87.148700000000005</v>
      </c>
    </row>
    <row r="16" spans="2:27" x14ac:dyDescent="0.35">
      <c r="B16" s="220" t="s">
        <v>62</v>
      </c>
      <c r="C16" s="220"/>
      <c r="D16" s="12"/>
      <c r="E16" s="21" t="s">
        <v>235</v>
      </c>
      <c r="F16" s="10"/>
      <c r="G16" s="220" t="s">
        <v>64</v>
      </c>
      <c r="H16" s="220"/>
      <c r="I16" s="220"/>
      <c r="J16" s="233">
        <v>50.006523999999999</v>
      </c>
      <c r="K16" s="234"/>
      <c r="L16" s="233">
        <v>65.677609000000004</v>
      </c>
      <c r="M16" s="234"/>
      <c r="N16" s="233">
        <v>86.512189000000006</v>
      </c>
      <c r="O16" s="234"/>
      <c r="P16" s="235">
        <v>34.199817000000003</v>
      </c>
      <c r="Q16" s="234"/>
      <c r="R16" s="233">
        <v>55.826298000000001</v>
      </c>
      <c r="S16" s="236"/>
      <c r="T16" s="230">
        <f t="shared" si="0"/>
        <v>108.13867000000002</v>
      </c>
      <c r="U16" s="230"/>
      <c r="V16" s="10"/>
      <c r="W16" s="220"/>
      <c r="X16" s="220"/>
      <c r="Y16" s="220"/>
      <c r="Z16" s="20"/>
      <c r="AA16" s="20"/>
    </row>
    <row r="17" spans="2:27" x14ac:dyDescent="0.35">
      <c r="B17" s="220" t="s">
        <v>66</v>
      </c>
      <c r="C17" s="220"/>
      <c r="D17" s="12"/>
      <c r="E17" s="22">
        <v>0.38</v>
      </c>
      <c r="F17" s="10"/>
      <c r="G17" s="220" t="s">
        <v>67</v>
      </c>
      <c r="H17" s="220"/>
      <c r="I17" s="220"/>
      <c r="J17" s="233">
        <f>75.740523-J16</f>
        <v>25.733998999999997</v>
      </c>
      <c r="K17" s="234"/>
      <c r="L17" s="233">
        <f>95.88811-L16</f>
        <v>30.210500999999994</v>
      </c>
      <c r="M17" s="234"/>
      <c r="N17" s="233">
        <f>127.43421-N16</f>
        <v>40.922020999999987</v>
      </c>
      <c r="O17" s="234"/>
      <c r="P17" s="235">
        <f>54.209384-P16</f>
        <v>20.009566999999997</v>
      </c>
      <c r="Q17" s="234"/>
      <c r="R17" s="233">
        <f>78.752345-R16</f>
        <v>22.926047000000004</v>
      </c>
      <c r="S17" s="236"/>
      <c r="T17" s="230">
        <f t="shared" si="0"/>
        <v>43.838500999999994</v>
      </c>
      <c r="U17" s="230"/>
      <c r="V17" s="10"/>
      <c r="W17" s="220" t="s">
        <v>68</v>
      </c>
      <c r="X17" s="220"/>
      <c r="Y17" s="220"/>
      <c r="Z17" s="16">
        <v>201.50848999999999</v>
      </c>
      <c r="AA17" s="16">
        <v>214.043845</v>
      </c>
    </row>
    <row r="18" spans="2:27" x14ac:dyDescent="0.35">
      <c r="B18" s="10"/>
      <c r="C18" s="10"/>
      <c r="D18" s="10"/>
      <c r="E18" s="10"/>
      <c r="F18" s="10"/>
      <c r="G18" s="220" t="s">
        <v>69</v>
      </c>
      <c r="H18" s="220"/>
      <c r="I18" s="220"/>
      <c r="J18" s="248">
        <f>IFERROR(J15-J16-J17," -        ")</f>
        <v>8.8288520000000119</v>
      </c>
      <c r="K18" s="230"/>
      <c r="L18" s="248">
        <f>IFERROR(L15-L16-L17," -        ")</f>
        <v>11.660928999999996</v>
      </c>
      <c r="M18" s="230"/>
      <c r="N18" s="248">
        <f>IFERROR(N15-N16-N17," -        ")</f>
        <v>21.104706000000036</v>
      </c>
      <c r="O18" s="230"/>
      <c r="P18" s="231">
        <f>IFERROR(P15-P16-P17," -        ")</f>
        <v>12.256883000000016</v>
      </c>
      <c r="Q18" s="230"/>
      <c r="R18" s="230">
        <f>IFERROR(R15-R16-R17," -        ")</f>
        <v>9.8485450000000156</v>
      </c>
      <c r="S18" s="232"/>
      <c r="T18" s="230">
        <f t="shared" si="0"/>
        <v>18.696368000000035</v>
      </c>
      <c r="U18" s="230"/>
      <c r="V18" s="10"/>
      <c r="W18" s="220" t="s">
        <v>70</v>
      </c>
      <c r="X18" s="220"/>
      <c r="Y18" s="220"/>
      <c r="Z18" s="16">
        <v>0</v>
      </c>
      <c r="AA18" s="16">
        <v>0</v>
      </c>
    </row>
    <row r="19" spans="2:27" ht="15" thickBot="1" x14ac:dyDescent="0.4">
      <c r="B19" s="8" t="s">
        <v>71</v>
      </c>
      <c r="C19" s="9"/>
      <c r="D19" s="9"/>
      <c r="E19" s="9"/>
      <c r="F19" s="10"/>
      <c r="G19" s="220" t="s">
        <v>72</v>
      </c>
      <c r="H19" s="220"/>
      <c r="I19" s="220"/>
      <c r="J19" s="233">
        <v>2.6246529999999999</v>
      </c>
      <c r="K19" s="234"/>
      <c r="L19" s="233">
        <v>2.9000330000000001</v>
      </c>
      <c r="M19" s="234"/>
      <c r="N19" s="233">
        <v>3.3561610000000002</v>
      </c>
      <c r="O19" s="234"/>
      <c r="P19" s="235">
        <v>1.9815529999999999</v>
      </c>
      <c r="Q19" s="234"/>
      <c r="R19" s="233">
        <v>2.4361480000000002</v>
      </c>
      <c r="S19" s="236"/>
      <c r="T19" s="230">
        <f t="shared" si="0"/>
        <v>3.8107560000000005</v>
      </c>
      <c r="U19" s="230"/>
      <c r="V19" s="10"/>
      <c r="W19" s="220" t="s">
        <v>73</v>
      </c>
      <c r="X19" s="220"/>
      <c r="Y19" s="220"/>
      <c r="Z19" s="16">
        <v>0</v>
      </c>
      <c r="AA19" s="16">
        <v>0</v>
      </c>
    </row>
    <row r="20" spans="2:27" ht="3.5" customHeight="1" x14ac:dyDescent="0.35">
      <c r="B20" s="2"/>
      <c r="C20" s="2"/>
      <c r="D20" s="2"/>
      <c r="E20" s="2"/>
      <c r="F20" s="10"/>
      <c r="G20" s="220"/>
      <c r="H20" s="220"/>
      <c r="I20" s="220"/>
      <c r="J20" s="244"/>
      <c r="K20" s="244"/>
      <c r="L20" s="244"/>
      <c r="M20" s="244"/>
      <c r="N20" s="244"/>
      <c r="O20" s="244"/>
      <c r="P20" s="245"/>
      <c r="Q20" s="244"/>
      <c r="R20" s="244"/>
      <c r="S20" s="246"/>
      <c r="T20" s="230">
        <f t="shared" si="0"/>
        <v>0</v>
      </c>
      <c r="U20" s="230"/>
      <c r="V20" s="10"/>
      <c r="W20" s="220"/>
      <c r="X20" s="220"/>
      <c r="Y20" s="12"/>
      <c r="Z20" s="20"/>
      <c r="AA20" s="20"/>
    </row>
    <row r="21" spans="2:27" x14ac:dyDescent="0.35">
      <c r="B21" s="220" t="s">
        <v>74</v>
      </c>
      <c r="C21" s="220"/>
      <c r="D21" s="23" cm="1">
        <f t="array" aca="1" ref="D21" ca="1">_FV(B2,"Last trade time",TRUE)</f>
        <v>45763.165613425925</v>
      </c>
      <c r="E21" s="24" cm="1">
        <f t="array" aca="1" ref="E21" ca="1">_FV(B2,"Price")</f>
        <v>0.6</v>
      </c>
      <c r="F21" s="10"/>
      <c r="G21" s="220" t="s">
        <v>75</v>
      </c>
      <c r="H21" s="220"/>
      <c r="I21" s="220"/>
      <c r="J21" s="230">
        <f>IFERROR(J18-J19," -        ")</f>
        <v>6.2041990000000116</v>
      </c>
      <c r="K21" s="230"/>
      <c r="L21" s="230">
        <f t="shared" ref="L21" si="4">IFERROR(L18-L19," -        ")</f>
        <v>8.7608959999999954</v>
      </c>
      <c r="M21" s="230"/>
      <c r="N21" s="230">
        <f t="shared" ref="N21" si="5">IFERROR(N18-N19," -        ")</f>
        <v>17.748545000000036</v>
      </c>
      <c r="O21" s="230"/>
      <c r="P21" s="231">
        <f t="shared" ref="P21" si="6">IFERROR(P18-P19," -        ")</f>
        <v>10.275330000000016</v>
      </c>
      <c r="Q21" s="230"/>
      <c r="R21" s="230">
        <f t="shared" ref="R21" si="7">IFERROR(R18-R19," -        ")</f>
        <v>7.4123970000000154</v>
      </c>
      <c r="S21" s="232"/>
      <c r="T21" s="230">
        <f t="shared" si="0"/>
        <v>14.885612000000036</v>
      </c>
      <c r="U21" s="230"/>
      <c r="V21" s="10"/>
      <c r="W21" s="220" t="s">
        <v>76</v>
      </c>
      <c r="X21" s="220"/>
      <c r="Y21" s="220"/>
      <c r="Z21" s="20">
        <f>IFERROR(Z17+Z18+Z19+Z15," -       ")</f>
        <v>293.41212999999999</v>
      </c>
      <c r="AA21" s="20">
        <f>IFERROR(AA17+AA18+AA19+AA15," -       ")</f>
        <v>301.192545</v>
      </c>
    </row>
    <row r="22" spans="2:27" x14ac:dyDescent="0.35">
      <c r="B22" s="220" t="s">
        <v>77</v>
      </c>
      <c r="C22" s="220"/>
      <c r="D22" s="25"/>
      <c r="E22" s="26">
        <f ca="1">IFERROR(E21/E23,"NA")</f>
        <v>0.67039106145251393</v>
      </c>
      <c r="F22" s="10"/>
      <c r="G22" s="220" t="s">
        <v>78</v>
      </c>
      <c r="H22" s="220"/>
      <c r="I22" s="220"/>
      <c r="J22" s="233">
        <v>1.0542130000000001</v>
      </c>
      <c r="K22" s="234"/>
      <c r="L22" s="233">
        <v>0.54482600000000003</v>
      </c>
      <c r="M22" s="234"/>
      <c r="N22" s="233">
        <v>5.3406890000000002</v>
      </c>
      <c r="O22" s="234"/>
      <c r="P22" s="235">
        <v>3.3861319999999999</v>
      </c>
      <c r="Q22" s="234"/>
      <c r="R22" s="233">
        <v>2.1638350000000002</v>
      </c>
      <c r="S22" s="236"/>
      <c r="T22" s="230">
        <f t="shared" si="0"/>
        <v>4.1183920000000001</v>
      </c>
      <c r="U22" s="230"/>
      <c r="V22" s="10"/>
      <c r="W22" s="220"/>
      <c r="X22" s="220"/>
      <c r="Y22" s="220"/>
      <c r="Z22" s="20"/>
      <c r="AA22" s="20"/>
    </row>
    <row r="23" spans="2:27" x14ac:dyDescent="0.35">
      <c r="B23" s="220" t="s">
        <v>79</v>
      </c>
      <c r="C23" s="220"/>
      <c r="D23" s="23" cm="1">
        <f t="array" aca="1" ref="D23" ca="1">_FV(B2,"Last trade time",TRUE)</f>
        <v>45763.165613425925</v>
      </c>
      <c r="E23" s="24" cm="1">
        <f t="array" aca="1" ref="E23" ca="1">_FV(B2,"52 week high",TRUE)</f>
        <v>0.89500000000000002</v>
      </c>
      <c r="F23" s="10"/>
      <c r="G23" s="220" t="s">
        <v>80</v>
      </c>
      <c r="H23" s="220"/>
      <c r="I23" s="220"/>
      <c r="J23" s="233">
        <v>0</v>
      </c>
      <c r="K23" s="234"/>
      <c r="L23" s="233">
        <v>0</v>
      </c>
      <c r="M23" s="234"/>
      <c r="N23" s="233">
        <v>0</v>
      </c>
      <c r="O23" s="234"/>
      <c r="P23" s="235">
        <v>0</v>
      </c>
      <c r="Q23" s="234"/>
      <c r="R23" s="233">
        <v>0</v>
      </c>
      <c r="S23" s="236"/>
      <c r="T23" s="230">
        <f t="shared" si="0"/>
        <v>0</v>
      </c>
      <c r="U23" s="230"/>
      <c r="V23" s="10"/>
      <c r="W23" s="220" t="s">
        <v>81</v>
      </c>
      <c r="X23" s="220"/>
      <c r="Y23" s="220"/>
      <c r="Z23" s="16">
        <v>66.006410000000002</v>
      </c>
      <c r="AA23" s="16">
        <v>57.328434000000001</v>
      </c>
    </row>
    <row r="24" spans="2:27" x14ac:dyDescent="0.35">
      <c r="B24" s="220" t="s">
        <v>82</v>
      </c>
      <c r="C24" s="220"/>
      <c r="D24" s="23" cm="1">
        <f t="array" aca="1" ref="D24" ca="1">_FV(B2,"Last trade time",TRUE)</f>
        <v>45763.165613425925</v>
      </c>
      <c r="E24" s="24" cm="1">
        <f t="array" aca="1" ref="E24" ca="1">_FV(B2,"52 week low",TRUE)</f>
        <v>0.52</v>
      </c>
      <c r="F24" s="10"/>
      <c r="G24" s="220" t="s">
        <v>83</v>
      </c>
      <c r="H24" s="220"/>
      <c r="I24" s="220"/>
      <c r="J24" s="233">
        <v>0</v>
      </c>
      <c r="K24" s="234"/>
      <c r="L24" s="233">
        <v>0</v>
      </c>
      <c r="M24" s="234"/>
      <c r="N24" s="233">
        <v>0</v>
      </c>
      <c r="O24" s="234"/>
      <c r="P24" s="235">
        <v>0</v>
      </c>
      <c r="Q24" s="234"/>
      <c r="R24" s="233">
        <v>0</v>
      </c>
      <c r="S24" s="236"/>
      <c r="T24" s="230">
        <f t="shared" si="0"/>
        <v>0</v>
      </c>
      <c r="U24" s="230"/>
      <c r="V24" s="10"/>
      <c r="W24" s="220" t="s">
        <v>84</v>
      </c>
      <c r="X24" s="220"/>
      <c r="Y24" s="220"/>
      <c r="Z24" s="16">
        <v>27.517880000000002</v>
      </c>
      <c r="AA24" s="16">
        <v>35.707881999999998</v>
      </c>
    </row>
    <row r="25" spans="2:27" x14ac:dyDescent="0.35">
      <c r="B25" s="220" t="s">
        <v>85</v>
      </c>
      <c r="C25" s="220"/>
      <c r="D25" s="25"/>
      <c r="E25" s="43">
        <f>E14</f>
        <v>0</v>
      </c>
      <c r="F25" s="10"/>
      <c r="G25" s="220" t="s">
        <v>86</v>
      </c>
      <c r="H25" s="220"/>
      <c r="I25" s="220"/>
      <c r="J25" s="230">
        <f>IFERROR(J21-J22-J23-J24," -        ")</f>
        <v>5.1499860000000117</v>
      </c>
      <c r="K25" s="230"/>
      <c r="L25" s="230">
        <f t="shared" ref="L25" si="8">IFERROR(L21-L22-L23-L24," -        ")</f>
        <v>8.2160699999999949</v>
      </c>
      <c r="M25" s="230"/>
      <c r="N25" s="230">
        <f t="shared" ref="N25" si="9">IFERROR(N21-N22-N23-N24," -        ")</f>
        <v>12.407856000000034</v>
      </c>
      <c r="O25" s="230"/>
      <c r="P25" s="231">
        <f t="shared" ref="P25" si="10">IFERROR(P21-P22-P23-P24," -        ")</f>
        <v>6.8891980000000164</v>
      </c>
      <c r="Q25" s="230"/>
      <c r="R25" s="230">
        <f t="shared" ref="R25" si="11">IFERROR(R21-R22-R23-R24," -        ")</f>
        <v>5.2485620000000157</v>
      </c>
      <c r="S25" s="232"/>
      <c r="T25" s="230">
        <f t="shared" si="0"/>
        <v>10.767220000000036</v>
      </c>
      <c r="U25" s="230"/>
      <c r="V25" s="10"/>
      <c r="W25" s="220" t="s">
        <v>87</v>
      </c>
      <c r="X25" s="220"/>
      <c r="Y25" s="220"/>
      <c r="Z25" s="16">
        <v>4.9686599999999999</v>
      </c>
      <c r="AA25" s="16">
        <v>3.5689929999999999</v>
      </c>
    </row>
    <row r="26" spans="2:27" x14ac:dyDescent="0.35">
      <c r="B26" s="220"/>
      <c r="C26" s="220"/>
      <c r="D26" s="25"/>
      <c r="E26" s="25"/>
      <c r="F26" s="10"/>
      <c r="G26" s="220" t="s">
        <v>88</v>
      </c>
      <c r="H26" s="220"/>
      <c r="I26" s="220"/>
      <c r="J26" s="205">
        <f>IFERROR(J22/J21," -        ")</f>
        <v>0.16991927563896614</v>
      </c>
      <c r="K26" s="205"/>
      <c r="L26" s="205">
        <f t="shared" ref="L26" si="12">IFERROR(L22/L21," -        ")</f>
        <v>6.2188388037022736E-2</v>
      </c>
      <c r="M26" s="205"/>
      <c r="N26" s="205">
        <f t="shared" ref="N26" si="13">IFERROR(N22/N21," -        ")</f>
        <v>0.30090855334902039</v>
      </c>
      <c r="O26" s="205"/>
      <c r="P26" s="216">
        <f t="shared" ref="P26" si="14">IFERROR(P22/P21," -        ")</f>
        <v>0.32953997584505751</v>
      </c>
      <c r="Q26" s="205"/>
      <c r="R26" s="205">
        <f t="shared" ref="R26" si="15">IFERROR(R22/R21," -        ")</f>
        <v>0.29192108841444886</v>
      </c>
      <c r="S26" s="217"/>
      <c r="T26" s="205">
        <f t="shared" si="0"/>
        <v>0.2632896659184118</v>
      </c>
      <c r="U26" s="205"/>
      <c r="V26" s="28"/>
      <c r="W26" s="247" t="s">
        <v>89</v>
      </c>
      <c r="X26" s="247"/>
      <c r="Y26" s="247"/>
      <c r="Z26" s="20">
        <f>IFERROR(Z23+Z24+Z25," -       ")</f>
        <v>98.492950000000008</v>
      </c>
      <c r="AA26" s="20">
        <f>IFERROR(AA23+AA24+AA25," -       ")</f>
        <v>96.605309000000005</v>
      </c>
    </row>
    <row r="27" spans="2:27" x14ac:dyDescent="0.35">
      <c r="B27" s="29" t="s">
        <v>90</v>
      </c>
      <c r="C27" s="29"/>
      <c r="D27" s="25"/>
      <c r="E27" s="30">
        <f>T28</f>
        <v>172.972039</v>
      </c>
      <c r="F27" s="10"/>
      <c r="G27" s="220"/>
      <c r="H27" s="220"/>
      <c r="I27" s="220"/>
      <c r="J27" s="244"/>
      <c r="K27" s="244"/>
      <c r="L27" s="244"/>
      <c r="M27" s="244"/>
      <c r="N27" s="244"/>
      <c r="O27" s="244"/>
      <c r="P27" s="245"/>
      <c r="Q27" s="244"/>
      <c r="R27" s="244"/>
      <c r="S27" s="246"/>
      <c r="T27" s="230"/>
      <c r="U27" s="230"/>
      <c r="V27" s="10"/>
      <c r="W27" s="220"/>
      <c r="X27" s="220"/>
      <c r="Y27" s="220"/>
      <c r="Z27" s="20"/>
      <c r="AA27" s="20"/>
    </row>
    <row r="28" spans="2:27" x14ac:dyDescent="0.35">
      <c r="B28" s="229" t="s">
        <v>91</v>
      </c>
      <c r="C28" s="229"/>
      <c r="D28" s="25"/>
      <c r="E28" s="30">
        <f ca="1">IFERROR(E27*E21," -       ")</f>
        <v>103.7832234</v>
      </c>
      <c r="F28" s="10"/>
      <c r="G28" s="220" t="s">
        <v>92</v>
      </c>
      <c r="H28" s="220"/>
      <c r="I28" s="220"/>
      <c r="J28" s="233">
        <v>145.669163</v>
      </c>
      <c r="K28" s="234"/>
      <c r="L28" s="233">
        <v>156.26690300000001</v>
      </c>
      <c r="M28" s="234"/>
      <c r="N28" s="233">
        <v>172.19381799999999</v>
      </c>
      <c r="O28" s="234"/>
      <c r="P28" s="235">
        <v>161.72027700000001</v>
      </c>
      <c r="Q28" s="234"/>
      <c r="R28" s="233">
        <v>163.27671799999999</v>
      </c>
      <c r="S28" s="236"/>
      <c r="T28" s="230">
        <v>172.972039</v>
      </c>
      <c r="U28" s="230"/>
      <c r="V28" s="10"/>
      <c r="W28" s="220" t="s">
        <v>93</v>
      </c>
      <c r="X28" s="220"/>
      <c r="Y28" s="220"/>
      <c r="Z28" s="16">
        <v>40.222859999999997</v>
      </c>
      <c r="AA28" s="16">
        <v>47.486289999999997</v>
      </c>
    </row>
    <row r="29" spans="2:27" ht="15" thickBot="1" x14ac:dyDescent="0.4">
      <c r="B29" s="220"/>
      <c r="C29" s="220"/>
      <c r="D29" s="25"/>
      <c r="E29" s="30"/>
      <c r="F29" s="10"/>
      <c r="G29" s="220" t="s">
        <v>94</v>
      </c>
      <c r="H29" s="220"/>
      <c r="I29" s="220"/>
      <c r="J29" s="230">
        <f>IFERROR(J25/J28," -        ")</f>
        <v>3.5353989093765935E-2</v>
      </c>
      <c r="K29" s="230"/>
      <c r="L29" s="230">
        <f t="shared" ref="L29" si="16">IFERROR(L25/L28," -        ")</f>
        <v>5.2577160244866403E-2</v>
      </c>
      <c r="M29" s="230"/>
      <c r="N29" s="230">
        <f>IFERROR(N25/N28," -        ")</f>
        <v>7.2057499764596855E-2</v>
      </c>
      <c r="O29" s="230"/>
      <c r="P29" s="241">
        <f t="shared" ref="P29" si="17">IFERROR(P25/P28," -        ")</f>
        <v>4.2599469453048343E-2</v>
      </c>
      <c r="Q29" s="242"/>
      <c r="R29" s="242">
        <f t="shared" ref="R29" si="18">IFERROR(R25/R28," -        ")</f>
        <v>3.2145195373170204E-2</v>
      </c>
      <c r="S29" s="243"/>
      <c r="T29" s="230">
        <f t="shared" si="0"/>
        <v>6.1603225684718717E-2</v>
      </c>
      <c r="U29" s="230"/>
      <c r="V29" s="10"/>
      <c r="W29" s="220" t="s">
        <v>95</v>
      </c>
      <c r="X29" s="220"/>
      <c r="Y29" s="220"/>
      <c r="Z29" s="16">
        <v>23.863420000000001</v>
      </c>
      <c r="AA29" s="16">
        <v>21.288720000000001</v>
      </c>
    </row>
    <row r="30" spans="2:27" x14ac:dyDescent="0.35">
      <c r="B30" s="220" t="s">
        <v>96</v>
      </c>
      <c r="C30" s="220"/>
      <c r="D30" s="25"/>
      <c r="E30" s="30">
        <f>IF(SUM(AA24,AA28)=0," -       ",SUM(AA24,AA28))</f>
        <v>83.194171999999995</v>
      </c>
      <c r="F30" s="10"/>
      <c r="G30" s="10"/>
      <c r="H30" s="10"/>
      <c r="I30" s="10"/>
      <c r="J30" s="10"/>
      <c r="K30" s="10"/>
      <c r="L30" s="10"/>
      <c r="M30" s="10"/>
      <c r="N30" s="10"/>
      <c r="O30" s="10"/>
      <c r="P30" s="10"/>
      <c r="Q30" s="10"/>
      <c r="R30" s="10"/>
      <c r="S30" s="10"/>
      <c r="T30" s="10"/>
      <c r="U30" s="10"/>
      <c r="V30" s="10"/>
      <c r="W30" s="229" t="s">
        <v>97</v>
      </c>
      <c r="X30" s="229"/>
      <c r="Y30" s="229"/>
      <c r="Z30" s="20">
        <f>IFERROR(Z26+Z28+Z29," -       ")</f>
        <v>162.57923</v>
      </c>
      <c r="AA30" s="20">
        <f>IFERROR(AA26+AA28+AA29," -       ")</f>
        <v>165.38031900000001</v>
      </c>
    </row>
    <row r="31" spans="2:27" x14ac:dyDescent="0.35">
      <c r="B31" s="220" t="s">
        <v>98</v>
      </c>
      <c r="C31" s="220"/>
      <c r="D31" s="25"/>
      <c r="E31" s="30">
        <f>AA33</f>
        <v>0</v>
      </c>
      <c r="F31" s="10"/>
      <c r="G31" s="10"/>
      <c r="H31" s="10"/>
      <c r="I31" s="10"/>
      <c r="J31" s="10"/>
      <c r="K31" s="10"/>
      <c r="L31" s="10"/>
      <c r="M31" s="10"/>
      <c r="N31" s="10"/>
      <c r="O31" s="10"/>
      <c r="P31" s="10"/>
      <c r="Q31" s="10"/>
      <c r="R31" s="10"/>
      <c r="S31" s="10"/>
      <c r="T31" s="10"/>
      <c r="U31" s="10"/>
      <c r="V31" s="10"/>
      <c r="W31" s="220"/>
      <c r="X31" s="220"/>
      <c r="Y31" s="220"/>
      <c r="Z31" s="20"/>
      <c r="AA31" s="20"/>
    </row>
    <row r="32" spans="2:27" ht="15" thickBot="1" x14ac:dyDescent="0.4">
      <c r="B32" s="220" t="s">
        <v>99</v>
      </c>
      <c r="C32" s="220"/>
      <c r="D32" s="25"/>
      <c r="E32" s="30">
        <f>AA32</f>
        <v>0</v>
      </c>
      <c r="F32" s="10"/>
      <c r="G32" s="1" t="s">
        <v>100</v>
      </c>
      <c r="H32" s="2"/>
      <c r="I32" s="2"/>
      <c r="J32" s="2"/>
      <c r="K32" s="2"/>
      <c r="L32" s="2"/>
      <c r="M32" s="2"/>
      <c r="N32" s="2"/>
      <c r="O32" s="2"/>
      <c r="P32" s="2"/>
      <c r="Q32" s="2"/>
      <c r="R32" s="2"/>
      <c r="S32" s="2"/>
      <c r="T32" s="2"/>
      <c r="U32" s="2"/>
      <c r="V32" s="10"/>
      <c r="W32" s="220" t="s">
        <v>101</v>
      </c>
      <c r="X32" s="220"/>
      <c r="Y32" s="220"/>
      <c r="Z32" s="16">
        <v>0</v>
      </c>
      <c r="AA32" s="16">
        <v>0</v>
      </c>
    </row>
    <row r="33" spans="2:27" x14ac:dyDescent="0.35">
      <c r="B33" s="29" t="s">
        <v>102</v>
      </c>
      <c r="C33" s="29"/>
      <c r="D33" s="25"/>
      <c r="E33" s="30">
        <f>Z11</f>
        <v>5.8609299999999998</v>
      </c>
      <c r="F33" s="10"/>
      <c r="G33" s="220" t="s">
        <v>103</v>
      </c>
      <c r="H33" s="220"/>
      <c r="I33" s="220"/>
      <c r="J33" s="230">
        <f>J15</f>
        <v>84.569375000000008</v>
      </c>
      <c r="K33" s="230"/>
      <c r="L33" s="230">
        <f t="shared" ref="L33" si="19">L15</f>
        <v>107.54903899999999</v>
      </c>
      <c r="M33" s="230"/>
      <c r="N33" s="230">
        <f t="shared" ref="N33" si="20">N15</f>
        <v>148.53891600000003</v>
      </c>
      <c r="O33" s="230"/>
      <c r="P33" s="238">
        <f t="shared" ref="P33" si="21">P15</f>
        <v>66.466267000000016</v>
      </c>
      <c r="Q33" s="239"/>
      <c r="R33" s="239">
        <f t="shared" ref="R33" si="22">R15</f>
        <v>88.600890000000021</v>
      </c>
      <c r="S33" s="240"/>
      <c r="T33" s="230">
        <f t="shared" ref="T33:T59" si="23">IFERROR(N33+R33-P33," -        ")</f>
        <v>170.67353900000003</v>
      </c>
      <c r="U33" s="230"/>
      <c r="V33" s="10"/>
      <c r="W33" s="220" t="s">
        <v>104</v>
      </c>
      <c r="X33" s="220"/>
      <c r="Y33" s="220"/>
      <c r="Z33" s="16">
        <v>0</v>
      </c>
      <c r="AA33" s="16">
        <v>0</v>
      </c>
    </row>
    <row r="34" spans="2:27" x14ac:dyDescent="0.35">
      <c r="B34" s="229" t="s">
        <v>105</v>
      </c>
      <c r="C34" s="229"/>
      <c r="D34" s="25"/>
      <c r="E34" s="30">
        <f ca="1">IFERROR(E28+E30+E31+E32-E33,"-       ")</f>
        <v>181.11646539999998</v>
      </c>
      <c r="F34" s="10"/>
      <c r="G34" s="220" t="s">
        <v>106</v>
      </c>
      <c r="H34" s="220"/>
      <c r="I34" s="220"/>
      <c r="J34" s="233">
        <v>0</v>
      </c>
      <c r="K34" s="234"/>
      <c r="L34" s="233">
        <v>0</v>
      </c>
      <c r="M34" s="234"/>
      <c r="N34" s="233">
        <v>0</v>
      </c>
      <c r="O34" s="234"/>
      <c r="P34" s="235">
        <v>0</v>
      </c>
      <c r="Q34" s="234"/>
      <c r="R34" s="233">
        <v>0</v>
      </c>
      <c r="S34" s="236"/>
      <c r="T34" s="230">
        <f t="shared" si="23"/>
        <v>0</v>
      </c>
      <c r="U34" s="230"/>
      <c r="V34" s="10"/>
      <c r="W34" s="220" t="s">
        <v>107</v>
      </c>
      <c r="X34" s="220"/>
      <c r="Y34" s="220"/>
      <c r="Z34" s="16">
        <v>130.8329</v>
      </c>
      <c r="AA34" s="16">
        <v>135.81223</v>
      </c>
    </row>
    <row r="35" spans="2:27" x14ac:dyDescent="0.35">
      <c r="B35" s="10"/>
      <c r="C35" s="10"/>
      <c r="D35" s="10"/>
      <c r="E35" s="10"/>
      <c r="F35" s="10"/>
      <c r="G35" s="220" t="s">
        <v>108</v>
      </c>
      <c r="H35" s="220"/>
      <c r="I35" s="220"/>
      <c r="J35" s="230">
        <f>IFERROR(J33+J34," -        ")</f>
        <v>84.569375000000008</v>
      </c>
      <c r="K35" s="230"/>
      <c r="L35" s="230">
        <f t="shared" ref="L35" si="24">IFERROR(L33+L34," -        ")</f>
        <v>107.54903899999999</v>
      </c>
      <c r="M35" s="230"/>
      <c r="N35" s="230">
        <f t="shared" ref="N35" si="25">IFERROR(N33+N34," -        ")</f>
        <v>148.53891600000003</v>
      </c>
      <c r="O35" s="230"/>
      <c r="P35" s="231">
        <f t="shared" ref="P35" si="26">IFERROR(P33+P34," -        ")</f>
        <v>66.466267000000016</v>
      </c>
      <c r="Q35" s="230"/>
      <c r="R35" s="230">
        <f t="shared" ref="R35" si="27">IFERROR(R33+R34," -        ")</f>
        <v>88.600890000000021</v>
      </c>
      <c r="S35" s="232"/>
      <c r="T35" s="230">
        <f t="shared" si="23"/>
        <v>170.67353900000003</v>
      </c>
      <c r="U35" s="230"/>
      <c r="V35" s="10"/>
      <c r="W35" s="220" t="s">
        <v>109</v>
      </c>
      <c r="X35" s="220"/>
      <c r="Y35" s="220"/>
      <c r="Z35" s="20">
        <f>IFERROR(Z30+Z32+Z33+Z34," -       ")</f>
        <v>293.41212999999999</v>
      </c>
      <c r="AA35" s="20">
        <f>IFERROR(AA30+AA32+AA33+AA34," -       ")</f>
        <v>301.19254899999999</v>
      </c>
    </row>
    <row r="36" spans="2:27" ht="15" thickBot="1" x14ac:dyDescent="0.4">
      <c r="B36" s="8" t="s">
        <v>110</v>
      </c>
      <c r="C36" s="9"/>
      <c r="D36" s="9"/>
      <c r="E36" s="9"/>
      <c r="F36" s="10"/>
      <c r="G36" s="220" t="s">
        <v>111</v>
      </c>
      <c r="H36" s="220"/>
      <c r="I36" s="220"/>
      <c r="J36" s="205">
        <f>IFERROR(J35/J13," -        ")</f>
        <v>0.29184479269328156</v>
      </c>
      <c r="K36" s="205"/>
      <c r="L36" s="205">
        <f t="shared" ref="L36" si="28">IFERROR(L35/L13," -        ")</f>
        <v>0.28018902087578479</v>
      </c>
      <c r="M36" s="205"/>
      <c r="N36" s="205">
        <f t="shared" ref="N36" si="29">IFERROR(N35/N13," -        ")</f>
        <v>0.31281279151423474</v>
      </c>
      <c r="O36" s="205"/>
      <c r="P36" s="216">
        <f t="shared" ref="P36" si="30">IFERROR(P35/P13," -        ")</f>
        <v>0.29363028498704596</v>
      </c>
      <c r="Q36" s="205"/>
      <c r="R36" s="205">
        <f t="shared" ref="R36" si="31">IFERROR(R35/R13," -        ")</f>
        <v>0.32470521094295124</v>
      </c>
      <c r="S36" s="217"/>
      <c r="T36" s="205">
        <f t="shared" si="23"/>
        <v>0.34388771747014008</v>
      </c>
      <c r="U36" s="205"/>
      <c r="V36" s="10"/>
      <c r="W36" s="237" t="s">
        <v>112</v>
      </c>
      <c r="X36" s="237"/>
      <c r="Y36" s="237"/>
      <c r="Z36" s="20">
        <f>IFERROR(Z21-Z35," -       ")</f>
        <v>0</v>
      </c>
      <c r="AA36" s="20">
        <f>IFERROR(AA21-AA35," -       ")</f>
        <v>-3.9999999899009708E-6</v>
      </c>
    </row>
    <row r="37" spans="2:27" ht="3" customHeight="1" x14ac:dyDescent="0.35">
      <c r="B37" s="2"/>
      <c r="C37" s="2"/>
      <c r="D37" s="2"/>
      <c r="E37" s="2"/>
      <c r="F37" s="10"/>
      <c r="G37" s="220"/>
      <c r="H37" s="220"/>
      <c r="I37" s="220"/>
      <c r="J37" s="224"/>
      <c r="K37" s="224"/>
      <c r="L37" s="224"/>
      <c r="M37" s="224"/>
      <c r="N37" s="224"/>
      <c r="O37" s="224"/>
      <c r="P37" s="227"/>
      <c r="Q37" s="224"/>
      <c r="R37" s="224"/>
      <c r="S37" s="228"/>
      <c r="T37" s="224">
        <f t="shared" si="23"/>
        <v>0</v>
      </c>
      <c r="U37" s="224"/>
      <c r="V37" s="10"/>
      <c r="W37" s="10"/>
      <c r="X37" s="10"/>
      <c r="Y37" s="10"/>
      <c r="Z37" s="10"/>
      <c r="AA37" s="10"/>
    </row>
    <row r="38" spans="2:27" x14ac:dyDescent="0.35">
      <c r="B38" s="12"/>
      <c r="C38" s="13" t="s">
        <v>3</v>
      </c>
      <c r="D38" s="13" t="s">
        <v>113</v>
      </c>
      <c r="E38" s="13" t="s">
        <v>114</v>
      </c>
      <c r="F38" s="10"/>
      <c r="G38" s="220"/>
      <c r="H38" s="220"/>
      <c r="I38" s="220"/>
      <c r="J38" s="213"/>
      <c r="K38" s="213"/>
      <c r="L38" s="213"/>
      <c r="M38" s="213"/>
      <c r="N38" s="213"/>
      <c r="O38" s="213"/>
      <c r="P38" s="225"/>
      <c r="Q38" s="213"/>
      <c r="R38" s="213"/>
      <c r="S38" s="226"/>
      <c r="T38" s="213"/>
      <c r="U38" s="213"/>
      <c r="V38" s="10"/>
      <c r="W38" s="10"/>
      <c r="X38" s="10"/>
      <c r="Y38" s="10"/>
      <c r="Z38" s="10"/>
      <c r="AA38" s="10"/>
    </row>
    <row r="39" spans="2:27" x14ac:dyDescent="0.35">
      <c r="B39" s="12"/>
      <c r="C39" s="14">
        <v>45747</v>
      </c>
      <c r="D39" s="13" t="s">
        <v>115</v>
      </c>
      <c r="E39" s="13" t="s">
        <v>116</v>
      </c>
      <c r="F39" s="10"/>
      <c r="G39" s="220" t="s">
        <v>117</v>
      </c>
      <c r="H39" s="220"/>
      <c r="I39" s="220"/>
      <c r="J39" s="230">
        <f>J18</f>
        <v>8.8288520000000119</v>
      </c>
      <c r="K39" s="230"/>
      <c r="L39" s="230">
        <f t="shared" ref="L39" si="32">L18</f>
        <v>11.660928999999996</v>
      </c>
      <c r="M39" s="230"/>
      <c r="N39" s="230">
        <f t="shared" ref="N39" si="33">N18</f>
        <v>21.104706000000036</v>
      </c>
      <c r="O39" s="230"/>
      <c r="P39" s="231">
        <f t="shared" ref="P39" si="34">P18</f>
        <v>12.256883000000016</v>
      </c>
      <c r="Q39" s="230"/>
      <c r="R39" s="230">
        <f t="shared" ref="R39" si="35">R18</f>
        <v>9.8485450000000156</v>
      </c>
      <c r="S39" s="232"/>
      <c r="T39" s="230">
        <f t="shared" si="23"/>
        <v>18.696368000000035</v>
      </c>
      <c r="U39" s="230"/>
      <c r="V39" s="10"/>
      <c r="W39" s="1" t="s">
        <v>196</v>
      </c>
      <c r="X39" s="2"/>
      <c r="Y39" s="2"/>
      <c r="Z39" s="2"/>
      <c r="AA39" s="2"/>
    </row>
    <row r="40" spans="2:27" x14ac:dyDescent="0.35">
      <c r="B40" s="12" t="s">
        <v>119</v>
      </c>
      <c r="C40" s="20">
        <f ca="1">IFERROR($E$34/C41,"NA")</f>
        <v>0.34739601589566499</v>
      </c>
      <c r="D40" s="20">
        <f t="shared" ref="D40:E40" ca="1" si="36">IFERROR($E$34/D41,"NA")</f>
        <v>0.31099218224182668</v>
      </c>
      <c r="E40" s="20">
        <f t="shared" ca="1" si="36"/>
        <v>0.25356934914425255</v>
      </c>
      <c r="F40" s="10"/>
      <c r="G40" s="220" t="s">
        <v>106</v>
      </c>
      <c r="H40" s="220"/>
      <c r="I40" s="220"/>
      <c r="J40" s="230">
        <f>J34</f>
        <v>0</v>
      </c>
      <c r="K40" s="230"/>
      <c r="L40" s="230">
        <f t="shared" ref="L40" si="37">L34</f>
        <v>0</v>
      </c>
      <c r="M40" s="230"/>
      <c r="N40" s="230">
        <f t="shared" ref="N40" si="38">N34</f>
        <v>0</v>
      </c>
      <c r="O40" s="230"/>
      <c r="P40" s="231">
        <f t="shared" ref="P40" si="39">P34</f>
        <v>0</v>
      </c>
      <c r="Q40" s="230"/>
      <c r="R40" s="230">
        <f t="shared" ref="R40" si="40">R34</f>
        <v>0</v>
      </c>
      <c r="S40" s="232"/>
      <c r="T40" s="230">
        <f t="shared" si="23"/>
        <v>0</v>
      </c>
      <c r="U40" s="230"/>
      <c r="V40" s="10"/>
      <c r="W40" s="220" t="s">
        <v>120</v>
      </c>
      <c r="X40" s="220"/>
      <c r="Y40" s="220"/>
      <c r="Z40" s="12"/>
      <c r="AA40" s="16" t="s">
        <v>197</v>
      </c>
    </row>
    <row r="41" spans="2:27" x14ac:dyDescent="0.35">
      <c r="B41" s="12" t="s">
        <v>121</v>
      </c>
      <c r="C41" s="20">
        <f>IF(T13=0," -       ",T13)</f>
        <v>521.35446899999999</v>
      </c>
      <c r="D41" s="16">
        <f>IFERROR($N$13*(1+0.226458100284459)," -        ")</f>
        <v>582.38269558546108</v>
      </c>
      <c r="E41" s="16">
        <f>IFERROR($N$13*(1+0.226458100284459)^2," -        ")</f>
        <v>714.267974466287</v>
      </c>
      <c r="F41" s="10"/>
      <c r="G41" s="220" t="s">
        <v>122</v>
      </c>
      <c r="H41" s="220"/>
      <c r="I41" s="220"/>
      <c r="J41" s="233">
        <v>-0.24963399999999999</v>
      </c>
      <c r="K41" s="234"/>
      <c r="L41" s="233">
        <v>-0.442942</v>
      </c>
      <c r="M41" s="234"/>
      <c r="N41" s="233">
        <v>-0.50622999999999996</v>
      </c>
      <c r="O41" s="234"/>
      <c r="P41" s="235">
        <v>0</v>
      </c>
      <c r="Q41" s="234"/>
      <c r="R41" s="233">
        <v>0</v>
      </c>
      <c r="S41" s="236"/>
      <c r="T41" s="230">
        <f t="shared" si="23"/>
        <v>-0.50622999999999996</v>
      </c>
      <c r="U41" s="230"/>
      <c r="V41" s="10"/>
      <c r="W41" s="220" t="s">
        <v>123</v>
      </c>
      <c r="X41" s="220"/>
      <c r="Y41" s="220"/>
      <c r="Z41" s="220"/>
      <c r="AA41" s="20" t="str">
        <f ca="1">Z56</f>
        <v xml:space="preserve">-       </v>
      </c>
    </row>
    <row r="42" spans="2:27" x14ac:dyDescent="0.35">
      <c r="B42" s="12" t="s">
        <v>124</v>
      </c>
      <c r="C42" s="20">
        <f ca="1">IFERROR($E$34/C43,"NA")</f>
        <v>3.403830485332326</v>
      </c>
      <c r="D42" s="20">
        <f ca="1">IFERROR($E$34/D43,"NA")</f>
        <v>3.1850358856032837</v>
      </c>
      <c r="E42" s="20">
        <f ca="1">IFERROR($E$34/E43,"NA")</f>
        <v>2.8813262039555472</v>
      </c>
      <c r="F42" s="10"/>
      <c r="G42" s="220" t="s">
        <v>125</v>
      </c>
      <c r="H42" s="220"/>
      <c r="I42" s="220"/>
      <c r="J42" s="213">
        <f>IFERROR(J39+J40+J41," -        ")</f>
        <v>8.5792180000000116</v>
      </c>
      <c r="K42" s="213"/>
      <c r="L42" s="213">
        <f t="shared" ref="L42" si="41">IFERROR(L39+L40+L41," -        ")</f>
        <v>11.217986999999995</v>
      </c>
      <c r="M42" s="213"/>
      <c r="N42" s="213">
        <f t="shared" ref="N42" si="42">IFERROR(N39+N40+N41," -        ")</f>
        <v>20.598476000000037</v>
      </c>
      <c r="O42" s="213"/>
      <c r="P42" s="225">
        <f t="shared" ref="P42" si="43">IFERROR(P39+P40+P41," -        ")</f>
        <v>12.256883000000016</v>
      </c>
      <c r="Q42" s="213"/>
      <c r="R42" s="213">
        <f t="shared" ref="R42" si="44">IFERROR(R39+R40+R41," -        ")</f>
        <v>9.8485450000000156</v>
      </c>
      <c r="S42" s="226"/>
      <c r="T42" s="213">
        <f t="shared" si="23"/>
        <v>18.190138000000037</v>
      </c>
      <c r="U42" s="213"/>
      <c r="V42" s="10"/>
      <c r="W42" s="220" t="s">
        <v>126</v>
      </c>
      <c r="X42" s="220"/>
      <c r="Y42" s="220"/>
      <c r="Z42" s="12"/>
      <c r="AA42" s="20" t="str">
        <f ca="1">IFERROR(AA56/E21,"-       ")</f>
        <v xml:space="preserve">-       </v>
      </c>
    </row>
    <row r="43" spans="2:27" x14ac:dyDescent="0.35">
      <c r="B43" s="12" t="s">
        <v>121</v>
      </c>
      <c r="C43" s="20">
        <f>IF(T46=0," -       ",T46)</f>
        <v>53.209602000000025</v>
      </c>
      <c r="D43" s="16">
        <f>IFERROR($N$46*(1+0.105406212330557)," -        ")</f>
        <v>56.864811545347585</v>
      </c>
      <c r="E43" s="16">
        <f>IFERROR($N$46*(1+0.105406212330557)^2," -        ")</f>
        <v>62.858715945233605</v>
      </c>
      <c r="F43" s="10"/>
      <c r="G43" s="220" t="s">
        <v>111</v>
      </c>
      <c r="H43" s="220"/>
      <c r="I43" s="220"/>
      <c r="J43" s="205">
        <f>IFERROR(J42/J13," -        ")</f>
        <v>2.9606463317016034E-2</v>
      </c>
      <c r="K43" s="205"/>
      <c r="L43" s="205">
        <f t="shared" ref="L43" si="45">IFERROR(L42/L13," -        ")</f>
        <v>2.9225335930033569E-2</v>
      </c>
      <c r="M43" s="205"/>
      <c r="N43" s="205">
        <f t="shared" ref="N43" si="46">IFERROR(N42/N13," -        ")</f>
        <v>4.3378980754773908E-2</v>
      </c>
      <c r="O43" s="205"/>
      <c r="P43" s="216">
        <f t="shared" ref="P43" si="47">IFERROR(P42/P13," -        ")</f>
        <v>5.4147648285150167E-2</v>
      </c>
      <c r="Q43" s="205"/>
      <c r="R43" s="205">
        <f t="shared" ref="R43" si="48">IFERROR(R42/R13," -        ")</f>
        <v>3.609302210966675E-2</v>
      </c>
      <c r="S43" s="217"/>
      <c r="T43" s="205">
        <f t="shared" si="23"/>
        <v>2.5324354579290491E-2</v>
      </c>
      <c r="U43" s="205"/>
      <c r="V43" s="10"/>
      <c r="W43" s="220" t="s">
        <v>127</v>
      </c>
      <c r="X43" s="220"/>
      <c r="Y43" s="220"/>
      <c r="Z43" s="12"/>
      <c r="AA43" s="20" t="str">
        <f ca="1">IFERROR(AA40+AA41-AA42,"-       ")</f>
        <v xml:space="preserve">-       </v>
      </c>
    </row>
    <row r="44" spans="2:27" x14ac:dyDescent="0.35">
      <c r="B44" s="12" t="s">
        <v>128</v>
      </c>
      <c r="C44" s="20">
        <f ca="1">IFERROR($E$34/C45,"NA")</f>
        <v>9.9568494422636942</v>
      </c>
      <c r="D44" s="20">
        <f t="shared" ref="D44:E44" ca="1" si="49">IFERROR($E$34/D45,"NA")</f>
        <v>9.0135306517550671</v>
      </c>
      <c r="E44" s="20">
        <f t="shared" ca="1" si="49"/>
        <v>9.239894992102645</v>
      </c>
      <c r="F44" s="10"/>
      <c r="G44" s="220"/>
      <c r="H44" s="220"/>
      <c r="I44" s="220"/>
      <c r="J44" s="213"/>
      <c r="K44" s="213"/>
      <c r="L44" s="213"/>
      <c r="M44" s="213"/>
      <c r="N44" s="213"/>
      <c r="O44" s="213"/>
      <c r="P44" s="225"/>
      <c r="Q44" s="213"/>
      <c r="R44" s="213"/>
      <c r="S44" s="226"/>
      <c r="T44" s="213"/>
      <c r="U44" s="213"/>
      <c r="V44" s="10"/>
      <c r="W44" s="220" t="s">
        <v>129</v>
      </c>
      <c r="X44" s="220"/>
      <c r="Y44" s="220"/>
      <c r="Z44" s="12"/>
      <c r="AA44" s="20" t="str">
        <f>AA66</f>
        <v xml:space="preserve">-       </v>
      </c>
    </row>
    <row r="45" spans="2:27" x14ac:dyDescent="0.35">
      <c r="B45" s="12" t="s">
        <v>121</v>
      </c>
      <c r="C45" s="20">
        <f>IF(T42=0," -       ",T42)</f>
        <v>18.190138000000037</v>
      </c>
      <c r="D45" s="16">
        <f>IFERROR($N$42*(1+-0.0244985836463566)," -        ")</f>
        <v>20.093842512726567</v>
      </c>
      <c r="E45" s="16">
        <f>IFERROR($N$42*(1-0.0244985836463566)^2," -        ")</f>
        <v>19.601571831151819</v>
      </c>
      <c r="F45" s="10"/>
      <c r="G45" s="220" t="s">
        <v>130</v>
      </c>
      <c r="H45" s="220"/>
      <c r="I45" s="220"/>
      <c r="J45" s="230">
        <f>J63</f>
        <v>19.579067999999999</v>
      </c>
      <c r="K45" s="230"/>
      <c r="L45" s="230">
        <f t="shared" ref="L45" si="50">L63</f>
        <v>21.847282</v>
      </c>
      <c r="M45" s="230"/>
      <c r="N45" s="230">
        <f t="shared" ref="N45" si="51">N63</f>
        <v>30.843980999999999</v>
      </c>
      <c r="O45" s="230"/>
      <c r="P45" s="231">
        <f t="shared" ref="P45" si="52">P63</f>
        <v>15.268413000000001</v>
      </c>
      <c r="Q45" s="230"/>
      <c r="R45" s="230">
        <f t="shared" ref="R45" si="53">R63</f>
        <v>19.443895999999999</v>
      </c>
      <c r="S45" s="232"/>
      <c r="T45" s="230">
        <f t="shared" si="23"/>
        <v>35.019463999999992</v>
      </c>
      <c r="U45" s="230"/>
      <c r="V45" s="10"/>
      <c r="W45" s="229" t="s">
        <v>131</v>
      </c>
      <c r="X45" s="229"/>
      <c r="Y45" s="229"/>
      <c r="Z45" s="12"/>
      <c r="AA45" s="32" t="str">
        <f ca="1">IFERROR(AA43+AA44,"-       ")</f>
        <v xml:space="preserve">-       </v>
      </c>
    </row>
    <row r="46" spans="2:27" x14ac:dyDescent="0.35">
      <c r="B46" s="12" t="s">
        <v>132</v>
      </c>
      <c r="C46" s="20">
        <f ca="1">IFERROR($E$21/C47,"NA")</f>
        <v>9.7182924235885473</v>
      </c>
      <c r="D46" s="20">
        <f t="shared" ref="D46:E46" ca="1" si="54">IFERROR($E$21/D47,"NA")</f>
        <v>9.4098730080406945</v>
      </c>
      <c r="E46" s="20">
        <f t="shared" ca="1" si="54"/>
        <v>11.008309255923411</v>
      </c>
      <c r="F46" s="10"/>
      <c r="G46" s="220" t="s">
        <v>133</v>
      </c>
      <c r="H46" s="220"/>
      <c r="I46" s="220"/>
      <c r="J46" s="230">
        <f>IFERROR(J42+J45," -        ")</f>
        <v>28.158286000000011</v>
      </c>
      <c r="K46" s="230"/>
      <c r="L46" s="230">
        <f t="shared" ref="L46" si="55">IFERROR(L42+L45," -        ")</f>
        <v>33.065268999999994</v>
      </c>
      <c r="M46" s="230"/>
      <c r="N46" s="230">
        <f t="shared" ref="N46" si="56">IFERROR(N42+N45," -        ")</f>
        <v>51.442457000000033</v>
      </c>
      <c r="O46" s="230"/>
      <c r="P46" s="231">
        <f t="shared" ref="P46" si="57">IFERROR(P42+P45," -        ")</f>
        <v>27.525296000000019</v>
      </c>
      <c r="Q46" s="230"/>
      <c r="R46" s="230">
        <f t="shared" ref="R46" si="58">IFERROR(R42+R45," -        ")</f>
        <v>29.292441000000014</v>
      </c>
      <c r="S46" s="232"/>
      <c r="T46" s="230">
        <f t="shared" si="23"/>
        <v>53.209602000000025</v>
      </c>
      <c r="U46" s="230"/>
      <c r="V46" s="10"/>
      <c r="W46" s="12"/>
      <c r="X46" s="12"/>
      <c r="Y46" s="12"/>
      <c r="Z46" s="12"/>
      <c r="AA46" s="25"/>
    </row>
    <row r="47" spans="2:27" x14ac:dyDescent="0.35">
      <c r="B47" s="12" t="s">
        <v>121</v>
      </c>
      <c r="C47" s="20">
        <f>IF(T59=0," -       ",T59)</f>
        <v>6.1739241200816405E-2</v>
      </c>
      <c r="D47" s="16">
        <f>IFERROR($N$59*(1+-0.145202701951948)," -        ")</f>
        <v>6.3762815872998785E-2</v>
      </c>
      <c r="E47" s="16">
        <f>IFERROR($N$59*(1-0.145202701951948)^2," -        ")</f>
        <v>5.4504282724174805E-2</v>
      </c>
      <c r="F47" s="10"/>
      <c r="G47" s="220" t="s">
        <v>111</v>
      </c>
      <c r="H47" s="220"/>
      <c r="I47" s="220"/>
      <c r="J47" s="205">
        <f>IFERROR(J46/J13," -        ")</f>
        <v>9.717287304379553E-2</v>
      </c>
      <c r="K47" s="205"/>
      <c r="L47" s="205">
        <f t="shared" ref="L47" si="59">IFERROR(L46/L13," -        ")</f>
        <v>8.6142334996637565E-2</v>
      </c>
      <c r="M47" s="205"/>
      <c r="N47" s="205">
        <f t="shared" ref="N47" si="60">IFERROR(N46/N13," -        ")</f>
        <v>0.10833429386626864</v>
      </c>
      <c r="O47" s="205"/>
      <c r="P47" s="216">
        <f t="shared" ref="P47" si="61">IFERROR(P46/P13," -        ")</f>
        <v>0.12159943492588203</v>
      </c>
      <c r="Q47" s="205"/>
      <c r="R47" s="205">
        <f t="shared" ref="R47" si="62">IFERROR(R46/R13," -        ")</f>
        <v>0.10735115904523031</v>
      </c>
      <c r="S47" s="217"/>
      <c r="T47" s="205">
        <f t="shared" si="23"/>
        <v>9.4086017985616902E-2</v>
      </c>
      <c r="U47" s="205"/>
      <c r="V47" s="10"/>
      <c r="W47" s="229" t="s">
        <v>134</v>
      </c>
      <c r="X47" s="229"/>
      <c r="Y47" s="229"/>
      <c r="Z47" s="12"/>
      <c r="AA47" s="25"/>
    </row>
    <row r="48" spans="2:27" x14ac:dyDescent="0.35">
      <c r="B48" s="10"/>
      <c r="C48" s="10"/>
      <c r="D48" s="10"/>
      <c r="E48" s="10"/>
      <c r="F48" s="10"/>
      <c r="G48" s="220"/>
      <c r="H48" s="220"/>
      <c r="I48" s="220"/>
      <c r="J48" s="213"/>
      <c r="K48" s="213"/>
      <c r="L48" s="213"/>
      <c r="M48" s="213"/>
      <c r="N48" s="213"/>
      <c r="O48" s="213"/>
      <c r="P48" s="225"/>
      <c r="Q48" s="213"/>
      <c r="R48" s="213"/>
      <c r="S48" s="226"/>
      <c r="T48" s="213"/>
      <c r="U48" s="213"/>
      <c r="V48" s="10"/>
      <c r="W48" s="33"/>
      <c r="X48" s="33" t="s">
        <v>135</v>
      </c>
      <c r="Y48" s="33" t="s">
        <v>136</v>
      </c>
      <c r="Z48" s="33" t="s">
        <v>137</v>
      </c>
      <c r="AA48" s="33"/>
    </row>
    <row r="49" spans="2:27" ht="15" thickBot="1" x14ac:dyDescent="0.4">
      <c r="B49" s="8" t="s">
        <v>138</v>
      </c>
      <c r="C49" s="9"/>
      <c r="D49" s="9"/>
      <c r="E49" s="9"/>
      <c r="F49" s="10"/>
      <c r="G49" s="220" t="s">
        <v>139</v>
      </c>
      <c r="H49" s="220"/>
      <c r="I49" s="220"/>
      <c r="J49" s="213">
        <f>J25</f>
        <v>5.1499860000000117</v>
      </c>
      <c r="K49" s="213"/>
      <c r="L49" s="213">
        <f t="shared" ref="L49" si="63">L25</f>
        <v>8.2160699999999949</v>
      </c>
      <c r="M49" s="213"/>
      <c r="N49" s="213">
        <f t="shared" ref="N49" si="64">N25</f>
        <v>12.407856000000034</v>
      </c>
      <c r="O49" s="213"/>
      <c r="P49" s="225">
        <f t="shared" ref="P49" si="65">P25</f>
        <v>6.8891980000000164</v>
      </c>
      <c r="Q49" s="213"/>
      <c r="R49" s="213">
        <f t="shared" ref="R49" si="66">R25</f>
        <v>5.2485620000000157</v>
      </c>
      <c r="S49" s="226"/>
      <c r="T49" s="213">
        <f t="shared" si="23"/>
        <v>10.767220000000036</v>
      </c>
      <c r="U49" s="213"/>
      <c r="V49" s="10"/>
      <c r="W49" s="33" t="s">
        <v>140</v>
      </c>
      <c r="X49" s="33" t="s">
        <v>141</v>
      </c>
      <c r="Y49" s="33" t="s">
        <v>142</v>
      </c>
      <c r="Z49" s="33" t="s">
        <v>141</v>
      </c>
      <c r="AA49" s="33" t="s">
        <v>143</v>
      </c>
    </row>
    <row r="50" spans="2:27" ht="2" customHeight="1" x14ac:dyDescent="0.35">
      <c r="B50" s="2"/>
      <c r="C50" s="2"/>
      <c r="D50" s="2"/>
      <c r="E50" s="2"/>
      <c r="F50" s="10"/>
      <c r="G50" s="220"/>
      <c r="H50" s="220"/>
      <c r="I50" s="220"/>
      <c r="J50" s="213"/>
      <c r="K50" s="213"/>
      <c r="L50" s="213"/>
      <c r="M50" s="213"/>
      <c r="N50" s="213"/>
      <c r="O50" s="213"/>
      <c r="P50" s="225"/>
      <c r="Q50" s="213"/>
      <c r="R50" s="213"/>
      <c r="S50" s="226"/>
      <c r="T50" s="213">
        <f t="shared" si="23"/>
        <v>0</v>
      </c>
      <c r="U50" s="213"/>
      <c r="V50" s="10"/>
      <c r="W50" s="12"/>
      <c r="X50" s="34"/>
      <c r="Y50" s="34"/>
      <c r="Z50" s="12"/>
      <c r="AA50" s="12"/>
    </row>
    <row r="51" spans="2:27" x14ac:dyDescent="0.35">
      <c r="B51" s="220" t="s">
        <v>144</v>
      </c>
      <c r="C51" s="220"/>
      <c r="D51" s="220"/>
      <c r="E51" s="26">
        <f>IFERROR((T42*(1-T26))/(AA15-AA26+AA17+AA18),"-       ")</f>
        <v>6.5501948728464265E-2</v>
      </c>
      <c r="F51" s="10"/>
      <c r="G51" s="220" t="s">
        <v>145</v>
      </c>
      <c r="H51" s="220"/>
      <c r="I51" s="220"/>
      <c r="J51" s="213">
        <f>J34</f>
        <v>0</v>
      </c>
      <c r="K51" s="213"/>
      <c r="L51" s="213">
        <f t="shared" ref="L51" si="67">L34</f>
        <v>0</v>
      </c>
      <c r="M51" s="213"/>
      <c r="N51" s="213">
        <f t="shared" ref="N51" si="68">N34</f>
        <v>0</v>
      </c>
      <c r="O51" s="213"/>
      <c r="P51" s="225">
        <f t="shared" ref="P51" si="69">P34</f>
        <v>0</v>
      </c>
      <c r="Q51" s="213"/>
      <c r="R51" s="213">
        <f t="shared" ref="R51" si="70">R34</f>
        <v>0</v>
      </c>
      <c r="S51" s="226"/>
      <c r="T51" s="213">
        <f t="shared" si="23"/>
        <v>0</v>
      </c>
      <c r="U51" s="213"/>
      <c r="V51" s="10"/>
      <c r="W51" s="12" t="s">
        <v>146</v>
      </c>
      <c r="X51" s="38" t="s">
        <v>197</v>
      </c>
      <c r="Y51" s="16" t="s">
        <v>197</v>
      </c>
      <c r="Z51" s="30" t="str">
        <f ca="1">IF($E$21&gt;Y51,X51,"-       ")</f>
        <v xml:space="preserve">-       </v>
      </c>
      <c r="AA51" s="30" t="str">
        <f ca="1">IFERROR(Z51*Y51,"-       ")</f>
        <v xml:space="preserve">-       </v>
      </c>
    </row>
    <row r="52" spans="2:27" x14ac:dyDescent="0.35">
      <c r="B52" s="220" t="s">
        <v>147</v>
      </c>
      <c r="C52" s="220"/>
      <c r="D52" s="220"/>
      <c r="E52" s="26">
        <f>IFERROR(T55/AA34,"-       ")</f>
        <v>7.955603850993416E-2</v>
      </c>
      <c r="F52" s="10"/>
      <c r="G52" s="220" t="s">
        <v>122</v>
      </c>
      <c r="H52" s="220"/>
      <c r="I52" s="220"/>
      <c r="J52" s="213">
        <f>J41</f>
        <v>-0.24963399999999999</v>
      </c>
      <c r="K52" s="213"/>
      <c r="L52" s="213">
        <f t="shared" ref="L52" si="71">L41</f>
        <v>-0.442942</v>
      </c>
      <c r="M52" s="213"/>
      <c r="N52" s="213">
        <f t="shared" ref="N52" si="72">N41</f>
        <v>-0.50622999999999996</v>
      </c>
      <c r="O52" s="213"/>
      <c r="P52" s="225">
        <f t="shared" ref="P52" si="73">P41</f>
        <v>0</v>
      </c>
      <c r="Q52" s="213"/>
      <c r="R52" s="213">
        <f t="shared" ref="R52" si="74">R41</f>
        <v>0</v>
      </c>
      <c r="S52" s="226"/>
      <c r="T52" s="213">
        <f t="shared" si="23"/>
        <v>-0.50622999999999996</v>
      </c>
      <c r="U52" s="213"/>
      <c r="V52" s="10"/>
      <c r="W52" s="12" t="s">
        <v>148</v>
      </c>
      <c r="X52" s="38" t="s">
        <v>197</v>
      </c>
      <c r="Y52" s="16" t="s">
        <v>197</v>
      </c>
      <c r="Z52" s="30" t="str">
        <f t="shared" ref="Z52:Z55" ca="1" si="75">IF($E$21&gt;Y52,X52,"-       ")</f>
        <v xml:space="preserve">-       </v>
      </c>
      <c r="AA52" s="30" t="str">
        <f t="shared" ref="AA52:AA55" ca="1" si="76">IFERROR(Z52*Y52,"-       ")</f>
        <v xml:space="preserve">-       </v>
      </c>
    </row>
    <row r="53" spans="2:27" x14ac:dyDescent="0.35">
      <c r="B53" s="220" t="s">
        <v>149</v>
      </c>
      <c r="C53" s="220"/>
      <c r="D53" s="220"/>
      <c r="E53" s="26">
        <f>IFERROR(T55/AA21,"-       ")</f>
        <v>3.5873009406657247E-2</v>
      </c>
      <c r="F53" s="10"/>
      <c r="G53" s="220" t="s">
        <v>150</v>
      </c>
      <c r="H53" s="220"/>
      <c r="I53" s="220"/>
      <c r="J53" s="209">
        <v>8.5622000000000004E-2</v>
      </c>
      <c r="K53" s="210"/>
      <c r="L53" s="209">
        <v>6.963463</v>
      </c>
      <c r="M53" s="210"/>
      <c r="N53" s="209">
        <v>0.94301299999999999</v>
      </c>
      <c r="O53" s="210"/>
      <c r="P53" s="211">
        <v>-0.76515699999999998</v>
      </c>
      <c r="Q53" s="210"/>
      <c r="R53" s="209">
        <v>-1.164477</v>
      </c>
      <c r="S53" s="212"/>
      <c r="T53" s="213">
        <f t="shared" si="23"/>
        <v>0.54369299999999998</v>
      </c>
      <c r="U53" s="213"/>
      <c r="V53" s="10"/>
      <c r="W53" s="12" t="s">
        <v>151</v>
      </c>
      <c r="X53" s="38" t="s">
        <v>197</v>
      </c>
      <c r="Y53" s="16" t="s">
        <v>197</v>
      </c>
      <c r="Z53" s="30" t="str">
        <f t="shared" ca="1" si="75"/>
        <v xml:space="preserve">-       </v>
      </c>
      <c r="AA53" s="30" t="str">
        <f t="shared" ca="1" si="76"/>
        <v xml:space="preserve">-       </v>
      </c>
    </row>
    <row r="54" spans="2:27" x14ac:dyDescent="0.35">
      <c r="B54" s="220" t="s">
        <v>207</v>
      </c>
      <c r="C54" s="220"/>
      <c r="D54" s="220"/>
      <c r="E54" s="26">
        <f ca="1">IFERROR(E14*4/E21,"NA")</f>
        <v>0</v>
      </c>
      <c r="F54" s="10"/>
      <c r="G54" s="220" t="s">
        <v>153</v>
      </c>
      <c r="H54" s="220"/>
      <c r="I54" s="220"/>
      <c r="J54" s="213">
        <v>0</v>
      </c>
      <c r="K54" s="213"/>
      <c r="L54" s="213">
        <v>0</v>
      </c>
      <c r="M54" s="213"/>
      <c r="N54" s="213">
        <v>0</v>
      </c>
      <c r="O54" s="213"/>
      <c r="P54" s="225">
        <v>0</v>
      </c>
      <c r="Q54" s="213"/>
      <c r="R54" s="213">
        <v>0</v>
      </c>
      <c r="S54" s="226"/>
      <c r="T54" s="213">
        <f t="shared" si="23"/>
        <v>0</v>
      </c>
      <c r="U54" s="213"/>
      <c r="V54" s="10"/>
      <c r="W54" s="12" t="s">
        <v>154</v>
      </c>
      <c r="X54" s="38" t="s">
        <v>197</v>
      </c>
      <c r="Y54" s="16" t="s">
        <v>197</v>
      </c>
      <c r="Z54" s="30" t="str">
        <f t="shared" ca="1" si="75"/>
        <v xml:space="preserve">-       </v>
      </c>
      <c r="AA54" s="30" t="str">
        <f ca="1">IFERROR(Z54*Y54,"-       ")</f>
        <v xml:space="preserve">-       </v>
      </c>
    </row>
    <row r="55" spans="2:27" x14ac:dyDescent="0.35">
      <c r="B55" s="10"/>
      <c r="C55" s="10"/>
      <c r="D55" s="10"/>
      <c r="E55" s="10"/>
      <c r="F55" s="10"/>
      <c r="G55" s="220" t="s">
        <v>155</v>
      </c>
      <c r="H55" s="220"/>
      <c r="I55" s="220"/>
      <c r="J55" s="213">
        <f>IFERROR(J49+J51+J52+J53+J54," -        ")</f>
        <v>4.9859740000000112</v>
      </c>
      <c r="K55" s="213"/>
      <c r="L55" s="213">
        <f t="shared" ref="L55" si="77">IFERROR(L49+L51+L52+L53+L54," -        ")</f>
        <v>14.736590999999994</v>
      </c>
      <c r="M55" s="213"/>
      <c r="N55" s="213">
        <f t="shared" ref="N55" si="78">IFERROR(N49+N51+N52+N53+N54," -        ")</f>
        <v>12.844639000000035</v>
      </c>
      <c r="O55" s="213"/>
      <c r="P55" s="225">
        <f t="shared" ref="P55" si="79">IFERROR(P49+P51+P52+P53+P54," -        ")</f>
        <v>6.1240410000000161</v>
      </c>
      <c r="Q55" s="213"/>
      <c r="R55" s="213">
        <f t="shared" ref="R55" si="80">IFERROR(R49+R51+R52+R53+R54," -        ")</f>
        <v>4.084085000000016</v>
      </c>
      <c r="S55" s="226"/>
      <c r="T55" s="213">
        <f t="shared" si="23"/>
        <v>10.804683000000036</v>
      </c>
      <c r="U55" s="213"/>
      <c r="V55" s="10"/>
      <c r="W55" s="12" t="s">
        <v>156</v>
      </c>
      <c r="X55" s="38" t="s">
        <v>197</v>
      </c>
      <c r="Y55" s="16" t="s">
        <v>197</v>
      </c>
      <c r="Z55" s="30" t="str">
        <f t="shared" ca="1" si="75"/>
        <v xml:space="preserve">-       </v>
      </c>
      <c r="AA55" s="30" t="str">
        <f t="shared" ca="1" si="76"/>
        <v xml:space="preserve">-       </v>
      </c>
    </row>
    <row r="56" spans="2:27" ht="15" thickBot="1" x14ac:dyDescent="0.4">
      <c r="B56" s="8" t="s">
        <v>157</v>
      </c>
      <c r="C56" s="9"/>
      <c r="D56" s="9"/>
      <c r="E56" s="9"/>
      <c r="F56" s="10"/>
      <c r="G56" s="220" t="s">
        <v>111</v>
      </c>
      <c r="H56" s="220"/>
      <c r="I56" s="220"/>
      <c r="J56" s="205">
        <f>IFERROR(J55/J13," -        ")</f>
        <v>1.7206353344861484E-2</v>
      </c>
      <c r="K56" s="205"/>
      <c r="L56" s="205">
        <f t="shared" ref="L56" si="81">IFERROR(L55/L13," -        ")</f>
        <v>3.8392077155955814E-2</v>
      </c>
      <c r="M56" s="205"/>
      <c r="N56" s="205">
        <f t="shared" ref="N56" si="82">IFERROR(N55/N13," -        ")</f>
        <v>2.7049930683367977E-2</v>
      </c>
      <c r="O56" s="205"/>
      <c r="P56" s="216">
        <f t="shared" ref="P56" si="83">IFERROR(P55/P13," -        ")</f>
        <v>2.7054383904279718E-2</v>
      </c>
      <c r="Q56" s="205"/>
      <c r="R56" s="205">
        <f t="shared" ref="R56" si="84">IFERROR(R55/R13," -        ")</f>
        <v>1.4967385558248317E-2</v>
      </c>
      <c r="S56" s="217"/>
      <c r="T56" s="205">
        <f t="shared" si="23"/>
        <v>1.4962932337336577E-2</v>
      </c>
      <c r="U56" s="205"/>
      <c r="V56" s="10"/>
      <c r="W56" s="18" t="s">
        <v>158</v>
      </c>
      <c r="X56" s="45" t="str">
        <f>IFERROR(X51+X52+X53+X54+X55,"-       ")</f>
        <v xml:space="preserve">-       </v>
      </c>
      <c r="Y56" s="45"/>
      <c r="Z56" s="45" t="str">
        <f ca="1">IFERROR(Z51+Z52+Z53+Z54+Z55,"-       ")</f>
        <v xml:space="preserve">-       </v>
      </c>
      <c r="AA56" s="45" t="str">
        <f ca="1">IF(SUM(AA51:AA55)=0,"-       ",SUM(AA51:AA55))</f>
        <v xml:space="preserve">-       </v>
      </c>
    </row>
    <row r="57" spans="2:27" ht="3.5" customHeight="1" x14ac:dyDescent="0.35">
      <c r="B57" s="2"/>
      <c r="C57" s="2"/>
      <c r="D57" s="2"/>
      <c r="E57" s="2"/>
      <c r="F57" s="10"/>
      <c r="G57" s="220"/>
      <c r="H57" s="220"/>
      <c r="I57" s="220"/>
      <c r="J57" s="224"/>
      <c r="K57" s="224"/>
      <c r="L57" s="224"/>
      <c r="M57" s="224"/>
      <c r="N57" s="224"/>
      <c r="O57" s="224"/>
      <c r="P57" s="227"/>
      <c r="Q57" s="224"/>
      <c r="R57" s="224"/>
      <c r="S57" s="228"/>
      <c r="T57" s="224">
        <f t="shared" si="23"/>
        <v>0</v>
      </c>
      <c r="U57" s="224"/>
      <c r="V57" s="10"/>
      <c r="W57" s="12"/>
      <c r="X57" s="12"/>
      <c r="Y57" s="12"/>
      <c r="Z57" s="12"/>
      <c r="AA57" s="12"/>
    </row>
    <row r="58" spans="2:27" x14ac:dyDescent="0.35">
      <c r="B58" s="220" t="s">
        <v>198</v>
      </c>
      <c r="C58" s="220"/>
      <c r="D58" s="220"/>
      <c r="E58" s="26">
        <f ca="1">IFERROR(AA28/(E27*E21),"-       ")</f>
        <v>0.45755266067405648</v>
      </c>
      <c r="F58" s="10"/>
      <c r="G58" s="220"/>
      <c r="H58" s="220"/>
      <c r="I58" s="220"/>
      <c r="J58" s="213"/>
      <c r="K58" s="213"/>
      <c r="L58" s="213"/>
      <c r="M58" s="213"/>
      <c r="N58" s="213"/>
      <c r="O58" s="213"/>
      <c r="P58" s="225"/>
      <c r="Q58" s="213"/>
      <c r="R58" s="213"/>
      <c r="S58" s="226"/>
      <c r="T58" s="213"/>
      <c r="U58" s="213"/>
      <c r="V58" s="10"/>
      <c r="W58" s="18" t="s">
        <v>160</v>
      </c>
      <c r="X58" s="12"/>
      <c r="Y58" s="12"/>
      <c r="Z58" s="12"/>
      <c r="AA58" s="12"/>
    </row>
    <row r="59" spans="2:27" ht="15" thickBot="1" x14ac:dyDescent="0.4">
      <c r="B59" s="220" t="s">
        <v>161</v>
      </c>
      <c r="C59" s="220"/>
      <c r="D59" s="220"/>
      <c r="E59" s="37">
        <f>IFERROR((AA28+AA24)/T46,"-       ")</f>
        <v>1.563518028193482</v>
      </c>
      <c r="F59" s="10"/>
      <c r="G59" s="220" t="s">
        <v>162</v>
      </c>
      <c r="H59" s="220"/>
      <c r="I59" s="220"/>
      <c r="J59" s="213">
        <f>IFERROR(J55/J28," -        ")</f>
        <v>3.4228067885582698E-2</v>
      </c>
      <c r="K59" s="213"/>
      <c r="L59" s="213">
        <f>IFERROR(L55/L28," -        ")</f>
        <v>9.4303980670814164E-2</v>
      </c>
      <c r="M59" s="213"/>
      <c r="N59" s="213">
        <f>IFERROR(N55/N28," -        ")</f>
        <v>7.4594077471469011E-2</v>
      </c>
      <c r="O59" s="213"/>
      <c r="P59" s="223">
        <f>IFERROR(P55/P28," -        ")</f>
        <v>3.786810852420204E-2</v>
      </c>
      <c r="Q59" s="218"/>
      <c r="R59" s="218">
        <f>IFERROR(R55/R28," -        ")</f>
        <v>2.5013272253549438E-2</v>
      </c>
      <c r="S59" s="219"/>
      <c r="T59" s="213">
        <f t="shared" si="23"/>
        <v>6.1739241200816405E-2</v>
      </c>
      <c r="U59" s="213"/>
      <c r="V59" s="10"/>
      <c r="W59" s="12"/>
      <c r="X59" s="33"/>
      <c r="Y59" s="33" t="s">
        <v>163</v>
      </c>
      <c r="Z59" s="33" t="s">
        <v>163</v>
      </c>
      <c r="AA59" s="33" t="s">
        <v>164</v>
      </c>
    </row>
    <row r="60" spans="2:27" x14ac:dyDescent="0.35">
      <c r="B60" s="220" t="s">
        <v>165</v>
      </c>
      <c r="C60" s="220"/>
      <c r="D60" s="220"/>
      <c r="E60" s="37">
        <f>IFERROR((AA28+AA24-AA11)/T46,"-       ")</f>
        <v>1.5408412188461764</v>
      </c>
      <c r="F60" s="10"/>
      <c r="G60" s="10"/>
      <c r="H60" s="10"/>
      <c r="I60" s="10"/>
      <c r="J60" s="10"/>
      <c r="K60" s="10"/>
      <c r="L60" s="10"/>
      <c r="M60" s="10"/>
      <c r="N60" s="10"/>
      <c r="O60" s="10"/>
      <c r="P60" s="10"/>
      <c r="Q60" s="10"/>
      <c r="R60" s="10"/>
      <c r="S60" s="10"/>
      <c r="T60" s="10"/>
      <c r="U60" s="10"/>
      <c r="V60" s="10"/>
      <c r="W60" s="12"/>
      <c r="X60" s="33" t="s">
        <v>166</v>
      </c>
      <c r="Y60" s="33" t="s">
        <v>142</v>
      </c>
      <c r="Z60" s="33" t="s">
        <v>167</v>
      </c>
      <c r="AA60" s="33" t="s">
        <v>141</v>
      </c>
    </row>
    <row r="61" spans="2:27" x14ac:dyDescent="0.35">
      <c r="B61" s="220" t="s">
        <v>168</v>
      </c>
      <c r="C61" s="220"/>
      <c r="D61" s="220"/>
      <c r="E61" s="37">
        <f>IFERROR(T46/T19,"-       ")</f>
        <v>13.963004191294331</v>
      </c>
      <c r="F61" s="10"/>
      <c r="G61" s="10"/>
      <c r="H61" s="10"/>
      <c r="I61" s="10"/>
      <c r="J61" s="10"/>
      <c r="K61" s="10"/>
      <c r="L61" s="10"/>
      <c r="M61" s="10"/>
      <c r="N61" s="10"/>
      <c r="O61" s="10"/>
      <c r="P61" s="10"/>
      <c r="Q61" s="10"/>
      <c r="R61" s="10"/>
      <c r="S61" s="10"/>
      <c r="T61" s="10"/>
      <c r="U61" s="10"/>
      <c r="V61" s="10"/>
      <c r="W61" s="12" t="s">
        <v>169</v>
      </c>
      <c r="X61" s="38" t="s">
        <v>197</v>
      </c>
      <c r="Y61" s="38" t="s">
        <v>197</v>
      </c>
      <c r="Z61" s="38" t="s">
        <v>197</v>
      </c>
      <c r="AA61" s="30" t="str">
        <f>IFERROR(X61/Y61*Z61,"-       ")</f>
        <v xml:space="preserve">-       </v>
      </c>
    </row>
    <row r="62" spans="2:27" ht="15" thickBot="1" x14ac:dyDescent="0.4">
      <c r="B62" s="220" t="s">
        <v>170</v>
      </c>
      <c r="C62" s="220"/>
      <c r="D62" s="220"/>
      <c r="E62" s="37">
        <f>IFERROR((T46-T65)/T19,"-       ")</f>
        <v>7.2882926642377583</v>
      </c>
      <c r="F62" s="10"/>
      <c r="G62" s="1" t="s">
        <v>171</v>
      </c>
      <c r="H62" s="2"/>
      <c r="I62" s="2"/>
      <c r="J62" s="2"/>
      <c r="K62" s="2"/>
      <c r="L62" s="2"/>
      <c r="M62" s="2"/>
      <c r="N62" s="2"/>
      <c r="O62" s="2"/>
      <c r="P62" s="2"/>
      <c r="Q62" s="2"/>
      <c r="R62" s="2"/>
      <c r="S62" s="2"/>
      <c r="T62" s="2"/>
      <c r="U62" s="2"/>
      <c r="V62" s="10"/>
      <c r="W62" s="12" t="s">
        <v>172</v>
      </c>
      <c r="X62" s="38" t="s">
        <v>197</v>
      </c>
      <c r="Y62" s="38" t="s">
        <v>197</v>
      </c>
      <c r="Z62" s="38" t="s">
        <v>197</v>
      </c>
      <c r="AA62" s="30" t="str">
        <f t="shared" ref="AA62:AA65" si="85">IFERROR(X62/Y62*Z62,"-       ")</f>
        <v xml:space="preserve">-       </v>
      </c>
    </row>
    <row r="63" spans="2:27" x14ac:dyDescent="0.35">
      <c r="B63" s="220" t="s">
        <v>173</v>
      </c>
      <c r="C63" s="220"/>
      <c r="D63" s="220"/>
      <c r="E63" s="37">
        <f>IFERROR(T42/T19,"-       ")</f>
        <v>4.7733672793535025</v>
      </c>
      <c r="F63" s="10"/>
      <c r="G63" s="12" t="s">
        <v>130</v>
      </c>
      <c r="H63" s="12"/>
      <c r="I63" s="12"/>
      <c r="J63" s="209">
        <v>19.579067999999999</v>
      </c>
      <c r="K63" s="210"/>
      <c r="L63" s="209">
        <v>21.847282</v>
      </c>
      <c r="M63" s="210"/>
      <c r="N63" s="209">
        <v>30.843980999999999</v>
      </c>
      <c r="O63" s="210"/>
      <c r="P63" s="221">
        <v>15.268413000000001</v>
      </c>
      <c r="Q63" s="222"/>
      <c r="R63" s="214">
        <v>19.443895999999999</v>
      </c>
      <c r="S63" s="215"/>
      <c r="T63" s="213">
        <f t="shared" ref="T63:T66" si="86">IFERROR(N63+R63-P63," -        ")</f>
        <v>35.019463999999992</v>
      </c>
      <c r="U63" s="213"/>
      <c r="V63" s="10"/>
      <c r="W63" s="12" t="s">
        <v>174</v>
      </c>
      <c r="X63" s="38" t="s">
        <v>197</v>
      </c>
      <c r="Y63" s="38" t="s">
        <v>197</v>
      </c>
      <c r="Z63" s="38" t="s">
        <v>197</v>
      </c>
      <c r="AA63" s="30" t="str">
        <f t="shared" si="85"/>
        <v xml:space="preserve">-       </v>
      </c>
    </row>
    <row r="64" spans="2:27" x14ac:dyDescent="0.35">
      <c r="B64" s="10"/>
      <c r="C64" s="10"/>
      <c r="D64" s="10"/>
      <c r="E64" s="10"/>
      <c r="F64" s="10"/>
      <c r="G64" s="12" t="s">
        <v>175</v>
      </c>
      <c r="H64" s="12"/>
      <c r="I64" s="12"/>
      <c r="J64" s="205">
        <f>IFERROR(J63/J13," -        ")</f>
        <v>6.7566409726779492E-2</v>
      </c>
      <c r="K64" s="205"/>
      <c r="L64" s="205">
        <f t="shared" ref="L64" si="87">IFERROR(L63/L13," -        ")</f>
        <v>5.691699906660401E-2</v>
      </c>
      <c r="M64" s="205"/>
      <c r="N64" s="205">
        <f t="shared" ref="N64" si="88">IFERROR(N63/N13," -        ")</f>
        <v>6.4955313111494745E-2</v>
      </c>
      <c r="O64" s="205"/>
      <c r="P64" s="216">
        <f t="shared" ref="P64" si="89">IFERROR(P63/P13," -        ")</f>
        <v>6.7451786640731856E-2</v>
      </c>
      <c r="Q64" s="205"/>
      <c r="R64" s="205">
        <f t="shared" ref="R64" si="90">IFERROR(R63/R13," -        ")</f>
        <v>7.1258136935563557E-2</v>
      </c>
      <c r="S64" s="217"/>
      <c r="T64" s="205">
        <f t="shared" si="86"/>
        <v>6.8761663406326459E-2</v>
      </c>
      <c r="U64" s="205"/>
      <c r="V64" s="10"/>
      <c r="W64" s="12" t="s">
        <v>176</v>
      </c>
      <c r="X64" s="38" t="s">
        <v>197</v>
      </c>
      <c r="Y64" s="38" t="s">
        <v>197</v>
      </c>
      <c r="Z64" s="38" t="s">
        <v>197</v>
      </c>
      <c r="AA64" s="30" t="str">
        <f t="shared" si="85"/>
        <v xml:space="preserve">-       </v>
      </c>
    </row>
    <row r="65" spans="2:27" x14ac:dyDescent="0.35">
      <c r="B65" s="1" t="s">
        <v>177</v>
      </c>
      <c r="C65" s="2"/>
      <c r="D65" s="2"/>
      <c r="E65" s="2"/>
      <c r="F65" s="10"/>
      <c r="G65" s="12" t="s">
        <v>178</v>
      </c>
      <c r="H65" s="12"/>
      <c r="I65" s="12"/>
      <c r="J65" s="209">
        <v>12.111371</v>
      </c>
      <c r="K65" s="210"/>
      <c r="L65" s="209">
        <v>18.270341999999999</v>
      </c>
      <c r="M65" s="210"/>
      <c r="N65" s="209">
        <v>19.904561000000001</v>
      </c>
      <c r="O65" s="210"/>
      <c r="P65" s="211">
        <v>8.3990449999999992</v>
      </c>
      <c r="Q65" s="210"/>
      <c r="R65" s="209">
        <v>13.930180999999999</v>
      </c>
      <c r="S65" s="212"/>
      <c r="T65" s="213">
        <f t="shared" si="86"/>
        <v>25.435696999999998</v>
      </c>
      <c r="U65" s="213"/>
      <c r="V65" s="10"/>
      <c r="W65" s="12" t="s">
        <v>179</v>
      </c>
      <c r="X65" s="38" t="s">
        <v>197</v>
      </c>
      <c r="Y65" s="38" t="s">
        <v>197</v>
      </c>
      <c r="Z65" s="38" t="s">
        <v>197</v>
      </c>
      <c r="AA65" s="30" t="str">
        <f t="shared" si="85"/>
        <v xml:space="preserve">-       </v>
      </c>
    </row>
    <row r="66" spans="2:27" ht="15" thickBot="1" x14ac:dyDescent="0.4">
      <c r="B66" s="12"/>
      <c r="C66" s="13" t="s">
        <v>8</v>
      </c>
      <c r="D66" s="13" t="s">
        <v>180</v>
      </c>
      <c r="E66" s="13" t="s">
        <v>181</v>
      </c>
      <c r="F66" s="10"/>
      <c r="G66" s="12" t="s">
        <v>175</v>
      </c>
      <c r="H66" s="12"/>
      <c r="I66" s="12"/>
      <c r="J66" s="205">
        <f>IFERROR(J65/J13," -        ")</f>
        <v>4.179575122467704E-2</v>
      </c>
      <c r="K66" s="205"/>
      <c r="L66" s="205">
        <f>IFERROR(L65/L13," -        ")</f>
        <v>4.7598279665202102E-2</v>
      </c>
      <c r="M66" s="205"/>
      <c r="N66" s="205">
        <f t="shared" ref="N66" si="91">IFERROR(N65/N13," -        ")</f>
        <v>4.1917643254346673E-2</v>
      </c>
      <c r="O66" s="205"/>
      <c r="P66" s="206">
        <f t="shared" ref="P66" si="92">IFERROR(P65/P13," -        ")</f>
        <v>3.7104746336499128E-2</v>
      </c>
      <c r="Q66" s="207"/>
      <c r="R66" s="207">
        <f t="shared" ref="R66" si="93">IFERROR(R65/R13," -        ")</f>
        <v>5.1051432554215764E-2</v>
      </c>
      <c r="S66" s="208"/>
      <c r="T66" s="205">
        <f t="shared" si="86"/>
        <v>5.5864329472063309E-2</v>
      </c>
      <c r="U66" s="205"/>
      <c r="V66" s="10"/>
      <c r="W66" s="12" t="s">
        <v>182</v>
      </c>
      <c r="X66" s="30"/>
      <c r="Y66" s="30"/>
      <c r="Z66" s="30"/>
      <c r="AA66" s="30" t="str">
        <f>IFERROR(AA61+AA62+AA65+AA64+AA63,"-       ")</f>
        <v xml:space="preserve">-       </v>
      </c>
    </row>
    <row r="67" spans="2:27" x14ac:dyDescent="0.35">
      <c r="B67" s="18" t="s">
        <v>183</v>
      </c>
      <c r="C67" s="25"/>
      <c r="D67" s="25"/>
      <c r="E67" s="25"/>
      <c r="F67" s="10"/>
      <c r="G67" s="12"/>
      <c r="H67" s="12"/>
      <c r="I67" s="12"/>
      <c r="J67" s="25"/>
      <c r="K67" s="25"/>
      <c r="L67" s="25"/>
      <c r="M67" s="25"/>
      <c r="N67" s="25"/>
      <c r="O67" s="25"/>
      <c r="P67" s="39"/>
      <c r="Q67" s="39"/>
      <c r="R67" s="39"/>
      <c r="S67" s="39"/>
      <c r="T67" s="25"/>
      <c r="U67" s="25"/>
      <c r="V67" s="10"/>
      <c r="W67" s="12"/>
      <c r="X67" s="12"/>
      <c r="Y67" s="12"/>
      <c r="Z67" s="12"/>
      <c r="AA67" s="12"/>
    </row>
    <row r="68" spans="2:27" x14ac:dyDescent="0.35">
      <c r="B68" s="12" t="s">
        <v>184</v>
      </c>
      <c r="C68" s="26">
        <f>IFERROR(N13/L13-1,"-       ")</f>
        <v>0.23708723551701416</v>
      </c>
      <c r="D68" s="26">
        <f>IFERROR(N46/L46-1,"-       ")</f>
        <v>0.5557852258815752</v>
      </c>
      <c r="E68" s="26">
        <f>IFERROR(N59/L59-1,"-       ")</f>
        <v>-0.20900393662221206</v>
      </c>
      <c r="F68" s="10"/>
      <c r="G68" s="10"/>
      <c r="H68" s="10"/>
      <c r="I68" s="10"/>
      <c r="J68" s="10"/>
      <c r="K68" s="10"/>
      <c r="L68" s="10"/>
      <c r="M68" s="10"/>
      <c r="N68" s="10"/>
      <c r="O68" s="10"/>
      <c r="P68" s="10"/>
      <c r="Q68" s="10"/>
      <c r="R68" s="10"/>
      <c r="S68" s="10"/>
      <c r="T68" s="10"/>
      <c r="U68" s="10"/>
      <c r="V68" s="10"/>
      <c r="W68" s="10"/>
      <c r="X68" s="10"/>
      <c r="Y68" s="10"/>
      <c r="Z68" s="10"/>
      <c r="AA68" s="10"/>
    </row>
    <row r="69" spans="2:27" x14ac:dyDescent="0.35">
      <c r="B69" s="12" t="s">
        <v>185</v>
      </c>
      <c r="C69" s="26">
        <f>IFERROR((N13/J13)^0.5-1,"-       ")</f>
        <v>0.28010999056526997</v>
      </c>
      <c r="D69" s="26">
        <f>IFERROR((N46/J46)^0.5-1,"-       ")</f>
        <v>0.35162975478663006</v>
      </c>
      <c r="E69" s="26">
        <f>IFERROR((N59/J59)^0.5-1,"-       ")</f>
        <v>0.47625363943886145</v>
      </c>
      <c r="F69" s="10"/>
      <c r="G69" s="1" t="s">
        <v>186</v>
      </c>
      <c r="H69" s="2"/>
      <c r="I69" s="2"/>
      <c r="J69" s="2"/>
      <c r="K69" s="2"/>
      <c r="L69" s="2"/>
      <c r="M69" s="2"/>
      <c r="N69" s="2"/>
      <c r="O69" s="2"/>
      <c r="P69" s="2"/>
      <c r="Q69" s="2"/>
      <c r="R69" s="2"/>
      <c r="S69" s="2"/>
      <c r="T69" s="2"/>
      <c r="U69" s="2"/>
      <c r="V69" s="2"/>
      <c r="W69" s="2"/>
      <c r="X69" s="2"/>
      <c r="Y69" s="2"/>
      <c r="Z69" s="2"/>
      <c r="AA69" s="2"/>
    </row>
    <row r="70" spans="2:27" x14ac:dyDescent="0.35">
      <c r="B70" s="18" t="s">
        <v>187</v>
      </c>
      <c r="C70" s="26"/>
      <c r="D70" s="26"/>
      <c r="E70" s="26"/>
      <c r="F70" s="10"/>
      <c r="G70" s="34" t="s">
        <v>236</v>
      </c>
      <c r="H70" s="34"/>
      <c r="I70" s="34"/>
      <c r="J70" s="34"/>
      <c r="K70" s="34"/>
      <c r="L70" s="34"/>
      <c r="M70" s="34"/>
      <c r="N70" s="34"/>
      <c r="O70" s="34"/>
      <c r="P70" s="34"/>
      <c r="Q70" s="34"/>
      <c r="R70" s="34"/>
      <c r="S70" s="34"/>
      <c r="T70" s="34"/>
      <c r="U70" s="34"/>
      <c r="V70" s="34"/>
      <c r="W70" s="34"/>
      <c r="X70" s="34"/>
      <c r="Y70" s="34"/>
      <c r="Z70" s="34"/>
      <c r="AA70" s="34"/>
    </row>
    <row r="71" spans="2:27" x14ac:dyDescent="0.35">
      <c r="B71" s="12" t="s">
        <v>184</v>
      </c>
      <c r="C71" s="26">
        <f>IFERROR(D41/$N$13-1,"-       ")</f>
        <v>0.22645810028445901</v>
      </c>
      <c r="D71" s="26">
        <f>IFERROR(D43/N46-1,"-       ")</f>
        <v>0.10540621233055703</v>
      </c>
      <c r="E71" s="26">
        <f>IFERROR(D47/N59-1,"-       ")</f>
        <v>-0.14520270195194795</v>
      </c>
      <c r="F71" s="10"/>
      <c r="G71" s="34" t="s">
        <v>237</v>
      </c>
      <c r="H71" s="34"/>
      <c r="I71" s="34"/>
      <c r="J71" s="34"/>
      <c r="K71" s="34"/>
      <c r="L71" s="34"/>
      <c r="M71" s="34"/>
      <c r="N71" s="34"/>
      <c r="O71" s="34"/>
      <c r="P71" s="34"/>
      <c r="Q71" s="34"/>
      <c r="R71" s="34"/>
      <c r="S71" s="34"/>
      <c r="T71" s="34"/>
      <c r="U71" s="34"/>
      <c r="V71" s="34"/>
      <c r="W71" s="34"/>
      <c r="X71" s="34"/>
      <c r="Y71" s="34"/>
      <c r="Z71" s="34"/>
      <c r="AA71" s="34"/>
    </row>
    <row r="72" spans="2:27" x14ac:dyDescent="0.35">
      <c r="B72" s="12" t="s">
        <v>185</v>
      </c>
      <c r="C72" s="26">
        <f>IFERROR((E41/$N$13)^0.5-1,"-       ")</f>
        <v>0.22645810028445901</v>
      </c>
      <c r="D72" s="26">
        <f>IFERROR((E43/$N$46)^0.5-1,"-       ")</f>
        <v>0.10540621233055703</v>
      </c>
      <c r="E72" s="26">
        <f>IFERROR((E47/$N$59)^0.5-1,"-       ")</f>
        <v>-0.14520270195194795</v>
      </c>
      <c r="F72" s="10"/>
      <c r="G72" s="34" t="s">
        <v>238</v>
      </c>
      <c r="H72" s="34"/>
      <c r="I72" s="34"/>
      <c r="J72" s="34"/>
      <c r="K72" s="34"/>
      <c r="L72" s="34"/>
      <c r="M72" s="34"/>
      <c r="N72" s="34"/>
      <c r="O72" s="34"/>
      <c r="P72" s="34"/>
      <c r="Q72" s="34"/>
      <c r="R72" s="34"/>
      <c r="S72" s="34"/>
      <c r="T72" s="34"/>
      <c r="U72" s="34"/>
      <c r="V72" s="34"/>
      <c r="W72" s="34"/>
      <c r="X72" s="34"/>
      <c r="Y72" s="34"/>
      <c r="Z72" s="34"/>
      <c r="AA72" s="34"/>
    </row>
    <row r="73" spans="2:27" x14ac:dyDescent="0.35">
      <c r="B73" s="204" t="s">
        <v>191</v>
      </c>
      <c r="C73" s="204"/>
      <c r="D73" s="204"/>
      <c r="E73" s="40">
        <v>0.40600000000000003</v>
      </c>
      <c r="F73" s="10"/>
      <c r="G73" s="34" t="s">
        <v>239</v>
      </c>
      <c r="H73" s="34"/>
      <c r="I73" s="34"/>
      <c r="J73" s="34"/>
      <c r="K73" s="34"/>
      <c r="L73" s="34"/>
      <c r="M73" s="34"/>
      <c r="N73" s="34"/>
      <c r="O73" s="34"/>
      <c r="P73" s="34"/>
      <c r="Q73" s="34"/>
      <c r="R73" s="34"/>
      <c r="S73" s="34"/>
      <c r="T73" s="34"/>
      <c r="U73" s="34"/>
      <c r="V73" s="34"/>
      <c r="W73" s="34"/>
      <c r="X73" s="34"/>
      <c r="Y73" s="34"/>
      <c r="Z73" s="34"/>
      <c r="AA73" s="34"/>
    </row>
    <row r="74" spans="2:27" x14ac:dyDescent="0.35"/>
  </sheetData>
  <mergeCells count="416">
    <mergeCell ref="B11:C11"/>
    <mergeCell ref="G11:I11"/>
    <mergeCell ref="P11:Q11"/>
    <mergeCell ref="R11:S11"/>
    <mergeCell ref="T11:U11"/>
    <mergeCell ref="W11:Y11"/>
    <mergeCell ref="B2:Q3"/>
    <mergeCell ref="W3:AA5"/>
    <mergeCell ref="B4:J4"/>
    <mergeCell ref="B10:C10"/>
    <mergeCell ref="G10:I10"/>
    <mergeCell ref="J10:O11"/>
    <mergeCell ref="P10:Q10"/>
    <mergeCell ref="R10:S10"/>
    <mergeCell ref="T10:U10"/>
    <mergeCell ref="W10:Y10"/>
    <mergeCell ref="R12:S12"/>
    <mergeCell ref="T12:U12"/>
    <mergeCell ref="W12:Y12"/>
    <mergeCell ref="B13:C13"/>
    <mergeCell ref="G13:I13"/>
    <mergeCell ref="J13:K13"/>
    <mergeCell ref="L13:M13"/>
    <mergeCell ref="N13:O13"/>
    <mergeCell ref="P13:Q13"/>
    <mergeCell ref="R13:S13"/>
    <mergeCell ref="B12:C12"/>
    <mergeCell ref="G12:I12"/>
    <mergeCell ref="J12:K12"/>
    <mergeCell ref="L12:M12"/>
    <mergeCell ref="N12:O12"/>
    <mergeCell ref="P12:Q12"/>
    <mergeCell ref="T13:U13"/>
    <mergeCell ref="W13:Y13"/>
    <mergeCell ref="B14:D14"/>
    <mergeCell ref="G14:I14"/>
    <mergeCell ref="J14:K14"/>
    <mergeCell ref="L14:M14"/>
    <mergeCell ref="N14:O14"/>
    <mergeCell ref="P14:Q14"/>
    <mergeCell ref="R14:S14"/>
    <mergeCell ref="T14:U14"/>
    <mergeCell ref="W14:Y14"/>
    <mergeCell ref="B15:C15"/>
    <mergeCell ref="G15:I15"/>
    <mergeCell ref="J15:K15"/>
    <mergeCell ref="L15:M15"/>
    <mergeCell ref="N15:O15"/>
    <mergeCell ref="P15:Q15"/>
    <mergeCell ref="R15:S15"/>
    <mergeCell ref="T15:U15"/>
    <mergeCell ref="W15:Y15"/>
    <mergeCell ref="R16:S16"/>
    <mergeCell ref="T16:U16"/>
    <mergeCell ref="W16:Y16"/>
    <mergeCell ref="B17:C17"/>
    <mergeCell ref="G17:I17"/>
    <mergeCell ref="J17:K17"/>
    <mergeCell ref="L17:M17"/>
    <mergeCell ref="N17:O17"/>
    <mergeCell ref="P17:Q17"/>
    <mergeCell ref="R17:S17"/>
    <mergeCell ref="B16:C16"/>
    <mergeCell ref="G16:I16"/>
    <mergeCell ref="J16:K16"/>
    <mergeCell ref="L16:M16"/>
    <mergeCell ref="N16:O16"/>
    <mergeCell ref="P16:Q16"/>
    <mergeCell ref="T17:U17"/>
    <mergeCell ref="W17:Y17"/>
    <mergeCell ref="G18:I18"/>
    <mergeCell ref="J18:K18"/>
    <mergeCell ref="L18:M18"/>
    <mergeCell ref="N18:O18"/>
    <mergeCell ref="P18:Q18"/>
    <mergeCell ref="R18:S18"/>
    <mergeCell ref="T18:U18"/>
    <mergeCell ref="W18:Y18"/>
    <mergeCell ref="T19:U19"/>
    <mergeCell ref="W19:Y19"/>
    <mergeCell ref="G20:I20"/>
    <mergeCell ref="J20:K20"/>
    <mergeCell ref="L20:M20"/>
    <mergeCell ref="N20:O20"/>
    <mergeCell ref="P20:Q20"/>
    <mergeCell ref="R20:S20"/>
    <mergeCell ref="T20:U20"/>
    <mergeCell ref="W20:X20"/>
    <mergeCell ref="G19:I19"/>
    <mergeCell ref="J19:K19"/>
    <mergeCell ref="L19:M19"/>
    <mergeCell ref="N19:O19"/>
    <mergeCell ref="P19:Q19"/>
    <mergeCell ref="R19:S19"/>
    <mergeCell ref="R21:S21"/>
    <mergeCell ref="T21:U21"/>
    <mergeCell ref="W21:Y21"/>
    <mergeCell ref="B22:C22"/>
    <mergeCell ref="G22:I22"/>
    <mergeCell ref="J22:K22"/>
    <mergeCell ref="L22:M22"/>
    <mergeCell ref="N22:O22"/>
    <mergeCell ref="P22:Q22"/>
    <mergeCell ref="R22:S22"/>
    <mergeCell ref="B21:C21"/>
    <mergeCell ref="G21:I21"/>
    <mergeCell ref="J21:K21"/>
    <mergeCell ref="L21:M21"/>
    <mergeCell ref="N21:O21"/>
    <mergeCell ref="P21:Q21"/>
    <mergeCell ref="T22:U22"/>
    <mergeCell ref="W22:Y22"/>
    <mergeCell ref="B23:C23"/>
    <mergeCell ref="G23:I23"/>
    <mergeCell ref="J23:K23"/>
    <mergeCell ref="L23:M23"/>
    <mergeCell ref="N23:O23"/>
    <mergeCell ref="P23:Q23"/>
    <mergeCell ref="R23:S23"/>
    <mergeCell ref="T23:U23"/>
    <mergeCell ref="W23:Y23"/>
    <mergeCell ref="B24:C24"/>
    <mergeCell ref="G24:I24"/>
    <mergeCell ref="J24:K24"/>
    <mergeCell ref="L24:M24"/>
    <mergeCell ref="N24:O24"/>
    <mergeCell ref="P24:Q24"/>
    <mergeCell ref="R24:S24"/>
    <mergeCell ref="T24:U24"/>
    <mergeCell ref="W24:Y24"/>
    <mergeCell ref="R25:S25"/>
    <mergeCell ref="T25:U25"/>
    <mergeCell ref="W25:Y25"/>
    <mergeCell ref="B26:C26"/>
    <mergeCell ref="G26:I26"/>
    <mergeCell ref="J26:K26"/>
    <mergeCell ref="L26:M26"/>
    <mergeCell ref="N26:O26"/>
    <mergeCell ref="P26:Q26"/>
    <mergeCell ref="R26:S26"/>
    <mergeCell ref="B25:C25"/>
    <mergeCell ref="G25:I25"/>
    <mergeCell ref="J25:K25"/>
    <mergeCell ref="L25:M25"/>
    <mergeCell ref="N25:O25"/>
    <mergeCell ref="P25:Q25"/>
    <mergeCell ref="T26:U26"/>
    <mergeCell ref="W26:Y26"/>
    <mergeCell ref="G27:I27"/>
    <mergeCell ref="J27:K27"/>
    <mergeCell ref="L27:M27"/>
    <mergeCell ref="N27:O27"/>
    <mergeCell ref="P27:Q27"/>
    <mergeCell ref="R27:S27"/>
    <mergeCell ref="T27:U27"/>
    <mergeCell ref="W27:Y27"/>
    <mergeCell ref="T29:U29"/>
    <mergeCell ref="W29:Y29"/>
    <mergeCell ref="B30:C30"/>
    <mergeCell ref="W30:Y30"/>
    <mergeCell ref="B31:C31"/>
    <mergeCell ref="W31:Y31"/>
    <mergeCell ref="R28:S28"/>
    <mergeCell ref="T28:U28"/>
    <mergeCell ref="W28:Y28"/>
    <mergeCell ref="B29:C29"/>
    <mergeCell ref="G29:I29"/>
    <mergeCell ref="J29:K29"/>
    <mergeCell ref="L29:M29"/>
    <mergeCell ref="N29:O29"/>
    <mergeCell ref="P29:Q29"/>
    <mergeCell ref="R29:S29"/>
    <mergeCell ref="B28:C28"/>
    <mergeCell ref="G28:I28"/>
    <mergeCell ref="J28:K28"/>
    <mergeCell ref="L28:M28"/>
    <mergeCell ref="N28:O28"/>
    <mergeCell ref="P28:Q28"/>
    <mergeCell ref="B34:C34"/>
    <mergeCell ref="G34:I34"/>
    <mergeCell ref="J34:K34"/>
    <mergeCell ref="L34:M34"/>
    <mergeCell ref="N34:O34"/>
    <mergeCell ref="P34:Q34"/>
    <mergeCell ref="B32:C32"/>
    <mergeCell ref="W32:Y32"/>
    <mergeCell ref="G33:I33"/>
    <mergeCell ref="J33:K33"/>
    <mergeCell ref="L33:M33"/>
    <mergeCell ref="N33:O33"/>
    <mergeCell ref="P33:Q33"/>
    <mergeCell ref="R33:S33"/>
    <mergeCell ref="T33:U33"/>
    <mergeCell ref="W33:Y33"/>
    <mergeCell ref="R34:S34"/>
    <mergeCell ref="T34:U34"/>
    <mergeCell ref="W34:Y34"/>
    <mergeCell ref="G35:I35"/>
    <mergeCell ref="J35:K35"/>
    <mergeCell ref="L35:M35"/>
    <mergeCell ref="N35:O35"/>
    <mergeCell ref="P35:Q35"/>
    <mergeCell ref="R35:S35"/>
    <mergeCell ref="T35:U35"/>
    <mergeCell ref="W35:Y35"/>
    <mergeCell ref="G36:I36"/>
    <mergeCell ref="J36:K36"/>
    <mergeCell ref="L36:M36"/>
    <mergeCell ref="N36:O36"/>
    <mergeCell ref="P36:Q36"/>
    <mergeCell ref="R36:S36"/>
    <mergeCell ref="T36:U36"/>
    <mergeCell ref="W36:Y36"/>
    <mergeCell ref="T37:U37"/>
    <mergeCell ref="G38:I38"/>
    <mergeCell ref="J38:K38"/>
    <mergeCell ref="L38:M38"/>
    <mergeCell ref="N38:O38"/>
    <mergeCell ref="P38:Q38"/>
    <mergeCell ref="R38:S38"/>
    <mergeCell ref="T38:U38"/>
    <mergeCell ref="G37:I37"/>
    <mergeCell ref="J37:K37"/>
    <mergeCell ref="L37:M37"/>
    <mergeCell ref="N37:O37"/>
    <mergeCell ref="P37:Q37"/>
    <mergeCell ref="R37:S37"/>
    <mergeCell ref="T39:U39"/>
    <mergeCell ref="G40:I40"/>
    <mergeCell ref="J40:K40"/>
    <mergeCell ref="L40:M40"/>
    <mergeCell ref="N40:O40"/>
    <mergeCell ref="P40:Q40"/>
    <mergeCell ref="R40:S40"/>
    <mergeCell ref="T40:U40"/>
    <mergeCell ref="G39:I39"/>
    <mergeCell ref="J39:K39"/>
    <mergeCell ref="L39:M39"/>
    <mergeCell ref="N39:O39"/>
    <mergeCell ref="P39:Q39"/>
    <mergeCell ref="R39:S39"/>
    <mergeCell ref="W40:Y40"/>
    <mergeCell ref="G41:I41"/>
    <mergeCell ref="J41:K41"/>
    <mergeCell ref="L41:M41"/>
    <mergeCell ref="N41:O41"/>
    <mergeCell ref="P41:Q41"/>
    <mergeCell ref="R41:S41"/>
    <mergeCell ref="T41:U41"/>
    <mergeCell ref="W41:Z41"/>
    <mergeCell ref="T42:U42"/>
    <mergeCell ref="W42:Y42"/>
    <mergeCell ref="G43:I43"/>
    <mergeCell ref="J43:K43"/>
    <mergeCell ref="L43:M43"/>
    <mergeCell ref="N43:O43"/>
    <mergeCell ref="P43:Q43"/>
    <mergeCell ref="R43:S43"/>
    <mergeCell ref="T43:U43"/>
    <mergeCell ref="W43:Y43"/>
    <mergeCell ref="G42:I42"/>
    <mergeCell ref="J42:K42"/>
    <mergeCell ref="L42:M42"/>
    <mergeCell ref="N42:O42"/>
    <mergeCell ref="P42:Q42"/>
    <mergeCell ref="R42:S42"/>
    <mergeCell ref="T44:U44"/>
    <mergeCell ref="W44:Y44"/>
    <mergeCell ref="G45:I45"/>
    <mergeCell ref="J45:K45"/>
    <mergeCell ref="L45:M45"/>
    <mergeCell ref="N45:O45"/>
    <mergeCell ref="P45:Q45"/>
    <mergeCell ref="R45:S45"/>
    <mergeCell ref="T45:U45"/>
    <mergeCell ref="W45:Y45"/>
    <mergeCell ref="G44:I44"/>
    <mergeCell ref="J44:K44"/>
    <mergeCell ref="L44:M44"/>
    <mergeCell ref="N44:O44"/>
    <mergeCell ref="P44:Q44"/>
    <mergeCell ref="R44:S44"/>
    <mergeCell ref="W47:Y47"/>
    <mergeCell ref="G48:I48"/>
    <mergeCell ref="J48:K48"/>
    <mergeCell ref="L48:M48"/>
    <mergeCell ref="N48:O48"/>
    <mergeCell ref="P48:Q48"/>
    <mergeCell ref="R48:S48"/>
    <mergeCell ref="T48:U48"/>
    <mergeCell ref="T46:U46"/>
    <mergeCell ref="G47:I47"/>
    <mergeCell ref="J47:K47"/>
    <mergeCell ref="L47:M47"/>
    <mergeCell ref="N47:O47"/>
    <mergeCell ref="P47:Q47"/>
    <mergeCell ref="R47:S47"/>
    <mergeCell ref="T47:U47"/>
    <mergeCell ref="G46:I46"/>
    <mergeCell ref="J46:K46"/>
    <mergeCell ref="L46:M46"/>
    <mergeCell ref="N46:O46"/>
    <mergeCell ref="P46:Q46"/>
    <mergeCell ref="R46:S46"/>
    <mergeCell ref="T49:U49"/>
    <mergeCell ref="G50:I50"/>
    <mergeCell ref="J50:K50"/>
    <mergeCell ref="L50:M50"/>
    <mergeCell ref="N50:O50"/>
    <mergeCell ref="P50:Q50"/>
    <mergeCell ref="R50:S50"/>
    <mergeCell ref="T50:U50"/>
    <mergeCell ref="G49:I49"/>
    <mergeCell ref="J49:K49"/>
    <mergeCell ref="L49:M49"/>
    <mergeCell ref="N49:O49"/>
    <mergeCell ref="P49:Q49"/>
    <mergeCell ref="R49:S49"/>
    <mergeCell ref="R51:S51"/>
    <mergeCell ref="T51:U51"/>
    <mergeCell ref="B52:D52"/>
    <mergeCell ref="G52:I52"/>
    <mergeCell ref="J52:K52"/>
    <mergeCell ref="L52:M52"/>
    <mergeCell ref="N52:O52"/>
    <mergeCell ref="P52:Q52"/>
    <mergeCell ref="R52:S52"/>
    <mergeCell ref="T52:U52"/>
    <mergeCell ref="B51:D51"/>
    <mergeCell ref="G51:I51"/>
    <mergeCell ref="J51:K51"/>
    <mergeCell ref="L51:M51"/>
    <mergeCell ref="N51:O51"/>
    <mergeCell ref="P51:Q51"/>
    <mergeCell ref="R53:S53"/>
    <mergeCell ref="T53:U53"/>
    <mergeCell ref="B54:D54"/>
    <mergeCell ref="G54:I54"/>
    <mergeCell ref="J54:K54"/>
    <mergeCell ref="L54:M54"/>
    <mergeCell ref="N54:O54"/>
    <mergeCell ref="P54:Q54"/>
    <mergeCell ref="R54:S54"/>
    <mergeCell ref="T54:U54"/>
    <mergeCell ref="B53:D53"/>
    <mergeCell ref="G53:I53"/>
    <mergeCell ref="J53:K53"/>
    <mergeCell ref="L53:M53"/>
    <mergeCell ref="N53:O53"/>
    <mergeCell ref="P53:Q53"/>
    <mergeCell ref="T55:U55"/>
    <mergeCell ref="G56:I56"/>
    <mergeCell ref="J56:K56"/>
    <mergeCell ref="L56:M56"/>
    <mergeCell ref="N56:O56"/>
    <mergeCell ref="P56:Q56"/>
    <mergeCell ref="R56:S56"/>
    <mergeCell ref="T56:U56"/>
    <mergeCell ref="G55:I55"/>
    <mergeCell ref="J55:K55"/>
    <mergeCell ref="L55:M55"/>
    <mergeCell ref="N55:O55"/>
    <mergeCell ref="P55:Q55"/>
    <mergeCell ref="R55:S55"/>
    <mergeCell ref="T57:U57"/>
    <mergeCell ref="B58:D58"/>
    <mergeCell ref="G58:I58"/>
    <mergeCell ref="J58:K58"/>
    <mergeCell ref="L58:M58"/>
    <mergeCell ref="N58:O58"/>
    <mergeCell ref="P58:Q58"/>
    <mergeCell ref="R58:S58"/>
    <mergeCell ref="T58:U58"/>
    <mergeCell ref="G57:I57"/>
    <mergeCell ref="J57:K57"/>
    <mergeCell ref="L57:M57"/>
    <mergeCell ref="N57:O57"/>
    <mergeCell ref="P57:Q57"/>
    <mergeCell ref="R57:S57"/>
    <mergeCell ref="B60:D60"/>
    <mergeCell ref="B61:D61"/>
    <mergeCell ref="B62:D62"/>
    <mergeCell ref="B63:D63"/>
    <mergeCell ref="J63:K63"/>
    <mergeCell ref="L63:M63"/>
    <mergeCell ref="N63:O63"/>
    <mergeCell ref="P63:Q63"/>
    <mergeCell ref="B59:D59"/>
    <mergeCell ref="G59:I59"/>
    <mergeCell ref="J59:K59"/>
    <mergeCell ref="L59:M59"/>
    <mergeCell ref="N59:O59"/>
    <mergeCell ref="P59:Q59"/>
    <mergeCell ref="R63:S63"/>
    <mergeCell ref="T63:U63"/>
    <mergeCell ref="J64:K64"/>
    <mergeCell ref="L64:M64"/>
    <mergeCell ref="N64:O64"/>
    <mergeCell ref="P64:Q64"/>
    <mergeCell ref="R64:S64"/>
    <mergeCell ref="T64:U64"/>
    <mergeCell ref="R59:S59"/>
    <mergeCell ref="T59:U59"/>
    <mergeCell ref="B73:D73"/>
    <mergeCell ref="J66:K66"/>
    <mergeCell ref="L66:M66"/>
    <mergeCell ref="N66:O66"/>
    <mergeCell ref="P66:Q66"/>
    <mergeCell ref="R66:S66"/>
    <mergeCell ref="T66:U66"/>
    <mergeCell ref="J65:K65"/>
    <mergeCell ref="L65:M65"/>
    <mergeCell ref="N65:O65"/>
    <mergeCell ref="P65:Q65"/>
    <mergeCell ref="R65:S65"/>
    <mergeCell ref="T65:U65"/>
  </mergeCells>
  <pageMargins left="0.7" right="0.7" top="0.75" bottom="0.75" header="0.3" footer="0.3"/>
  <drawing r:id="rId1"/>
  <legacyDrawing r:id="rId2"/>
  <picture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AE4E0B-CEFE-44F4-B637-85AED7B55FD8}">
  <dimension ref="A1:AB74"/>
  <sheetViews>
    <sheetView showGridLines="0" topLeftCell="D6" zoomScale="117" zoomScaleNormal="175" workbookViewId="0">
      <selection activeCell="T29" sqref="T29:U29"/>
    </sheetView>
  </sheetViews>
  <sheetFormatPr defaultColWidth="0" defaultRowHeight="14.5" customHeight="1" zeroHeight="1" x14ac:dyDescent="0.35"/>
  <cols>
    <col min="1" max="1" width="8.7265625" style="4" customWidth="1"/>
    <col min="2" max="2" width="8.7265625" style="41" customWidth="1"/>
    <col min="3" max="3" width="10.453125" style="41" customWidth="1"/>
    <col min="4" max="4" width="9.6328125" style="41" bestFit="1" customWidth="1"/>
    <col min="5" max="5" width="7.7265625" style="41" customWidth="1"/>
    <col min="6" max="15" width="8.7265625" style="41" customWidth="1"/>
    <col min="16" max="19" width="8.7265625" style="41" hidden="1" customWidth="1"/>
    <col min="20" max="22" width="8.7265625" style="41" customWidth="1"/>
    <col min="23" max="26" width="10.90625" style="41" customWidth="1"/>
    <col min="27" max="27" width="9.26953125" style="41" bestFit="1" customWidth="1"/>
    <col min="28" max="28" width="8.7265625" style="4" customWidth="1"/>
    <col min="29" max="16384" width="8.7265625" style="4" hidden="1"/>
  </cols>
  <sheetData>
    <row r="1" spans="2:27" x14ac:dyDescent="0.35">
      <c r="B1" s="4"/>
      <c r="C1" s="4"/>
      <c r="D1" s="4"/>
      <c r="E1" s="4"/>
      <c r="F1" s="4"/>
      <c r="G1" s="4"/>
      <c r="H1" s="4"/>
      <c r="I1" s="4"/>
      <c r="J1" s="4"/>
      <c r="K1" s="4"/>
      <c r="L1" s="4"/>
      <c r="M1" s="4"/>
      <c r="N1" s="4"/>
      <c r="O1" s="4"/>
      <c r="P1" s="4"/>
      <c r="Q1" s="4"/>
      <c r="R1" s="4"/>
      <c r="S1" s="4"/>
      <c r="T1" s="4"/>
      <c r="U1" s="4"/>
      <c r="V1" s="4"/>
      <c r="W1" s="4"/>
      <c r="X1" s="4"/>
      <c r="Y1" s="4"/>
      <c r="Z1" s="4"/>
      <c r="AA1" s="4"/>
    </row>
    <row r="2" spans="2:27" ht="14.5" customHeight="1" x14ac:dyDescent="0.35">
      <c r="B2" s="258" t="e" vm="10">
        <v>#VALUE!</v>
      </c>
      <c r="C2" s="258"/>
      <c r="D2" s="258"/>
      <c r="E2" s="258"/>
      <c r="F2" s="258"/>
      <c r="G2" s="258"/>
      <c r="H2" s="258"/>
      <c r="I2" s="258"/>
      <c r="J2" s="258"/>
      <c r="K2" s="258"/>
      <c r="L2" s="258"/>
      <c r="M2" s="258"/>
      <c r="N2" s="258"/>
      <c r="O2" s="258"/>
      <c r="P2" s="258"/>
      <c r="Q2" s="258"/>
      <c r="R2" s="5"/>
      <c r="S2" s="5"/>
      <c r="T2" s="5"/>
      <c r="U2" s="5"/>
      <c r="V2" s="5"/>
      <c r="W2" s="46" t="s">
        <v>36</v>
      </c>
      <c r="X2" s="5"/>
      <c r="Y2" s="5"/>
      <c r="Z2" s="5"/>
      <c r="AA2" s="5"/>
    </row>
    <row r="3" spans="2:27" ht="14.5" customHeight="1" x14ac:dyDescent="0.35">
      <c r="B3" s="258"/>
      <c r="C3" s="258"/>
      <c r="D3" s="258"/>
      <c r="E3" s="258"/>
      <c r="F3" s="258"/>
      <c r="G3" s="258"/>
      <c r="H3" s="258"/>
      <c r="I3" s="258"/>
      <c r="J3" s="258"/>
      <c r="K3" s="258"/>
      <c r="L3" s="258"/>
      <c r="M3" s="258"/>
      <c r="N3" s="258"/>
      <c r="O3" s="258"/>
      <c r="P3" s="258"/>
      <c r="Q3" s="258"/>
      <c r="R3" s="5"/>
      <c r="S3" s="5"/>
      <c r="T3" s="5"/>
      <c r="U3" s="5"/>
      <c r="V3" s="5"/>
      <c r="W3" s="260" t="str">
        <f>'Business Infos'!D21</f>
        <v>Specialist in heavy equipment hire and asset management. Supplies large mining and construction fleets, with exposure to quarry clients via rental and maintenance services.</v>
      </c>
      <c r="X3" s="260"/>
      <c r="Y3" s="260"/>
      <c r="Z3" s="260"/>
      <c r="AA3" s="260"/>
    </row>
    <row r="4" spans="2:27" ht="15.5" customHeight="1" x14ac:dyDescent="0.35">
      <c r="B4" s="261" t="s">
        <v>37</v>
      </c>
      <c r="C4" s="262"/>
      <c r="D4" s="262"/>
      <c r="E4" s="262"/>
      <c r="F4" s="262"/>
      <c r="G4" s="262"/>
      <c r="H4" s="262"/>
      <c r="I4" s="262"/>
      <c r="J4" s="262"/>
      <c r="K4" s="5"/>
      <c r="L4" s="5"/>
      <c r="M4" s="5"/>
      <c r="N4" s="5"/>
      <c r="O4" s="5"/>
      <c r="P4" s="5"/>
      <c r="Q4" s="5"/>
      <c r="R4" s="5"/>
      <c r="S4" s="5"/>
      <c r="T4" s="5"/>
      <c r="U4" s="5"/>
      <c r="V4" s="5"/>
      <c r="W4" s="260" t="s">
        <v>193</v>
      </c>
      <c r="X4" s="260"/>
      <c r="Y4" s="260"/>
      <c r="Z4" s="260"/>
      <c r="AA4" s="260"/>
    </row>
    <row r="5" spans="2:27" x14ac:dyDescent="0.35">
      <c r="B5" s="7" t="s">
        <v>38</v>
      </c>
      <c r="C5" s="5"/>
      <c r="D5" s="5"/>
      <c r="E5" s="5"/>
      <c r="F5" s="5"/>
      <c r="G5" s="5"/>
      <c r="H5" s="5"/>
      <c r="I5" s="5"/>
      <c r="J5" s="5"/>
      <c r="K5" s="5"/>
      <c r="L5" s="5"/>
      <c r="M5" s="5"/>
      <c r="N5" s="5"/>
      <c r="O5" s="5"/>
      <c r="P5" s="5"/>
      <c r="Q5" s="5"/>
      <c r="R5" s="5"/>
      <c r="S5" s="5"/>
      <c r="T5" s="5"/>
      <c r="U5" s="5"/>
      <c r="V5" s="5"/>
      <c r="W5" s="260"/>
      <c r="X5" s="260"/>
      <c r="Y5" s="260"/>
      <c r="Z5" s="260"/>
      <c r="AA5" s="260"/>
    </row>
    <row r="6" spans="2:27" x14ac:dyDescent="0.35">
      <c r="B6" s="4"/>
      <c r="C6" s="4"/>
      <c r="D6" s="4"/>
      <c r="E6" s="4"/>
      <c r="F6" s="4"/>
      <c r="G6" s="4"/>
      <c r="H6" s="4"/>
      <c r="I6" s="4"/>
      <c r="J6" s="4"/>
      <c r="K6" s="4"/>
      <c r="L6" s="4"/>
      <c r="M6" s="4"/>
      <c r="N6" s="4"/>
      <c r="O6" s="4"/>
      <c r="P6" s="4"/>
      <c r="Q6" s="4"/>
      <c r="R6" s="4"/>
      <c r="S6" s="4"/>
      <c r="T6" s="4"/>
      <c r="U6" s="4"/>
      <c r="V6" s="4"/>
      <c r="W6"/>
      <c r="X6"/>
      <c r="Y6"/>
      <c r="Z6"/>
      <c r="AA6"/>
    </row>
    <row r="7" spans="2:27" x14ac:dyDescent="0.35">
      <c r="B7" s="4"/>
      <c r="C7" s="4"/>
      <c r="D7" s="4"/>
      <c r="E7" s="4"/>
      <c r="F7" s="4"/>
      <c r="G7" s="4"/>
      <c r="H7" s="4"/>
      <c r="I7" s="4"/>
      <c r="J7" s="4"/>
      <c r="K7" s="4"/>
      <c r="L7" s="4"/>
      <c r="M7" s="4"/>
      <c r="N7" s="4"/>
      <c r="O7" s="4"/>
      <c r="P7" s="4"/>
      <c r="Q7" s="4"/>
      <c r="R7" s="4"/>
      <c r="S7" s="4"/>
      <c r="T7" s="4"/>
      <c r="U7" s="4"/>
      <c r="V7" s="4"/>
      <c r="W7" s="4"/>
      <c r="X7" s="4"/>
      <c r="Y7" s="4"/>
      <c r="Z7" s="4"/>
      <c r="AA7" s="4"/>
    </row>
    <row r="8" spans="2:27" ht="15" thickBot="1" x14ac:dyDescent="0.4">
      <c r="B8" s="8" t="s">
        <v>39</v>
      </c>
      <c r="C8" s="9"/>
      <c r="D8" s="9"/>
      <c r="E8" s="9"/>
      <c r="F8" s="10"/>
      <c r="G8" s="8" t="s">
        <v>40</v>
      </c>
      <c r="H8" s="9"/>
      <c r="I8" s="9"/>
      <c r="J8" s="51"/>
      <c r="K8" s="9"/>
      <c r="L8" s="9"/>
      <c r="M8" s="9"/>
      <c r="N8" s="9"/>
      <c r="O8" s="8"/>
      <c r="P8" s="9"/>
      <c r="Q8" s="9"/>
      <c r="R8" s="9"/>
      <c r="S8" s="9"/>
      <c r="T8" s="9"/>
      <c r="U8" s="9"/>
      <c r="V8" s="10"/>
      <c r="W8" s="8" t="s">
        <v>41</v>
      </c>
      <c r="X8" s="9"/>
      <c r="Y8" s="9"/>
      <c r="Z8" s="9"/>
      <c r="AA8" s="9"/>
    </row>
    <row r="9" spans="2:27" ht="4" customHeight="1" x14ac:dyDescent="0.35">
      <c r="B9" s="2"/>
      <c r="C9" s="2"/>
      <c r="D9" s="2"/>
      <c r="E9" s="2"/>
      <c r="F9" s="10"/>
      <c r="G9" s="2"/>
      <c r="H9" s="2"/>
      <c r="I9" s="2"/>
      <c r="J9" s="2"/>
      <c r="K9" s="2"/>
      <c r="L9" s="2"/>
      <c r="M9" s="2"/>
      <c r="N9" s="2"/>
      <c r="O9" s="2"/>
      <c r="P9" s="2"/>
      <c r="Q9" s="2"/>
      <c r="R9" s="2"/>
      <c r="S9" s="2"/>
      <c r="T9" s="2"/>
      <c r="U9" s="2"/>
      <c r="V9" s="10"/>
      <c r="W9" s="2"/>
      <c r="X9" s="2"/>
      <c r="Y9" s="2"/>
      <c r="Z9" s="2"/>
      <c r="AA9" s="2"/>
    </row>
    <row r="10" spans="2:27" x14ac:dyDescent="0.35">
      <c r="B10" s="263" t="s">
        <v>42</v>
      </c>
      <c r="C10" s="263"/>
      <c r="D10" s="11"/>
      <c r="E10" s="11" t="s">
        <v>33</v>
      </c>
      <c r="F10" s="52"/>
      <c r="G10" s="220"/>
      <c r="H10" s="220"/>
      <c r="I10" s="220"/>
      <c r="J10" s="257" t="s">
        <v>43</v>
      </c>
      <c r="K10" s="264"/>
      <c r="L10" s="264"/>
      <c r="M10" s="264"/>
      <c r="N10" s="264"/>
      <c r="O10" s="264"/>
      <c r="P10" s="257" t="s">
        <v>44</v>
      </c>
      <c r="Q10" s="257"/>
      <c r="R10" s="257" t="s">
        <v>45</v>
      </c>
      <c r="S10" s="257"/>
      <c r="T10" s="220"/>
      <c r="U10" s="220"/>
      <c r="V10" s="10"/>
      <c r="W10" s="220"/>
      <c r="X10" s="220"/>
      <c r="Y10" s="220"/>
      <c r="Z10" s="13" t="s">
        <v>46</v>
      </c>
      <c r="AA10" s="14">
        <v>45747</v>
      </c>
    </row>
    <row r="11" spans="2:27" x14ac:dyDescent="0.35">
      <c r="B11" s="220" t="s">
        <v>5</v>
      </c>
      <c r="C11" s="220"/>
      <c r="D11" s="12"/>
      <c r="E11" s="11" t="s">
        <v>34</v>
      </c>
      <c r="F11" s="15"/>
      <c r="G11" s="220"/>
      <c r="H11" s="220"/>
      <c r="I11" s="220"/>
      <c r="J11" s="264"/>
      <c r="K11" s="264"/>
      <c r="L11" s="264"/>
      <c r="M11" s="264"/>
      <c r="N11" s="264"/>
      <c r="O11" s="264"/>
      <c r="P11" s="257" t="s">
        <v>47</v>
      </c>
      <c r="Q11" s="257"/>
      <c r="R11" s="257" t="s">
        <v>47</v>
      </c>
      <c r="S11" s="257"/>
      <c r="T11" s="257" t="s">
        <v>3</v>
      </c>
      <c r="U11" s="257"/>
      <c r="V11" s="10"/>
      <c r="W11" s="220" t="s">
        <v>48</v>
      </c>
      <c r="X11" s="220"/>
      <c r="Y11" s="220"/>
      <c r="Z11" s="16">
        <v>78.265000000000001</v>
      </c>
      <c r="AA11" s="16">
        <v>110.194</v>
      </c>
    </row>
    <row r="12" spans="2:27" ht="15" thickBot="1" x14ac:dyDescent="0.4">
      <c r="B12" s="220" t="s">
        <v>49</v>
      </c>
      <c r="C12" s="220"/>
      <c r="D12" s="12"/>
      <c r="E12" s="11" t="s">
        <v>194</v>
      </c>
      <c r="F12" s="10"/>
      <c r="G12" s="220"/>
      <c r="H12" s="220"/>
      <c r="I12" s="220"/>
      <c r="J12" s="257" t="s">
        <v>50</v>
      </c>
      <c r="K12" s="257"/>
      <c r="L12" s="257" t="s">
        <v>51</v>
      </c>
      <c r="M12" s="257"/>
      <c r="N12" s="257" t="s">
        <v>46</v>
      </c>
      <c r="O12" s="257"/>
      <c r="P12" s="250">
        <v>45291</v>
      </c>
      <c r="Q12" s="251"/>
      <c r="R12" s="250">
        <v>45657</v>
      </c>
      <c r="S12" s="251"/>
      <c r="T12" s="252">
        <v>45657</v>
      </c>
      <c r="U12" s="252"/>
      <c r="V12" s="10"/>
      <c r="W12" s="220" t="s">
        <v>52</v>
      </c>
      <c r="X12" s="220"/>
      <c r="Y12" s="220"/>
      <c r="Z12" s="16">
        <v>139.23099999999999</v>
      </c>
      <c r="AA12" s="16">
        <v>115.599</v>
      </c>
    </row>
    <row r="13" spans="2:27" x14ac:dyDescent="0.35">
      <c r="B13" s="220" t="s">
        <v>53</v>
      </c>
      <c r="C13" s="220"/>
      <c r="D13" s="12"/>
      <c r="E13" s="17">
        <v>45838</v>
      </c>
      <c r="F13" s="10"/>
      <c r="G13" s="229" t="s">
        <v>8</v>
      </c>
      <c r="H13" s="229"/>
      <c r="I13" s="229"/>
      <c r="J13" s="233">
        <v>754.36800000000005</v>
      </c>
      <c r="K13" s="234"/>
      <c r="L13" s="233">
        <v>874.91700000000003</v>
      </c>
      <c r="M13" s="234"/>
      <c r="N13" s="233">
        <v>822.72799999999995</v>
      </c>
      <c r="O13" s="234"/>
      <c r="P13" s="253">
        <v>434.52499999999998</v>
      </c>
      <c r="Q13" s="254"/>
      <c r="R13" s="255">
        <v>387.31299999999999</v>
      </c>
      <c r="S13" s="254"/>
      <c r="T13" s="230">
        <f>IFERROR(N13+R13-P13," -        ")</f>
        <v>775.51599999999996</v>
      </c>
      <c r="U13" s="230"/>
      <c r="V13" s="10"/>
      <c r="W13" s="220" t="s">
        <v>54</v>
      </c>
      <c r="X13" s="220"/>
      <c r="Y13" s="220"/>
      <c r="Z13" s="16">
        <v>41.634999999999998</v>
      </c>
      <c r="AA13" s="16">
        <v>36.447000000000003</v>
      </c>
    </row>
    <row r="14" spans="2:27" ht="14.5" customHeight="1" x14ac:dyDescent="0.35">
      <c r="B14" s="249" t="s">
        <v>55</v>
      </c>
      <c r="C14" s="249"/>
      <c r="D14" s="249"/>
      <c r="E14" s="42">
        <v>0</v>
      </c>
      <c r="F14" s="10"/>
      <c r="G14" s="220" t="s">
        <v>56</v>
      </c>
      <c r="H14" s="229"/>
      <c r="I14" s="229"/>
      <c r="J14" s="233">
        <v>303.697</v>
      </c>
      <c r="K14" s="234"/>
      <c r="L14" s="233">
        <v>398.24599999999998</v>
      </c>
      <c r="M14" s="233"/>
      <c r="N14" s="233">
        <v>358.40600000000001</v>
      </c>
      <c r="O14" s="234"/>
      <c r="P14" s="235">
        <v>187.839</v>
      </c>
      <c r="Q14" s="234"/>
      <c r="R14" s="233">
        <v>162.536</v>
      </c>
      <c r="S14" s="234"/>
      <c r="T14" s="230">
        <f t="shared" ref="T14:T29" si="0">IFERROR(N14+R14-P14," -        ")</f>
        <v>333.10300000000001</v>
      </c>
      <c r="U14" s="230"/>
      <c r="V14" s="10"/>
      <c r="W14" s="220" t="s">
        <v>57</v>
      </c>
      <c r="X14" s="220"/>
      <c r="Y14" s="220"/>
      <c r="Z14" s="16">
        <f>5.085+15.738+14.047</f>
        <v>34.870000000000005</v>
      </c>
      <c r="AA14" s="16">
        <f>30.712+11.199</f>
        <v>41.911000000000001</v>
      </c>
    </row>
    <row r="15" spans="2:27" x14ac:dyDescent="0.35">
      <c r="B15" s="220" t="s">
        <v>58</v>
      </c>
      <c r="C15" s="220"/>
      <c r="D15" s="12"/>
      <c r="E15" s="11" t="s">
        <v>240</v>
      </c>
      <c r="F15" s="10"/>
      <c r="G15" s="220" t="s">
        <v>60</v>
      </c>
      <c r="H15" s="220"/>
      <c r="I15" s="220"/>
      <c r="J15" s="230">
        <f>IFERROR(J13-J14," -        ")</f>
        <v>450.67100000000005</v>
      </c>
      <c r="K15" s="230"/>
      <c r="L15" s="230">
        <f t="shared" ref="L15" si="1">IFERROR(L13-L14," -        ")</f>
        <v>476.67100000000005</v>
      </c>
      <c r="M15" s="230"/>
      <c r="N15" s="230">
        <f t="shared" ref="N15" si="2">IFERROR(N13-N14," -        ")</f>
        <v>464.32199999999995</v>
      </c>
      <c r="O15" s="230"/>
      <c r="P15" s="231">
        <f>IFERROR(P13-P14," -        ")</f>
        <v>246.68599999999998</v>
      </c>
      <c r="Q15" s="230"/>
      <c r="R15" s="230">
        <f t="shared" ref="R15" si="3">IFERROR(R13-R14," -        ")</f>
        <v>224.77699999999999</v>
      </c>
      <c r="S15" s="232"/>
      <c r="T15" s="230">
        <f t="shared" si="0"/>
        <v>442.41299999999995</v>
      </c>
      <c r="U15" s="230"/>
      <c r="V15" s="10"/>
      <c r="W15" s="220" t="s">
        <v>61</v>
      </c>
      <c r="X15" s="220"/>
      <c r="Y15" s="220"/>
      <c r="Z15" s="20">
        <f>IFERROR(Z11+Z12+Z13+Z14," -        ")</f>
        <v>294.00099999999998</v>
      </c>
      <c r="AA15" s="20">
        <f>IFERROR(AA11+AA12+AA13+AA14," -        ")</f>
        <v>304.15100000000001</v>
      </c>
    </row>
    <row r="16" spans="2:27" x14ac:dyDescent="0.35">
      <c r="B16" s="220" t="s">
        <v>62</v>
      </c>
      <c r="C16" s="220"/>
      <c r="D16" s="12"/>
      <c r="E16" s="21" t="s">
        <v>241</v>
      </c>
      <c r="F16" s="10"/>
      <c r="G16" s="220" t="s">
        <v>64</v>
      </c>
      <c r="H16" s="220"/>
      <c r="I16" s="220"/>
      <c r="J16" s="233">
        <v>142.405</v>
      </c>
      <c r="K16" s="234"/>
      <c r="L16" s="233">
        <v>151.19999999999999</v>
      </c>
      <c r="M16" s="234"/>
      <c r="N16" s="233">
        <v>107.958</v>
      </c>
      <c r="O16" s="234"/>
      <c r="P16" s="235">
        <v>67.768000000000001</v>
      </c>
      <c r="Q16" s="234"/>
      <c r="R16" s="233">
        <v>36.475000000000001</v>
      </c>
      <c r="S16" s="236"/>
      <c r="T16" s="230">
        <f t="shared" si="0"/>
        <v>76.664999999999992</v>
      </c>
      <c r="U16" s="230"/>
      <c r="V16" s="10"/>
      <c r="W16" s="220"/>
      <c r="X16" s="220"/>
      <c r="Y16" s="220"/>
      <c r="Z16" s="20"/>
      <c r="AA16" s="20"/>
    </row>
    <row r="17" spans="2:27" x14ac:dyDescent="0.35">
      <c r="B17" s="220" t="s">
        <v>66</v>
      </c>
      <c r="C17" s="220"/>
      <c r="D17" s="12"/>
      <c r="E17" s="22">
        <v>0.38</v>
      </c>
      <c r="F17" s="10"/>
      <c r="G17" s="220" t="s">
        <v>67</v>
      </c>
      <c r="H17" s="220"/>
      <c r="I17" s="220"/>
      <c r="J17" s="233">
        <f>332.069-J16</f>
        <v>189.66400000000002</v>
      </c>
      <c r="K17" s="234"/>
      <c r="L17" s="233">
        <f>397.969-L16</f>
        <v>246.76900000000001</v>
      </c>
      <c r="M17" s="234"/>
      <c r="N17" s="233">
        <f>348.644-N16</f>
        <v>240.68600000000001</v>
      </c>
      <c r="O17" s="234"/>
      <c r="P17" s="235">
        <f>193.578-P16</f>
        <v>125.81</v>
      </c>
      <c r="Q17" s="234"/>
      <c r="R17" s="233">
        <f>164.326-R16</f>
        <v>127.851</v>
      </c>
      <c r="S17" s="236"/>
      <c r="T17" s="230">
        <f t="shared" si="0"/>
        <v>242.72700000000003</v>
      </c>
      <c r="U17" s="230"/>
      <c r="V17" s="10"/>
      <c r="W17" s="220" t="s">
        <v>68</v>
      </c>
      <c r="X17" s="220"/>
      <c r="Y17" s="220"/>
      <c r="Z17" s="16">
        <v>867.34100000000001</v>
      </c>
      <c r="AA17" s="16">
        <v>880.36400000000003</v>
      </c>
    </row>
    <row r="18" spans="2:27" x14ac:dyDescent="0.35">
      <c r="B18" s="10"/>
      <c r="C18" s="10"/>
      <c r="D18" s="10"/>
      <c r="E18" s="10"/>
      <c r="F18" s="10"/>
      <c r="G18" s="220" t="s">
        <v>69</v>
      </c>
      <c r="H18" s="220"/>
      <c r="I18" s="220"/>
      <c r="J18" s="248">
        <f>IFERROR(J15-J16-J17," -        ")</f>
        <v>118.60200000000006</v>
      </c>
      <c r="K18" s="230"/>
      <c r="L18" s="248">
        <f>IFERROR(L15-L16-L17," -        ")</f>
        <v>78.702000000000055</v>
      </c>
      <c r="M18" s="230"/>
      <c r="N18" s="248">
        <f>IFERROR(N15-N16-N17," -        ")</f>
        <v>115.67799999999991</v>
      </c>
      <c r="O18" s="230"/>
      <c r="P18" s="231">
        <f>IFERROR(P15-P16-P17," -        ")</f>
        <v>53.107999999999976</v>
      </c>
      <c r="Q18" s="230"/>
      <c r="R18" s="230">
        <f>IFERROR(R15-R16-R17," -        ")</f>
        <v>60.450999999999993</v>
      </c>
      <c r="S18" s="232"/>
      <c r="T18" s="230">
        <f t="shared" si="0"/>
        <v>123.02099999999993</v>
      </c>
      <c r="U18" s="230"/>
      <c r="V18" s="10"/>
      <c r="W18" s="220" t="s">
        <v>70</v>
      </c>
      <c r="X18" s="220"/>
      <c r="Y18" s="220"/>
      <c r="Z18" s="16">
        <f>8.005+0.749</f>
        <v>8.7540000000000013</v>
      </c>
      <c r="AA18" s="16">
        <f>8.47</f>
        <v>8.4700000000000006</v>
      </c>
    </row>
    <row r="19" spans="2:27" ht="15" thickBot="1" x14ac:dyDescent="0.4">
      <c r="B19" s="8" t="s">
        <v>71</v>
      </c>
      <c r="C19" s="9"/>
      <c r="D19" s="9"/>
      <c r="E19" s="9"/>
      <c r="F19" s="10"/>
      <c r="G19" s="220" t="s">
        <v>72</v>
      </c>
      <c r="H19" s="220"/>
      <c r="I19" s="220"/>
      <c r="J19" s="233">
        <v>22.713000000000001</v>
      </c>
      <c r="K19" s="234"/>
      <c r="L19" s="233">
        <v>26.382000000000001</v>
      </c>
      <c r="M19" s="234"/>
      <c r="N19" s="233">
        <v>26.335999999999999</v>
      </c>
      <c r="O19" s="234"/>
      <c r="P19" s="235">
        <v>13.304</v>
      </c>
      <c r="Q19" s="234"/>
      <c r="R19" s="233">
        <v>14.331</v>
      </c>
      <c r="S19" s="236"/>
      <c r="T19" s="230">
        <f t="shared" si="0"/>
        <v>27.363</v>
      </c>
      <c r="U19" s="230"/>
      <c r="V19" s="10"/>
      <c r="W19" s="220" t="s">
        <v>73</v>
      </c>
      <c r="X19" s="220"/>
      <c r="Y19" s="220"/>
      <c r="Z19" s="16">
        <v>4.6619999999999999</v>
      </c>
      <c r="AA19" s="16">
        <v>4.6609999999999996</v>
      </c>
    </row>
    <row r="20" spans="2:27" ht="3.5" customHeight="1" x14ac:dyDescent="0.35">
      <c r="B20" s="2"/>
      <c r="C20" s="2"/>
      <c r="D20" s="2"/>
      <c r="E20" s="2"/>
      <c r="F20" s="10"/>
      <c r="G20" s="220"/>
      <c r="H20" s="220"/>
      <c r="I20" s="220"/>
      <c r="J20" s="244"/>
      <c r="K20" s="244"/>
      <c r="L20" s="244"/>
      <c r="M20" s="244"/>
      <c r="N20" s="244"/>
      <c r="O20" s="244"/>
      <c r="P20" s="245"/>
      <c r="Q20" s="244"/>
      <c r="R20" s="244"/>
      <c r="S20" s="246"/>
      <c r="T20" s="230">
        <f t="shared" si="0"/>
        <v>0</v>
      </c>
      <c r="U20" s="230"/>
      <c r="V20" s="10"/>
      <c r="W20" s="220"/>
      <c r="X20" s="220"/>
      <c r="Y20" s="12"/>
      <c r="Z20" s="20"/>
      <c r="AA20" s="20"/>
    </row>
    <row r="21" spans="2:27" x14ac:dyDescent="0.35">
      <c r="B21" s="220" t="s">
        <v>74</v>
      </c>
      <c r="C21" s="220"/>
      <c r="D21" s="23" cm="1">
        <f t="array" aca="1" ref="D21" ca="1">_FV(B2,"Last trade time",TRUE)</f>
        <v>45763.186226851853</v>
      </c>
      <c r="E21" s="24" cm="1">
        <f t="array" aca="1" ref="E21" ca="1">_FV(B2,"Price")</f>
        <v>0.73</v>
      </c>
      <c r="F21" s="10"/>
      <c r="G21" s="220" t="s">
        <v>75</v>
      </c>
      <c r="H21" s="220"/>
      <c r="I21" s="220"/>
      <c r="J21" s="230">
        <f>IFERROR(J18-J19," -        ")</f>
        <v>95.889000000000067</v>
      </c>
      <c r="K21" s="230"/>
      <c r="L21" s="230">
        <f t="shared" ref="L21" si="4">IFERROR(L18-L19," -        ")</f>
        <v>52.32000000000005</v>
      </c>
      <c r="M21" s="230"/>
      <c r="N21" s="230">
        <f t="shared" ref="N21" si="5">IFERROR(N18-N19," -        ")</f>
        <v>89.341999999999913</v>
      </c>
      <c r="O21" s="230"/>
      <c r="P21" s="231">
        <f t="shared" ref="P21" si="6">IFERROR(P18-P19," -        ")</f>
        <v>39.803999999999974</v>
      </c>
      <c r="Q21" s="230"/>
      <c r="R21" s="230">
        <f t="shared" ref="R21" si="7">IFERROR(R18-R19," -        ")</f>
        <v>46.11999999999999</v>
      </c>
      <c r="S21" s="232"/>
      <c r="T21" s="230">
        <f t="shared" si="0"/>
        <v>95.65799999999993</v>
      </c>
      <c r="U21" s="230"/>
      <c r="V21" s="10"/>
      <c r="W21" s="220" t="s">
        <v>76</v>
      </c>
      <c r="X21" s="220"/>
      <c r="Y21" s="220"/>
      <c r="Z21" s="20">
        <f>IFERROR(Z17+Z18+Z19+Z15," -       ")</f>
        <v>1174.758</v>
      </c>
      <c r="AA21" s="20">
        <f>IFERROR(AA17+AA18+AA19+AA15," -       ")</f>
        <v>1197.646</v>
      </c>
    </row>
    <row r="22" spans="2:27" x14ac:dyDescent="0.35">
      <c r="B22" s="220" t="s">
        <v>77</v>
      </c>
      <c r="C22" s="220"/>
      <c r="D22" s="25"/>
      <c r="E22" s="26">
        <f ca="1">IFERROR(E21/E23,"NA")</f>
        <v>0.73</v>
      </c>
      <c r="F22" s="10"/>
      <c r="G22" s="220" t="s">
        <v>78</v>
      </c>
      <c r="H22" s="220"/>
      <c r="I22" s="220"/>
      <c r="J22" s="233">
        <v>25.73</v>
      </c>
      <c r="K22" s="234"/>
      <c r="L22" s="233">
        <v>10.506</v>
      </c>
      <c r="M22" s="234"/>
      <c r="N22" s="233">
        <v>22.945</v>
      </c>
      <c r="O22" s="234"/>
      <c r="P22" s="235">
        <v>8.3249999999999993</v>
      </c>
      <c r="Q22" s="234"/>
      <c r="R22" s="233">
        <v>14.752000000000001</v>
      </c>
      <c r="S22" s="236"/>
      <c r="T22" s="230">
        <f t="shared" si="0"/>
        <v>29.372000000000003</v>
      </c>
      <c r="U22" s="230"/>
      <c r="V22" s="10"/>
      <c r="W22" s="220"/>
      <c r="X22" s="220"/>
      <c r="Y22" s="220"/>
      <c r="Z22" s="20"/>
      <c r="AA22" s="20"/>
    </row>
    <row r="23" spans="2:27" x14ac:dyDescent="0.35">
      <c r="B23" s="220" t="s">
        <v>79</v>
      </c>
      <c r="C23" s="220"/>
      <c r="D23" s="23" cm="1">
        <f t="array" aca="1" ref="D23" ca="1">_FV(B2,"Last trade time",TRUE)</f>
        <v>45763.186226851853</v>
      </c>
      <c r="E23" s="24" cm="1">
        <f t="array" aca="1" ref="E23" ca="1">_FV(B2,"52 week high",TRUE)</f>
        <v>1</v>
      </c>
      <c r="F23" s="10"/>
      <c r="G23" s="220" t="s">
        <v>80</v>
      </c>
      <c r="H23" s="220"/>
      <c r="I23" s="220"/>
      <c r="J23" s="233">
        <v>0</v>
      </c>
      <c r="K23" s="234"/>
      <c r="L23" s="233">
        <v>0</v>
      </c>
      <c r="M23" s="234"/>
      <c r="N23" s="233">
        <v>0</v>
      </c>
      <c r="O23" s="234"/>
      <c r="P23" s="235">
        <v>0</v>
      </c>
      <c r="Q23" s="234"/>
      <c r="R23" s="233">
        <v>0</v>
      </c>
      <c r="S23" s="236"/>
      <c r="T23" s="230">
        <f t="shared" si="0"/>
        <v>0</v>
      </c>
      <c r="U23" s="230"/>
      <c r="V23" s="10"/>
      <c r="W23" s="220" t="s">
        <v>81</v>
      </c>
      <c r="X23" s="220"/>
      <c r="Y23" s="220"/>
      <c r="Z23" s="16">
        <v>130.48500000000001</v>
      </c>
      <c r="AA23" s="16">
        <v>111.425</v>
      </c>
    </row>
    <row r="24" spans="2:27" x14ac:dyDescent="0.35">
      <c r="B24" s="220" t="s">
        <v>82</v>
      </c>
      <c r="C24" s="220"/>
      <c r="D24" s="23" cm="1">
        <f t="array" aca="1" ref="D24" ca="1">_FV(B2,"Last trade time",TRUE)</f>
        <v>45763.186226851853</v>
      </c>
      <c r="E24" s="24" cm="1">
        <f t="array" aca="1" ref="E24" ca="1">_FV(B2,"52 week low",TRUE)</f>
        <v>0.63</v>
      </c>
      <c r="F24" s="10"/>
      <c r="G24" s="220" t="s">
        <v>83</v>
      </c>
      <c r="H24" s="220"/>
      <c r="I24" s="220"/>
      <c r="J24" s="233">
        <v>0</v>
      </c>
      <c r="K24" s="234"/>
      <c r="L24" s="233">
        <v>0</v>
      </c>
      <c r="M24" s="234"/>
      <c r="N24" s="233">
        <v>0</v>
      </c>
      <c r="O24" s="234"/>
      <c r="P24" s="235">
        <v>0</v>
      </c>
      <c r="Q24" s="234"/>
      <c r="R24" s="233">
        <v>0</v>
      </c>
      <c r="S24" s="236"/>
      <c r="T24" s="230">
        <f t="shared" si="0"/>
        <v>0</v>
      </c>
      <c r="U24" s="230"/>
      <c r="V24" s="10"/>
      <c r="W24" s="220" t="s">
        <v>84</v>
      </c>
      <c r="X24" s="220"/>
      <c r="Y24" s="220"/>
      <c r="Z24" s="16">
        <v>53.551000000000002</v>
      </c>
      <c r="AA24" s="16">
        <v>54.427999999999997</v>
      </c>
    </row>
    <row r="25" spans="2:27" x14ac:dyDescent="0.35">
      <c r="B25" s="220" t="s">
        <v>85</v>
      </c>
      <c r="C25" s="220"/>
      <c r="D25" s="25"/>
      <c r="E25" s="43">
        <f>E14</f>
        <v>0</v>
      </c>
      <c r="F25" s="10"/>
      <c r="G25" s="220" t="s">
        <v>86</v>
      </c>
      <c r="H25" s="220"/>
      <c r="I25" s="220"/>
      <c r="J25" s="230">
        <f>IFERROR(J21-J22-J23-J24," -        ")</f>
        <v>70.159000000000063</v>
      </c>
      <c r="K25" s="230"/>
      <c r="L25" s="230">
        <f t="shared" ref="L25" si="8">IFERROR(L21-L22-L23-L24," -        ")</f>
        <v>41.81400000000005</v>
      </c>
      <c r="M25" s="230"/>
      <c r="N25" s="230">
        <f t="shared" ref="N25" si="9">IFERROR(N21-N22-N23-N24," -        ")</f>
        <v>66.396999999999906</v>
      </c>
      <c r="O25" s="230"/>
      <c r="P25" s="231">
        <f t="shared" ref="P25" si="10">IFERROR(P21-P22-P23-P24," -        ")</f>
        <v>31.478999999999974</v>
      </c>
      <c r="Q25" s="230"/>
      <c r="R25" s="230">
        <f t="shared" ref="R25" si="11">IFERROR(R21-R22-R23-R24," -        ")</f>
        <v>31.367999999999988</v>
      </c>
      <c r="S25" s="232"/>
      <c r="T25" s="230">
        <f t="shared" si="0"/>
        <v>66.28599999999993</v>
      </c>
      <c r="U25" s="230"/>
      <c r="V25" s="10"/>
      <c r="W25" s="220" t="s">
        <v>87</v>
      </c>
      <c r="X25" s="220"/>
      <c r="Y25" s="220"/>
      <c r="Z25" s="16">
        <v>11.78</v>
      </c>
      <c r="AA25" s="16">
        <v>10.44</v>
      </c>
    </row>
    <row r="26" spans="2:27" x14ac:dyDescent="0.35">
      <c r="B26" s="220"/>
      <c r="C26" s="220"/>
      <c r="D26" s="25"/>
      <c r="E26" s="25"/>
      <c r="F26" s="10"/>
      <c r="G26" s="220" t="s">
        <v>88</v>
      </c>
      <c r="H26" s="220"/>
      <c r="I26" s="220"/>
      <c r="J26" s="205">
        <f>IFERROR(J22/J21," -        ")</f>
        <v>0.26833109115748399</v>
      </c>
      <c r="K26" s="205"/>
      <c r="L26" s="205">
        <f t="shared" ref="L26" si="12">IFERROR(L22/L21," -        ")</f>
        <v>0.2008027522935778</v>
      </c>
      <c r="M26" s="205"/>
      <c r="N26" s="205">
        <f t="shared" ref="N26" si="13">IFERROR(N22/N21," -        ")</f>
        <v>0.25682209934857092</v>
      </c>
      <c r="O26" s="205"/>
      <c r="P26" s="216">
        <f t="shared" ref="P26" si="14">IFERROR(P22/P21," -        ")</f>
        <v>0.20914983418751895</v>
      </c>
      <c r="Q26" s="205"/>
      <c r="R26" s="205">
        <f t="shared" ref="R26" si="15">IFERROR(R22/R21," -        ")</f>
        <v>0.31986123156981794</v>
      </c>
      <c r="S26" s="217"/>
      <c r="T26" s="205">
        <f t="shared" si="0"/>
        <v>0.36753349673086988</v>
      </c>
      <c r="U26" s="205"/>
      <c r="V26" s="28"/>
      <c r="W26" s="247" t="s">
        <v>89</v>
      </c>
      <c r="X26" s="247"/>
      <c r="Y26" s="247"/>
      <c r="Z26" s="20">
        <f>IFERROR(Z23+Z24+Z25," -       ")</f>
        <v>195.816</v>
      </c>
      <c r="AA26" s="20">
        <f>IFERROR(AA23+AA24+AA25," -       ")</f>
        <v>176.29300000000001</v>
      </c>
    </row>
    <row r="27" spans="2:27" x14ac:dyDescent="0.35">
      <c r="B27" s="29" t="s">
        <v>90</v>
      </c>
      <c r="C27" s="29"/>
      <c r="D27" s="25"/>
      <c r="E27" s="30">
        <f>T28</f>
        <v>524.64326800000003</v>
      </c>
      <c r="F27" s="10"/>
      <c r="G27" s="220"/>
      <c r="H27" s="220"/>
      <c r="I27" s="220"/>
      <c r="J27" s="244"/>
      <c r="K27" s="244"/>
      <c r="L27" s="244"/>
      <c r="M27" s="244"/>
      <c r="N27" s="244"/>
      <c r="O27" s="244"/>
      <c r="P27" s="245"/>
      <c r="Q27" s="244"/>
      <c r="R27" s="244"/>
      <c r="S27" s="246"/>
      <c r="T27" s="230"/>
      <c r="U27" s="230"/>
      <c r="V27" s="10"/>
      <c r="W27" s="220"/>
      <c r="X27" s="220"/>
      <c r="Y27" s="220"/>
      <c r="Z27" s="20"/>
      <c r="AA27" s="20"/>
    </row>
    <row r="28" spans="2:27" x14ac:dyDescent="0.35">
      <c r="B28" s="229" t="s">
        <v>91</v>
      </c>
      <c r="C28" s="229"/>
      <c r="D28" s="25"/>
      <c r="E28" s="30">
        <f ca="1">IFERROR(E27*E21," -       ")</f>
        <v>382.98958564000003</v>
      </c>
      <c r="F28" s="10"/>
      <c r="G28" s="220" t="s">
        <v>92</v>
      </c>
      <c r="H28" s="220"/>
      <c r="I28" s="220"/>
      <c r="J28" s="233">
        <v>544.09799999999996</v>
      </c>
      <c r="K28" s="234"/>
      <c r="L28" s="233">
        <v>526.24699999999996</v>
      </c>
      <c r="M28" s="234"/>
      <c r="N28" s="233">
        <v>524.64326800000003</v>
      </c>
      <c r="O28" s="234"/>
      <c r="P28" s="235">
        <v>527.28260799999998</v>
      </c>
      <c r="Q28" s="234"/>
      <c r="R28" s="233">
        <v>528.00314400000002</v>
      </c>
      <c r="S28" s="236"/>
      <c r="T28" s="230">
        <v>524.64326800000003</v>
      </c>
      <c r="U28" s="230"/>
      <c r="V28" s="10"/>
      <c r="W28" s="220" t="s">
        <v>93</v>
      </c>
      <c r="X28" s="220"/>
      <c r="Y28" s="220"/>
      <c r="Z28" s="16">
        <v>305.185</v>
      </c>
      <c r="AA28" s="16">
        <v>297.94900000000001</v>
      </c>
    </row>
    <row r="29" spans="2:27" ht="15" thickBot="1" x14ac:dyDescent="0.4">
      <c r="B29" s="220"/>
      <c r="C29" s="220"/>
      <c r="D29" s="25"/>
      <c r="E29" s="30"/>
      <c r="F29" s="10"/>
      <c r="G29" s="220" t="s">
        <v>94</v>
      </c>
      <c r="H29" s="220"/>
      <c r="I29" s="220"/>
      <c r="J29" s="230">
        <f>IFERROR(J25/J28," -        ")</f>
        <v>0.12894552084367167</v>
      </c>
      <c r="K29" s="230"/>
      <c r="L29" s="230">
        <f t="shared" ref="L29" si="16">IFERROR(L25/L28," -        ")</f>
        <v>7.9456985027943253E-2</v>
      </c>
      <c r="M29" s="230"/>
      <c r="N29" s="230">
        <f>IFERROR(N25/N28," -        ")</f>
        <v>0.12655646998600181</v>
      </c>
      <c r="O29" s="230"/>
      <c r="P29" s="241">
        <f t="shared" ref="P29" si="17">IFERROR(P25/P28," -        ")</f>
        <v>5.9700432979196569E-2</v>
      </c>
      <c r="Q29" s="242"/>
      <c r="R29" s="242">
        <f t="shared" ref="R29" si="18">IFERROR(R25/R28," -        ")</f>
        <v>5.9408737157065086E-2</v>
      </c>
      <c r="S29" s="243"/>
      <c r="T29" s="230">
        <f t="shared" si="0"/>
        <v>0.12626477416387033</v>
      </c>
      <c r="U29" s="230"/>
      <c r="V29" s="10"/>
      <c r="W29" s="220" t="s">
        <v>95</v>
      </c>
      <c r="X29" s="220"/>
      <c r="Y29" s="220"/>
      <c r="Z29" s="16">
        <v>36.515999999999998</v>
      </c>
      <c r="AA29" s="16">
        <v>51.3</v>
      </c>
    </row>
    <row r="30" spans="2:27" x14ac:dyDescent="0.35">
      <c r="B30" s="220" t="s">
        <v>96</v>
      </c>
      <c r="C30" s="220"/>
      <c r="D30" s="25"/>
      <c r="E30" s="30">
        <f>IF(SUM(AA24,AA28)=0," -       ",SUM(AA24,AA28))</f>
        <v>352.37700000000001</v>
      </c>
      <c r="F30" s="10"/>
      <c r="G30" s="10"/>
      <c r="H30" s="10"/>
      <c r="I30" s="10"/>
      <c r="J30" s="10"/>
      <c r="K30" s="10"/>
      <c r="L30" s="10"/>
      <c r="M30" s="10"/>
      <c r="N30" s="10"/>
      <c r="O30" s="10"/>
      <c r="P30" s="10"/>
      <c r="Q30" s="10"/>
      <c r="R30" s="10"/>
      <c r="S30" s="10"/>
      <c r="T30" s="10"/>
      <c r="U30" s="10"/>
      <c r="V30" s="10"/>
      <c r="W30" s="229" t="s">
        <v>97</v>
      </c>
      <c r="X30" s="229"/>
      <c r="Y30" s="229"/>
      <c r="Z30" s="20">
        <f>IFERROR(Z26+Z28+Z29," -       ")</f>
        <v>537.51699999999994</v>
      </c>
      <c r="AA30" s="20">
        <f>IFERROR(AA26+AA28+AA29," -       ")</f>
        <v>525.54200000000003</v>
      </c>
    </row>
    <row r="31" spans="2:27" x14ac:dyDescent="0.35">
      <c r="B31" s="220" t="s">
        <v>98</v>
      </c>
      <c r="C31" s="220"/>
      <c r="D31" s="25"/>
      <c r="E31" s="30">
        <f>AA33</f>
        <v>0</v>
      </c>
      <c r="F31" s="10"/>
      <c r="G31" s="10"/>
      <c r="H31" s="10"/>
      <c r="I31" s="10"/>
      <c r="J31" s="10"/>
      <c r="K31" s="10"/>
      <c r="L31" s="10"/>
      <c r="M31" s="10"/>
      <c r="N31" s="10"/>
      <c r="O31" s="10"/>
      <c r="P31" s="10"/>
      <c r="Q31" s="10"/>
      <c r="R31" s="10"/>
      <c r="S31" s="10"/>
      <c r="T31" s="10"/>
      <c r="U31" s="10"/>
      <c r="V31" s="10"/>
      <c r="W31" s="220"/>
      <c r="X31" s="220"/>
      <c r="Y31" s="220"/>
      <c r="Z31" s="20"/>
      <c r="AA31" s="20"/>
    </row>
    <row r="32" spans="2:27" ht="15" thickBot="1" x14ac:dyDescent="0.4">
      <c r="B32" s="220" t="s">
        <v>99</v>
      </c>
      <c r="C32" s="220"/>
      <c r="D32" s="25"/>
      <c r="E32" s="30">
        <f>AA32</f>
        <v>0</v>
      </c>
      <c r="F32" s="10"/>
      <c r="G32" s="1" t="s">
        <v>100</v>
      </c>
      <c r="H32" s="2"/>
      <c r="I32" s="2"/>
      <c r="J32" s="2"/>
      <c r="K32" s="2"/>
      <c r="L32" s="2"/>
      <c r="M32" s="2"/>
      <c r="N32" s="2"/>
      <c r="O32" s="2"/>
      <c r="P32" s="2"/>
      <c r="Q32" s="2"/>
      <c r="R32" s="2"/>
      <c r="S32" s="2"/>
      <c r="T32" s="2"/>
      <c r="U32" s="2"/>
      <c r="V32" s="10"/>
      <c r="W32" s="220" t="s">
        <v>101</v>
      </c>
      <c r="X32" s="220"/>
      <c r="Y32" s="220"/>
      <c r="Z32" s="16">
        <v>0</v>
      </c>
      <c r="AA32" s="16">
        <v>0</v>
      </c>
    </row>
    <row r="33" spans="2:27" x14ac:dyDescent="0.35">
      <c r="B33" s="29" t="s">
        <v>102</v>
      </c>
      <c r="C33" s="29"/>
      <c r="D33" s="25"/>
      <c r="E33" s="30">
        <f>Z11</f>
        <v>78.265000000000001</v>
      </c>
      <c r="F33" s="10"/>
      <c r="G33" s="220" t="s">
        <v>103</v>
      </c>
      <c r="H33" s="220"/>
      <c r="I33" s="220"/>
      <c r="J33" s="230">
        <f>J15</f>
        <v>450.67100000000005</v>
      </c>
      <c r="K33" s="230"/>
      <c r="L33" s="230">
        <f t="shared" ref="L33" si="19">L15</f>
        <v>476.67100000000005</v>
      </c>
      <c r="M33" s="230"/>
      <c r="N33" s="230">
        <f t="shared" ref="N33" si="20">N15</f>
        <v>464.32199999999995</v>
      </c>
      <c r="O33" s="230"/>
      <c r="P33" s="238">
        <f t="shared" ref="P33" si="21">P15</f>
        <v>246.68599999999998</v>
      </c>
      <c r="Q33" s="239"/>
      <c r="R33" s="239">
        <f t="shared" ref="R33" si="22">R15</f>
        <v>224.77699999999999</v>
      </c>
      <c r="S33" s="240"/>
      <c r="T33" s="230">
        <f t="shared" ref="T33:T59" si="23">IFERROR(N33+R33-P33," -        ")</f>
        <v>442.41299999999995</v>
      </c>
      <c r="U33" s="230"/>
      <c r="V33" s="10"/>
      <c r="W33" s="220" t="s">
        <v>104</v>
      </c>
      <c r="X33" s="220"/>
      <c r="Y33" s="220"/>
      <c r="Z33" s="16">
        <v>0</v>
      </c>
      <c r="AA33" s="16">
        <v>0</v>
      </c>
    </row>
    <row r="34" spans="2:27" x14ac:dyDescent="0.35">
      <c r="B34" s="229" t="s">
        <v>105</v>
      </c>
      <c r="C34" s="229"/>
      <c r="D34" s="25"/>
      <c r="E34" s="30">
        <f ca="1">IFERROR(E28+E30+E31+E32-E33,"-       ")</f>
        <v>657.10158564000005</v>
      </c>
      <c r="F34" s="10"/>
      <c r="G34" s="220" t="s">
        <v>106</v>
      </c>
      <c r="H34" s="220"/>
      <c r="I34" s="220"/>
      <c r="J34" s="233">
        <v>0</v>
      </c>
      <c r="K34" s="234"/>
      <c r="L34" s="233">
        <v>0</v>
      </c>
      <c r="M34" s="234"/>
      <c r="N34" s="233">
        <v>0</v>
      </c>
      <c r="O34" s="234"/>
      <c r="P34" s="235">
        <v>0</v>
      </c>
      <c r="Q34" s="234"/>
      <c r="R34" s="233">
        <v>0</v>
      </c>
      <c r="S34" s="236"/>
      <c r="T34" s="230">
        <f t="shared" si="23"/>
        <v>0</v>
      </c>
      <c r="U34" s="230"/>
      <c r="V34" s="10"/>
      <c r="W34" s="220" t="s">
        <v>107</v>
      </c>
      <c r="X34" s="220"/>
      <c r="Y34" s="220"/>
      <c r="Z34" s="16">
        <v>637.24</v>
      </c>
      <c r="AA34" s="16">
        <v>672.09900000000005</v>
      </c>
    </row>
    <row r="35" spans="2:27" x14ac:dyDescent="0.35">
      <c r="B35" s="10"/>
      <c r="C35" s="10"/>
      <c r="D35" s="10"/>
      <c r="E35" s="10"/>
      <c r="F35" s="10"/>
      <c r="G35" s="220" t="s">
        <v>108</v>
      </c>
      <c r="H35" s="220"/>
      <c r="I35" s="220"/>
      <c r="J35" s="230">
        <f>IFERROR(J33+J34," -        ")</f>
        <v>450.67100000000005</v>
      </c>
      <c r="K35" s="230"/>
      <c r="L35" s="230">
        <f t="shared" ref="L35" si="24">IFERROR(L33+L34," -        ")</f>
        <v>476.67100000000005</v>
      </c>
      <c r="M35" s="230"/>
      <c r="N35" s="230">
        <f t="shared" ref="N35" si="25">IFERROR(N33+N34," -        ")</f>
        <v>464.32199999999995</v>
      </c>
      <c r="O35" s="230"/>
      <c r="P35" s="231">
        <f t="shared" ref="P35" si="26">IFERROR(P33+P34," -        ")</f>
        <v>246.68599999999998</v>
      </c>
      <c r="Q35" s="230"/>
      <c r="R35" s="230">
        <f t="shared" ref="R35" si="27">IFERROR(R33+R34," -        ")</f>
        <v>224.77699999999999</v>
      </c>
      <c r="S35" s="232"/>
      <c r="T35" s="230">
        <f t="shared" si="23"/>
        <v>442.41299999999995</v>
      </c>
      <c r="U35" s="230"/>
      <c r="V35" s="10"/>
      <c r="W35" s="220" t="s">
        <v>109</v>
      </c>
      <c r="X35" s="220"/>
      <c r="Y35" s="220"/>
      <c r="Z35" s="20">
        <f>IFERROR(Z30+Z32+Z33+Z34," -       ")</f>
        <v>1174.7570000000001</v>
      </c>
      <c r="AA35" s="20">
        <f>IFERROR(AA30+AA32+AA33+AA34," -       ")</f>
        <v>1197.6410000000001</v>
      </c>
    </row>
    <row r="36" spans="2:27" ht="15" thickBot="1" x14ac:dyDescent="0.4">
      <c r="B36" s="8" t="s">
        <v>110</v>
      </c>
      <c r="C36" s="9"/>
      <c r="D36" s="9"/>
      <c r="E36" s="9"/>
      <c r="F36" s="10"/>
      <c r="G36" s="220" t="s">
        <v>111</v>
      </c>
      <c r="H36" s="220"/>
      <c r="I36" s="220"/>
      <c r="J36" s="205">
        <f>IFERROR(J35/J13," -        ")</f>
        <v>0.59741531984389584</v>
      </c>
      <c r="K36" s="205"/>
      <c r="L36" s="205">
        <f t="shared" ref="L36" si="28">IFERROR(L35/L13," -        ")</f>
        <v>0.54481853707265948</v>
      </c>
      <c r="M36" s="205"/>
      <c r="N36" s="205">
        <f t="shared" ref="N36" si="29">IFERROR(N35/N13," -        ")</f>
        <v>0.56436878287842396</v>
      </c>
      <c r="O36" s="205"/>
      <c r="P36" s="216">
        <f t="shared" ref="P36" si="30">IFERROR(P35/P13," -        ")</f>
        <v>0.56771417064610785</v>
      </c>
      <c r="Q36" s="205"/>
      <c r="R36" s="205">
        <f t="shared" ref="R36" si="31">IFERROR(R35/R13," -        ")</f>
        <v>0.58034974297273778</v>
      </c>
      <c r="S36" s="217"/>
      <c r="T36" s="205">
        <f t="shared" si="23"/>
        <v>0.577004355205054</v>
      </c>
      <c r="U36" s="205"/>
      <c r="V36" s="10"/>
      <c r="W36" s="237" t="s">
        <v>112</v>
      </c>
      <c r="X36" s="237"/>
      <c r="Y36" s="237"/>
      <c r="Z36" s="20">
        <f>IFERROR(Z21-Z35," -       ")</f>
        <v>9.9999999997635314E-4</v>
      </c>
      <c r="AA36" s="20">
        <f>IFERROR(AA21-AA35," -       ")</f>
        <v>4.9999999998817657E-3</v>
      </c>
    </row>
    <row r="37" spans="2:27" ht="3" customHeight="1" x14ac:dyDescent="0.35">
      <c r="B37" s="2"/>
      <c r="C37" s="2"/>
      <c r="D37" s="2"/>
      <c r="E37" s="2"/>
      <c r="F37" s="10"/>
      <c r="G37" s="220"/>
      <c r="H37" s="220"/>
      <c r="I37" s="220"/>
      <c r="J37" s="224"/>
      <c r="K37" s="224"/>
      <c r="L37" s="224"/>
      <c r="M37" s="224"/>
      <c r="N37" s="224"/>
      <c r="O37" s="224"/>
      <c r="P37" s="227"/>
      <c r="Q37" s="224"/>
      <c r="R37" s="224"/>
      <c r="S37" s="228"/>
      <c r="T37" s="224">
        <f t="shared" si="23"/>
        <v>0</v>
      </c>
      <c r="U37" s="224"/>
      <c r="V37" s="10"/>
      <c r="W37" s="10"/>
      <c r="X37" s="10"/>
      <c r="Y37" s="10"/>
      <c r="Z37" s="10"/>
      <c r="AA37" s="10"/>
    </row>
    <row r="38" spans="2:27" x14ac:dyDescent="0.35">
      <c r="B38" s="12"/>
      <c r="C38" s="13" t="s">
        <v>3</v>
      </c>
      <c r="D38" s="13" t="s">
        <v>113</v>
      </c>
      <c r="E38" s="13" t="s">
        <v>114</v>
      </c>
      <c r="F38" s="10"/>
      <c r="G38" s="220"/>
      <c r="H38" s="220"/>
      <c r="I38" s="220"/>
      <c r="J38" s="213"/>
      <c r="K38" s="213"/>
      <c r="L38" s="213"/>
      <c r="M38" s="213"/>
      <c r="N38" s="213"/>
      <c r="O38" s="213"/>
      <c r="P38" s="225"/>
      <c r="Q38" s="213"/>
      <c r="R38" s="213"/>
      <c r="S38" s="226"/>
      <c r="T38" s="213"/>
      <c r="U38" s="213"/>
      <c r="V38" s="10"/>
      <c r="W38" s="10"/>
      <c r="X38" s="10"/>
      <c r="Y38" s="10"/>
      <c r="Z38" s="10"/>
      <c r="AA38" s="10"/>
    </row>
    <row r="39" spans="2:27" x14ac:dyDescent="0.35">
      <c r="B39" s="12"/>
      <c r="C39" s="14">
        <v>45747</v>
      </c>
      <c r="D39" s="13" t="s">
        <v>115</v>
      </c>
      <c r="E39" s="13" t="s">
        <v>116</v>
      </c>
      <c r="F39" s="10"/>
      <c r="G39" s="220" t="s">
        <v>117</v>
      </c>
      <c r="H39" s="220"/>
      <c r="I39" s="220"/>
      <c r="J39" s="230">
        <f>J18</f>
        <v>118.60200000000006</v>
      </c>
      <c r="K39" s="230"/>
      <c r="L39" s="230">
        <f t="shared" ref="L39" si="32">L18</f>
        <v>78.702000000000055</v>
      </c>
      <c r="M39" s="230"/>
      <c r="N39" s="230">
        <f t="shared" ref="N39" si="33">N18</f>
        <v>115.67799999999991</v>
      </c>
      <c r="O39" s="230"/>
      <c r="P39" s="231">
        <f t="shared" ref="P39" si="34">P18</f>
        <v>53.107999999999976</v>
      </c>
      <c r="Q39" s="230"/>
      <c r="R39" s="230">
        <f t="shared" ref="R39" si="35">R18</f>
        <v>60.450999999999993</v>
      </c>
      <c r="S39" s="232"/>
      <c r="T39" s="230">
        <f t="shared" si="23"/>
        <v>123.02099999999993</v>
      </c>
      <c r="U39" s="230"/>
      <c r="V39" s="10"/>
      <c r="W39" s="1" t="s">
        <v>196</v>
      </c>
      <c r="X39" s="2"/>
      <c r="Y39" s="2"/>
      <c r="Z39" s="2"/>
      <c r="AA39" s="2"/>
    </row>
    <row r="40" spans="2:27" x14ac:dyDescent="0.35">
      <c r="B40" s="12" t="s">
        <v>119</v>
      </c>
      <c r="C40" s="20">
        <f ca="1">IFERROR($E$34/C41,"NA")</f>
        <v>0.84730887001686628</v>
      </c>
      <c r="D40" s="20">
        <f t="shared" ref="D40:E40" ca="1" si="36">IFERROR($E$34/D41,"NA")</f>
        <v>0.70962799124755538</v>
      </c>
      <c r="E40" s="20">
        <f t="shared" ca="1" si="36"/>
        <v>0.6305002143470062</v>
      </c>
      <c r="F40" s="10"/>
      <c r="G40" s="220" t="s">
        <v>106</v>
      </c>
      <c r="H40" s="220"/>
      <c r="I40" s="220"/>
      <c r="J40" s="230">
        <f>J34</f>
        <v>0</v>
      </c>
      <c r="K40" s="230"/>
      <c r="L40" s="230">
        <f t="shared" ref="L40" si="37">L34</f>
        <v>0</v>
      </c>
      <c r="M40" s="230"/>
      <c r="N40" s="230">
        <f t="shared" ref="N40" si="38">N34</f>
        <v>0</v>
      </c>
      <c r="O40" s="230"/>
      <c r="P40" s="231">
        <f t="shared" ref="P40" si="39">P34</f>
        <v>0</v>
      </c>
      <c r="Q40" s="230"/>
      <c r="R40" s="230">
        <f t="shared" ref="R40" si="40">R34</f>
        <v>0</v>
      </c>
      <c r="S40" s="232"/>
      <c r="T40" s="230">
        <f t="shared" si="23"/>
        <v>0</v>
      </c>
      <c r="U40" s="230"/>
      <c r="V40" s="10"/>
      <c r="W40" s="220" t="s">
        <v>120</v>
      </c>
      <c r="X40" s="220"/>
      <c r="Y40" s="220"/>
      <c r="Z40" s="12"/>
      <c r="AA40" s="16" t="s">
        <v>197</v>
      </c>
    </row>
    <row r="41" spans="2:27" x14ac:dyDescent="0.35">
      <c r="B41" s="12" t="s">
        <v>121</v>
      </c>
      <c r="C41" s="20">
        <f>IF(T13=0," -       ",T13)</f>
        <v>775.51599999999996</v>
      </c>
      <c r="D41" s="16">
        <f>IFERROR($N$13*(1+12.55%)," -        ")</f>
        <v>925.98036399999989</v>
      </c>
      <c r="E41" s="16">
        <f>IFERROR($N$13*(1+12.55%)^2," -        ")</f>
        <v>1042.1908996819998</v>
      </c>
      <c r="F41" s="10"/>
      <c r="G41" s="220" t="s">
        <v>122</v>
      </c>
      <c r="H41" s="220"/>
      <c r="I41" s="220"/>
      <c r="J41" s="233">
        <f>0.164-0.436-1.472</f>
        <v>-1.744</v>
      </c>
      <c r="K41" s="234"/>
      <c r="L41" s="233">
        <f>0.67-0.052-1.546</f>
        <v>-0.92800000000000005</v>
      </c>
      <c r="M41" s="234"/>
      <c r="N41" s="233">
        <f>1.795-0.223-1.057</f>
        <v>0.5149999999999999</v>
      </c>
      <c r="O41" s="234"/>
      <c r="P41" s="235">
        <f>0.677-0.168+1.286</f>
        <v>1.7949999999999999</v>
      </c>
      <c r="Q41" s="234"/>
      <c r="R41" s="233">
        <f>1.02+0.301+1.203</f>
        <v>2.524</v>
      </c>
      <c r="S41" s="236"/>
      <c r="T41" s="230">
        <f t="shared" si="23"/>
        <v>1.2439999999999998</v>
      </c>
      <c r="U41" s="230"/>
      <c r="V41" s="10"/>
      <c r="W41" s="220" t="s">
        <v>123</v>
      </c>
      <c r="X41" s="220"/>
      <c r="Y41" s="220"/>
      <c r="Z41" s="220"/>
      <c r="AA41" s="20" t="str">
        <f ca="1">Z56</f>
        <v xml:space="preserve">-       </v>
      </c>
    </row>
    <row r="42" spans="2:27" x14ac:dyDescent="0.35">
      <c r="B42" s="12" t="s">
        <v>124</v>
      </c>
      <c r="C42" s="20">
        <f ca="1">IFERROR($E$34/C43,"NA")</f>
        <v>2.498238142388967</v>
      </c>
      <c r="D42" s="20">
        <f ca="1">IFERROR($E$34/D43,"NA")</f>
        <v>2.3869081840535293</v>
      </c>
      <c r="E42" s="20">
        <f ca="1">IFERROR($E$34/E43,"NA")</f>
        <v>2.200320966126041</v>
      </c>
      <c r="F42" s="10"/>
      <c r="G42" s="220" t="s">
        <v>125</v>
      </c>
      <c r="H42" s="220"/>
      <c r="I42" s="220"/>
      <c r="J42" s="213">
        <f>IFERROR(J39+J40+J41," -        ")</f>
        <v>116.85800000000006</v>
      </c>
      <c r="K42" s="213"/>
      <c r="L42" s="213">
        <f t="shared" ref="L42" si="41">IFERROR(L39+L40+L41," -        ")</f>
        <v>77.774000000000058</v>
      </c>
      <c r="M42" s="213"/>
      <c r="N42" s="213">
        <f t="shared" ref="N42" si="42">IFERROR(N39+N40+N41," -        ")</f>
        <v>116.19299999999991</v>
      </c>
      <c r="O42" s="213"/>
      <c r="P42" s="225">
        <f t="shared" ref="P42" si="43">IFERROR(P39+P40+P41," -        ")</f>
        <v>54.902999999999977</v>
      </c>
      <c r="Q42" s="213"/>
      <c r="R42" s="213">
        <f t="shared" ref="R42" si="44">IFERROR(R39+R40+R41," -        ")</f>
        <v>62.974999999999994</v>
      </c>
      <c r="S42" s="226"/>
      <c r="T42" s="213">
        <f t="shared" si="23"/>
        <v>124.26499999999992</v>
      </c>
      <c r="U42" s="213"/>
      <c r="V42" s="10"/>
      <c r="W42" s="220" t="s">
        <v>126</v>
      </c>
      <c r="X42" s="220"/>
      <c r="Y42" s="220"/>
      <c r="Z42" s="12"/>
      <c r="AA42" s="20" t="str">
        <f ca="1">IFERROR(AA56/E21,"-       ")</f>
        <v xml:space="preserve">-       </v>
      </c>
    </row>
    <row r="43" spans="2:27" x14ac:dyDescent="0.35">
      <c r="B43" s="12" t="s">
        <v>121</v>
      </c>
      <c r="C43" s="20">
        <f>IF(T46=0," -       ",T46)</f>
        <v>263.02599999999984</v>
      </c>
      <c r="D43" s="16">
        <f>IFERROR($N$46*(1+8.48%)," -        ")</f>
        <v>275.29403519999988</v>
      </c>
      <c r="E43" s="16">
        <f>IFERROR($N$46*(1+8.48%)^2," -        ")</f>
        <v>298.63896938495986</v>
      </c>
      <c r="F43" s="10"/>
      <c r="G43" s="220" t="s">
        <v>111</v>
      </c>
      <c r="H43" s="220"/>
      <c r="I43" s="220"/>
      <c r="J43" s="205">
        <f>IFERROR(J42/J13," -        ")</f>
        <v>0.15490847968100457</v>
      </c>
      <c r="K43" s="205"/>
      <c r="L43" s="205">
        <f t="shared" ref="L43" si="45">IFERROR(L42/L13," -        ")</f>
        <v>8.8893003564909645E-2</v>
      </c>
      <c r="M43" s="205"/>
      <c r="N43" s="205">
        <f t="shared" ref="N43" si="46">IFERROR(N42/N13," -        ")</f>
        <v>0.14122893593022229</v>
      </c>
      <c r="O43" s="205"/>
      <c r="P43" s="216">
        <f t="shared" ref="P43" si="47">IFERROR(P42/P13," -        ")</f>
        <v>0.12635176341982621</v>
      </c>
      <c r="Q43" s="205"/>
      <c r="R43" s="205">
        <f t="shared" ref="R43" si="48">IFERROR(R42/R13," -        ")</f>
        <v>0.16259459403634785</v>
      </c>
      <c r="S43" s="217"/>
      <c r="T43" s="205">
        <f t="shared" si="23"/>
        <v>0.17747176654674393</v>
      </c>
      <c r="U43" s="205"/>
      <c r="V43" s="10"/>
      <c r="W43" s="220" t="s">
        <v>127</v>
      </c>
      <c r="X43" s="220"/>
      <c r="Y43" s="220"/>
      <c r="Z43" s="12"/>
      <c r="AA43" s="20" t="str">
        <f ca="1">IFERROR(AA40+AA41-AA42,"-       ")</f>
        <v xml:space="preserve">-       </v>
      </c>
    </row>
    <row r="44" spans="2:27" x14ac:dyDescent="0.35">
      <c r="B44" s="12" t="s">
        <v>128</v>
      </c>
      <c r="C44" s="20">
        <f ca="1">IFERROR($E$34/C45,"NA")</f>
        <v>5.2879055698708441</v>
      </c>
      <c r="D44" s="20">
        <f t="shared" ref="D44:E44" ca="1" si="49">IFERROR($E$34/D45,"NA")</f>
        <v>5.2872659496111805</v>
      </c>
      <c r="E44" s="20">
        <f t="shared" ca="1" si="49"/>
        <v>4.943217978320102</v>
      </c>
      <c r="F44" s="10"/>
      <c r="G44" s="220"/>
      <c r="H44" s="220"/>
      <c r="I44" s="220"/>
      <c r="J44" s="213"/>
      <c r="K44" s="213"/>
      <c r="L44" s="213"/>
      <c r="M44" s="213"/>
      <c r="N44" s="213"/>
      <c r="O44" s="213"/>
      <c r="P44" s="225"/>
      <c r="Q44" s="213"/>
      <c r="R44" s="213"/>
      <c r="S44" s="226"/>
      <c r="T44" s="213"/>
      <c r="U44" s="213"/>
      <c r="V44" s="10"/>
      <c r="W44" s="220" t="s">
        <v>129</v>
      </c>
      <c r="X44" s="220"/>
      <c r="Y44" s="220"/>
      <c r="Z44" s="12"/>
      <c r="AA44" s="20" t="str">
        <f>AA66</f>
        <v xml:space="preserve">-       </v>
      </c>
    </row>
    <row r="45" spans="2:27" x14ac:dyDescent="0.35">
      <c r="B45" s="12" t="s">
        <v>121</v>
      </c>
      <c r="C45" s="20">
        <f>IF(T42=0," -       ",T42)</f>
        <v>124.26499999999992</v>
      </c>
      <c r="D45" s="16">
        <f>IFERROR($N$42*(1+6.96%)," -        ")</f>
        <v>124.28003279999989</v>
      </c>
      <c r="E45" s="16">
        <f>IFERROR($N$42*(1+6.96%)^2," -        ")</f>
        <v>132.92992308287987</v>
      </c>
      <c r="F45" s="10"/>
      <c r="G45" s="220" t="s">
        <v>130</v>
      </c>
      <c r="H45" s="220"/>
      <c r="I45" s="220"/>
      <c r="J45" s="230">
        <f>J63</f>
        <v>115.489</v>
      </c>
      <c r="K45" s="230"/>
      <c r="L45" s="230">
        <f t="shared" ref="L45" si="50">L63</f>
        <v>127.307</v>
      </c>
      <c r="M45" s="230"/>
      <c r="N45" s="230">
        <f t="shared" ref="N45" si="51">N63</f>
        <v>137.58099999999999</v>
      </c>
      <c r="O45" s="230"/>
      <c r="P45" s="231">
        <f t="shared" ref="P45" si="52">P63</f>
        <v>76.361000000000004</v>
      </c>
      <c r="Q45" s="230"/>
      <c r="R45" s="230">
        <f t="shared" ref="R45" si="53">R63</f>
        <v>77.540999999999997</v>
      </c>
      <c r="S45" s="232"/>
      <c r="T45" s="230">
        <f t="shared" si="23"/>
        <v>138.76099999999997</v>
      </c>
      <c r="U45" s="230"/>
      <c r="V45" s="10"/>
      <c r="W45" s="229" t="s">
        <v>131</v>
      </c>
      <c r="X45" s="229"/>
      <c r="Y45" s="229"/>
      <c r="Z45" s="12"/>
      <c r="AA45" s="32" t="str">
        <f ca="1">IFERROR(AA43+AA44,"-       ")</f>
        <v xml:space="preserve">-       </v>
      </c>
    </row>
    <row r="46" spans="2:27" x14ac:dyDescent="0.35">
      <c r="B46" s="12" t="s">
        <v>132</v>
      </c>
      <c r="C46" s="20">
        <f ca="1">IFERROR($E$21/C47,"NA")</f>
        <v>5.7402137627697645</v>
      </c>
      <c r="D46" s="20">
        <f t="shared" ref="D46:E46" ca="1" si="54">IFERROR($E$21/D47,"NA")</f>
        <v>5.367435258141426</v>
      </c>
      <c r="E46" s="20">
        <f t="shared" ca="1" si="54"/>
        <v>3.961206832576698</v>
      </c>
      <c r="F46" s="10"/>
      <c r="G46" s="220" t="s">
        <v>133</v>
      </c>
      <c r="H46" s="220"/>
      <c r="I46" s="220"/>
      <c r="J46" s="230">
        <f>IFERROR(J42+J45," -        ")</f>
        <v>232.34700000000007</v>
      </c>
      <c r="K46" s="230"/>
      <c r="L46" s="230">
        <f t="shared" ref="L46" si="55">IFERROR(L42+L45," -        ")</f>
        <v>205.08100000000007</v>
      </c>
      <c r="M46" s="230"/>
      <c r="N46" s="230">
        <f t="shared" ref="N46" si="56">IFERROR(N42+N45," -        ")</f>
        <v>253.77399999999989</v>
      </c>
      <c r="O46" s="230"/>
      <c r="P46" s="231">
        <f t="shared" ref="P46" si="57">IFERROR(P42+P45," -        ")</f>
        <v>131.26399999999998</v>
      </c>
      <c r="Q46" s="230"/>
      <c r="R46" s="230">
        <f t="shared" ref="R46" si="58">IFERROR(R42+R45," -        ")</f>
        <v>140.51599999999999</v>
      </c>
      <c r="S46" s="232"/>
      <c r="T46" s="230">
        <f t="shared" si="23"/>
        <v>263.02599999999984</v>
      </c>
      <c r="U46" s="230"/>
      <c r="V46" s="10"/>
      <c r="W46" s="12"/>
      <c r="X46" s="12"/>
      <c r="Y46" s="12"/>
      <c r="Z46" s="12"/>
      <c r="AA46" s="25"/>
    </row>
    <row r="47" spans="2:27" x14ac:dyDescent="0.35">
      <c r="B47" s="12" t="s">
        <v>121</v>
      </c>
      <c r="C47" s="20">
        <f>IF(T59=0," -       ",T59)</f>
        <v>0.12717296431270197</v>
      </c>
      <c r="D47" s="16">
        <f>IFERROR($N$59*(1+35.5%)," -        ")</f>
        <v>0.13600536660274054</v>
      </c>
      <c r="E47" s="16">
        <f>IFERROR($N$59*(1+35.5%)^2," -        ")</f>
        <v>0.18428727174671344</v>
      </c>
      <c r="F47" s="10"/>
      <c r="G47" s="220" t="s">
        <v>111</v>
      </c>
      <c r="H47" s="220"/>
      <c r="I47" s="220"/>
      <c r="J47" s="205">
        <f>IFERROR(J46/J13," -        ")</f>
        <v>0.3080021952150675</v>
      </c>
      <c r="K47" s="205"/>
      <c r="L47" s="205">
        <f t="shared" ref="L47" si="59">IFERROR(L46/L13," -        ")</f>
        <v>0.23440052027792357</v>
      </c>
      <c r="M47" s="205"/>
      <c r="N47" s="205">
        <f t="shared" ref="N47" si="60">IFERROR(N46/N13," -        ")</f>
        <v>0.30845431296856302</v>
      </c>
      <c r="O47" s="205"/>
      <c r="P47" s="216">
        <f t="shared" ref="P47" si="61">IFERROR(P46/P13," -        ")</f>
        <v>0.30208618606524362</v>
      </c>
      <c r="Q47" s="205"/>
      <c r="R47" s="205">
        <f t="shared" ref="R47" si="62">IFERROR(R46/R13," -        ")</f>
        <v>0.36279701430109496</v>
      </c>
      <c r="S47" s="217"/>
      <c r="T47" s="205">
        <f t="shared" si="23"/>
        <v>0.36916514120441435</v>
      </c>
      <c r="U47" s="205"/>
      <c r="V47" s="10"/>
      <c r="W47" s="229" t="s">
        <v>134</v>
      </c>
      <c r="X47" s="229"/>
      <c r="Y47" s="229"/>
      <c r="Z47" s="12"/>
      <c r="AA47" s="25"/>
    </row>
    <row r="48" spans="2:27" x14ac:dyDescent="0.35">
      <c r="B48" s="10"/>
      <c r="C48" s="10"/>
      <c r="D48" s="10"/>
      <c r="E48" s="10"/>
      <c r="F48" s="10"/>
      <c r="G48" s="220"/>
      <c r="H48" s="220"/>
      <c r="I48" s="220"/>
      <c r="J48" s="213"/>
      <c r="K48" s="213"/>
      <c r="L48" s="213"/>
      <c r="M48" s="213"/>
      <c r="N48" s="213"/>
      <c r="O48" s="213"/>
      <c r="P48" s="225"/>
      <c r="Q48" s="213"/>
      <c r="R48" s="213"/>
      <c r="S48" s="226"/>
      <c r="T48" s="213"/>
      <c r="U48" s="213"/>
      <c r="V48" s="10"/>
      <c r="W48" s="33"/>
      <c r="X48" s="33" t="s">
        <v>135</v>
      </c>
      <c r="Y48" s="33" t="s">
        <v>136</v>
      </c>
      <c r="Z48" s="33" t="s">
        <v>137</v>
      </c>
      <c r="AA48" s="33"/>
    </row>
    <row r="49" spans="2:27" ht="15" thickBot="1" x14ac:dyDescent="0.4">
      <c r="B49" s="8" t="s">
        <v>138</v>
      </c>
      <c r="C49" s="9"/>
      <c r="D49" s="9"/>
      <c r="E49" s="9"/>
      <c r="F49" s="10"/>
      <c r="G49" s="220" t="s">
        <v>139</v>
      </c>
      <c r="H49" s="220"/>
      <c r="I49" s="220"/>
      <c r="J49" s="213">
        <f>J25</f>
        <v>70.159000000000063</v>
      </c>
      <c r="K49" s="213"/>
      <c r="L49" s="213">
        <f t="shared" ref="L49" si="63">L25</f>
        <v>41.81400000000005</v>
      </c>
      <c r="M49" s="213"/>
      <c r="N49" s="213">
        <f t="shared" ref="N49" si="64">N25</f>
        <v>66.396999999999906</v>
      </c>
      <c r="O49" s="213"/>
      <c r="P49" s="225">
        <f t="shared" ref="P49" si="65">P25</f>
        <v>31.478999999999974</v>
      </c>
      <c r="Q49" s="213"/>
      <c r="R49" s="213">
        <f t="shared" ref="R49" si="66">R25</f>
        <v>31.367999999999988</v>
      </c>
      <c r="S49" s="226"/>
      <c r="T49" s="213">
        <f t="shared" si="23"/>
        <v>66.28599999999993</v>
      </c>
      <c r="U49" s="213"/>
      <c r="V49" s="10"/>
      <c r="W49" s="33" t="s">
        <v>140</v>
      </c>
      <c r="X49" s="33" t="s">
        <v>141</v>
      </c>
      <c r="Y49" s="33" t="s">
        <v>142</v>
      </c>
      <c r="Z49" s="33" t="s">
        <v>141</v>
      </c>
      <c r="AA49" s="33" t="s">
        <v>143</v>
      </c>
    </row>
    <row r="50" spans="2:27" ht="2" customHeight="1" x14ac:dyDescent="0.35">
      <c r="B50" s="2"/>
      <c r="C50" s="2"/>
      <c r="D50" s="2"/>
      <c r="E50" s="2"/>
      <c r="F50" s="10"/>
      <c r="G50" s="220"/>
      <c r="H50" s="220"/>
      <c r="I50" s="220"/>
      <c r="J50" s="213"/>
      <c r="K50" s="213"/>
      <c r="L50" s="213"/>
      <c r="M50" s="213"/>
      <c r="N50" s="213"/>
      <c r="O50" s="213"/>
      <c r="P50" s="225"/>
      <c r="Q50" s="213"/>
      <c r="R50" s="213"/>
      <c r="S50" s="226"/>
      <c r="T50" s="213">
        <f t="shared" si="23"/>
        <v>0</v>
      </c>
      <c r="U50" s="213"/>
      <c r="V50" s="10"/>
      <c r="W50" s="12"/>
      <c r="X50" s="34"/>
      <c r="Y50" s="34"/>
      <c r="Z50" s="12"/>
      <c r="AA50" s="12"/>
    </row>
    <row r="51" spans="2:27" x14ac:dyDescent="0.35">
      <c r="B51" s="220" t="s">
        <v>144</v>
      </c>
      <c r="C51" s="220"/>
      <c r="D51" s="220"/>
      <c r="E51" s="26">
        <f>IFERROR((T42*(1-T26))/(AA15-AA26+AA17+AA18),"-       ")</f>
        <v>7.7303106573808386E-2</v>
      </c>
      <c r="F51" s="10"/>
      <c r="G51" s="220" t="s">
        <v>145</v>
      </c>
      <c r="H51" s="220"/>
      <c r="I51" s="220"/>
      <c r="J51" s="213">
        <f>J34</f>
        <v>0</v>
      </c>
      <c r="K51" s="213"/>
      <c r="L51" s="213">
        <f t="shared" ref="L51" si="67">L34</f>
        <v>0</v>
      </c>
      <c r="M51" s="213"/>
      <c r="N51" s="213">
        <f t="shared" ref="N51" si="68">N34</f>
        <v>0</v>
      </c>
      <c r="O51" s="213"/>
      <c r="P51" s="225">
        <f t="shared" ref="P51" si="69">P34</f>
        <v>0</v>
      </c>
      <c r="Q51" s="213"/>
      <c r="R51" s="213">
        <f t="shared" ref="R51" si="70">R34</f>
        <v>0</v>
      </c>
      <c r="S51" s="226"/>
      <c r="T51" s="213">
        <f t="shared" si="23"/>
        <v>0</v>
      </c>
      <c r="U51" s="213"/>
      <c r="V51" s="10"/>
      <c r="W51" s="12" t="s">
        <v>146</v>
      </c>
      <c r="X51" s="38" t="s">
        <v>197</v>
      </c>
      <c r="Y51" s="16" t="s">
        <v>197</v>
      </c>
      <c r="Z51" s="30" t="str">
        <f ca="1">IF($E$21&gt;Y51,X51,"-       ")</f>
        <v xml:space="preserve">-       </v>
      </c>
      <c r="AA51" s="30" t="str">
        <f ca="1">IFERROR(Z51*Y51,"-       ")</f>
        <v xml:space="preserve">-       </v>
      </c>
    </row>
    <row r="52" spans="2:27" x14ac:dyDescent="0.35">
      <c r="B52" s="220" t="s">
        <v>147</v>
      </c>
      <c r="C52" s="220"/>
      <c r="D52" s="220"/>
      <c r="E52" s="26">
        <f>IFERROR(T55/AA34,"-       ")</f>
        <v>9.9445171023911552E-2</v>
      </c>
      <c r="F52" s="10"/>
      <c r="G52" s="220" t="s">
        <v>122</v>
      </c>
      <c r="H52" s="220"/>
      <c r="I52" s="220"/>
      <c r="J52" s="213">
        <f>J41</f>
        <v>-1.744</v>
      </c>
      <c r="K52" s="213"/>
      <c r="L52" s="213">
        <f t="shared" ref="L52" si="71">L41</f>
        <v>-0.92800000000000005</v>
      </c>
      <c r="M52" s="213"/>
      <c r="N52" s="213">
        <f t="shared" ref="N52" si="72">N41</f>
        <v>0.5149999999999999</v>
      </c>
      <c r="O52" s="213"/>
      <c r="P52" s="225">
        <f t="shared" ref="P52" si="73">P41</f>
        <v>1.7949999999999999</v>
      </c>
      <c r="Q52" s="213"/>
      <c r="R52" s="213">
        <f t="shared" ref="R52" si="74">R41</f>
        <v>2.524</v>
      </c>
      <c r="S52" s="226"/>
      <c r="T52" s="213">
        <f t="shared" si="23"/>
        <v>1.2439999999999998</v>
      </c>
      <c r="U52" s="213"/>
      <c r="V52" s="10"/>
      <c r="W52" s="12" t="s">
        <v>148</v>
      </c>
      <c r="X52" s="38" t="s">
        <v>197</v>
      </c>
      <c r="Y52" s="16" t="s">
        <v>197</v>
      </c>
      <c r="Z52" s="30" t="str">
        <f t="shared" ref="Z52:Z55" ca="1" si="75">IF($E$21&gt;Y52,X52,"-       ")</f>
        <v xml:space="preserve">-       </v>
      </c>
      <c r="AA52" s="30" t="str">
        <f t="shared" ref="AA52:AA55" ca="1" si="76">IFERROR(Z52*Y52,"-       ")</f>
        <v xml:space="preserve">-       </v>
      </c>
    </row>
    <row r="53" spans="2:27" x14ac:dyDescent="0.35">
      <c r="B53" s="220" t="s">
        <v>149</v>
      </c>
      <c r="C53" s="220"/>
      <c r="D53" s="220"/>
      <c r="E53" s="26">
        <f>IFERROR(T55/AA21,"-       ")</f>
        <v>5.5806974682001138E-2</v>
      </c>
      <c r="F53" s="10"/>
      <c r="G53" s="220" t="s">
        <v>150</v>
      </c>
      <c r="H53" s="220"/>
      <c r="I53" s="220"/>
      <c r="J53" s="209">
        <f>-0.8+0.06-1.036-1.686</f>
        <v>-3.4619999999999997</v>
      </c>
      <c r="K53" s="210"/>
      <c r="L53" s="209">
        <f>1.428-0.983</f>
        <v>0.44499999999999995</v>
      </c>
      <c r="M53" s="210"/>
      <c r="N53" s="209">
        <f>-14.22-2.41+2.378</f>
        <v>-14.252000000000002</v>
      </c>
      <c r="O53" s="210"/>
      <c r="P53" s="211">
        <v>-13.87</v>
      </c>
      <c r="Q53" s="210"/>
      <c r="R53" s="209">
        <v>-0.311</v>
      </c>
      <c r="S53" s="212"/>
      <c r="T53" s="213">
        <f t="shared" si="23"/>
        <v>-0.69300000000000317</v>
      </c>
      <c r="U53" s="213"/>
      <c r="V53" s="10"/>
      <c r="W53" s="12" t="s">
        <v>151</v>
      </c>
      <c r="X53" s="38" t="s">
        <v>197</v>
      </c>
      <c r="Y53" s="16" t="s">
        <v>197</v>
      </c>
      <c r="Z53" s="30" t="str">
        <f t="shared" ca="1" si="75"/>
        <v xml:space="preserve">-       </v>
      </c>
      <c r="AA53" s="30" t="str">
        <f t="shared" ca="1" si="76"/>
        <v xml:space="preserve">-       </v>
      </c>
    </row>
    <row r="54" spans="2:27" x14ac:dyDescent="0.35">
      <c r="B54" s="220" t="s">
        <v>207</v>
      </c>
      <c r="C54" s="220"/>
      <c r="D54" s="220"/>
      <c r="E54" s="26">
        <f ca="1">IFERROR(E14*4/E21,"NA")</f>
        <v>0</v>
      </c>
      <c r="F54" s="10"/>
      <c r="G54" s="220" t="s">
        <v>153</v>
      </c>
      <c r="H54" s="220"/>
      <c r="I54" s="220"/>
      <c r="J54" s="213">
        <v>0</v>
      </c>
      <c r="K54" s="213"/>
      <c r="L54" s="213">
        <v>0</v>
      </c>
      <c r="M54" s="213"/>
      <c r="N54" s="213">
        <v>0</v>
      </c>
      <c r="O54" s="213"/>
      <c r="P54" s="225">
        <v>0</v>
      </c>
      <c r="Q54" s="213"/>
      <c r="R54" s="213">
        <v>0</v>
      </c>
      <c r="S54" s="226"/>
      <c r="T54" s="213">
        <f t="shared" si="23"/>
        <v>0</v>
      </c>
      <c r="U54" s="213"/>
      <c r="V54" s="10"/>
      <c r="W54" s="12" t="s">
        <v>154</v>
      </c>
      <c r="X54" s="38" t="s">
        <v>197</v>
      </c>
      <c r="Y54" s="16" t="s">
        <v>197</v>
      </c>
      <c r="Z54" s="30" t="str">
        <f t="shared" ca="1" si="75"/>
        <v xml:space="preserve">-       </v>
      </c>
      <c r="AA54" s="30" t="str">
        <f ca="1">IFERROR(Z54*Y54,"-       ")</f>
        <v xml:space="preserve">-       </v>
      </c>
    </row>
    <row r="55" spans="2:27" x14ac:dyDescent="0.35">
      <c r="B55" s="10"/>
      <c r="C55" s="10"/>
      <c r="D55" s="10"/>
      <c r="E55" s="10"/>
      <c r="F55" s="10"/>
      <c r="G55" s="220" t="s">
        <v>155</v>
      </c>
      <c r="H55" s="220"/>
      <c r="I55" s="220"/>
      <c r="J55" s="213">
        <f>IFERROR(J49+J51+J52+J53+J54," -        ")</f>
        <v>64.95300000000006</v>
      </c>
      <c r="K55" s="213"/>
      <c r="L55" s="213">
        <f t="shared" ref="L55" si="77">IFERROR(L49+L51+L52+L53+L54," -        ")</f>
        <v>41.331000000000053</v>
      </c>
      <c r="M55" s="213"/>
      <c r="N55" s="213">
        <f t="shared" ref="N55" si="78">IFERROR(N49+N51+N52+N53+N54," -        ")</f>
        <v>52.659999999999904</v>
      </c>
      <c r="O55" s="213"/>
      <c r="P55" s="225">
        <f t="shared" ref="P55" si="79">IFERROR(P49+P51+P52+P53+P54," -        ")</f>
        <v>19.403999999999975</v>
      </c>
      <c r="Q55" s="213"/>
      <c r="R55" s="213">
        <f t="shared" ref="R55" si="80">IFERROR(R49+R51+R52+R53+R54," -        ")</f>
        <v>33.580999999999989</v>
      </c>
      <c r="S55" s="226"/>
      <c r="T55" s="213">
        <f t="shared" si="23"/>
        <v>66.836999999999932</v>
      </c>
      <c r="U55" s="213"/>
      <c r="V55" s="10"/>
      <c r="W55" s="12" t="s">
        <v>156</v>
      </c>
      <c r="X55" s="38" t="s">
        <v>197</v>
      </c>
      <c r="Y55" s="16" t="s">
        <v>197</v>
      </c>
      <c r="Z55" s="30" t="str">
        <f t="shared" ca="1" si="75"/>
        <v xml:space="preserve">-       </v>
      </c>
      <c r="AA55" s="30" t="str">
        <f t="shared" ca="1" si="76"/>
        <v xml:space="preserve">-       </v>
      </c>
    </row>
    <row r="56" spans="2:27" ht="15" thickBot="1" x14ac:dyDescent="0.4">
      <c r="B56" s="8" t="s">
        <v>157</v>
      </c>
      <c r="C56" s="9"/>
      <c r="D56" s="9"/>
      <c r="E56" s="9"/>
      <c r="F56" s="10"/>
      <c r="G56" s="220" t="s">
        <v>111</v>
      </c>
      <c r="H56" s="220"/>
      <c r="I56" s="220"/>
      <c r="J56" s="205">
        <f>IFERROR(J55/J13," -        ")</f>
        <v>8.6102538813947638E-2</v>
      </c>
      <c r="K56" s="205"/>
      <c r="L56" s="205">
        <f t="shared" ref="L56" si="81">IFERROR(L55/L13," -        ")</f>
        <v>4.7239909614283468E-2</v>
      </c>
      <c r="M56" s="205"/>
      <c r="N56" s="205">
        <f t="shared" ref="N56" si="82">IFERROR(N55/N13," -        ")</f>
        <v>6.4006573253857779E-2</v>
      </c>
      <c r="O56" s="205"/>
      <c r="P56" s="216">
        <f t="shared" ref="P56" si="83">IFERROR(P55/P13," -        ")</f>
        <v>4.465565847764795E-2</v>
      </c>
      <c r="Q56" s="205"/>
      <c r="R56" s="205">
        <f t="shared" ref="R56" si="84">IFERROR(R55/R13," -        ")</f>
        <v>8.670248610297096E-2</v>
      </c>
      <c r="S56" s="217"/>
      <c r="T56" s="205">
        <f t="shared" si="23"/>
        <v>0.10605340087918079</v>
      </c>
      <c r="U56" s="205"/>
      <c r="V56" s="10"/>
      <c r="W56" s="18" t="s">
        <v>158</v>
      </c>
      <c r="X56" s="45" t="str">
        <f>IFERROR(X51+X52+X53+X54+X55,"-       ")</f>
        <v xml:space="preserve">-       </v>
      </c>
      <c r="Y56" s="45"/>
      <c r="Z56" s="45" t="str">
        <f ca="1">IFERROR(Z51+Z52+Z53+Z54+Z55,"-       ")</f>
        <v xml:space="preserve">-       </v>
      </c>
      <c r="AA56" s="45" t="str">
        <f ca="1">IF(SUM(AA51:AA55)=0,"-       ",SUM(AA51:AA55))</f>
        <v xml:space="preserve">-       </v>
      </c>
    </row>
    <row r="57" spans="2:27" ht="3.5" customHeight="1" x14ac:dyDescent="0.35">
      <c r="B57" s="2"/>
      <c r="C57" s="2"/>
      <c r="D57" s="2"/>
      <c r="E57" s="2"/>
      <c r="F57" s="10"/>
      <c r="G57" s="220"/>
      <c r="H57" s="220"/>
      <c r="I57" s="220"/>
      <c r="J57" s="224"/>
      <c r="K57" s="224"/>
      <c r="L57" s="224"/>
      <c r="M57" s="224"/>
      <c r="N57" s="224"/>
      <c r="O57" s="224"/>
      <c r="P57" s="227"/>
      <c r="Q57" s="224"/>
      <c r="R57" s="224"/>
      <c r="S57" s="228"/>
      <c r="T57" s="224">
        <f t="shared" si="23"/>
        <v>0</v>
      </c>
      <c r="U57" s="224"/>
      <c r="V57" s="10"/>
      <c r="W57" s="12"/>
      <c r="X57" s="12"/>
      <c r="Y57" s="12"/>
      <c r="Z57" s="12"/>
      <c r="AA57" s="12"/>
    </row>
    <row r="58" spans="2:27" x14ac:dyDescent="0.35">
      <c r="B58" s="220" t="s">
        <v>198</v>
      </c>
      <c r="C58" s="220"/>
      <c r="D58" s="220"/>
      <c r="E58" s="26">
        <f ca="1">IFERROR(AA28/(E27*E21),"-       ")</f>
        <v>0.7779558796673498</v>
      </c>
      <c r="F58" s="10"/>
      <c r="G58" s="220"/>
      <c r="H58" s="220"/>
      <c r="I58" s="220"/>
      <c r="J58" s="213"/>
      <c r="K58" s="213"/>
      <c r="L58" s="213"/>
      <c r="M58" s="213"/>
      <c r="N58" s="213"/>
      <c r="O58" s="213"/>
      <c r="P58" s="225"/>
      <c r="Q58" s="213"/>
      <c r="R58" s="213"/>
      <c r="S58" s="226"/>
      <c r="T58" s="213"/>
      <c r="U58" s="213"/>
      <c r="V58" s="10"/>
      <c r="W58" s="18" t="s">
        <v>160</v>
      </c>
      <c r="X58" s="12"/>
      <c r="Y58" s="12"/>
      <c r="Z58" s="12"/>
      <c r="AA58" s="12"/>
    </row>
    <row r="59" spans="2:27" ht="15" thickBot="1" x14ac:dyDescent="0.4">
      <c r="B59" s="220" t="s">
        <v>161</v>
      </c>
      <c r="C59" s="220"/>
      <c r="D59" s="220"/>
      <c r="E59" s="37">
        <f>IFERROR((AA28+AA24)/T46,"-       ")</f>
        <v>1.3397040596747098</v>
      </c>
      <c r="F59" s="10"/>
      <c r="G59" s="220" t="s">
        <v>162</v>
      </c>
      <c r="H59" s="220"/>
      <c r="I59" s="220"/>
      <c r="J59" s="213">
        <f>IFERROR(J55/J28," -        ")</f>
        <v>0.11937739157284177</v>
      </c>
      <c r="K59" s="213"/>
      <c r="L59" s="213">
        <f>IFERROR(L55/L28," -        ")</f>
        <v>7.8539165068874608E-2</v>
      </c>
      <c r="M59" s="213"/>
      <c r="N59" s="213">
        <f>IFERROR(N55/N28," -        ")</f>
        <v>0.10037296428246535</v>
      </c>
      <c r="O59" s="213"/>
      <c r="P59" s="223">
        <f>IFERROR(P55/P28," -        ")</f>
        <v>3.6800000048550767E-2</v>
      </c>
      <c r="Q59" s="218"/>
      <c r="R59" s="218">
        <f>IFERROR(R55/R28," -        ")</f>
        <v>6.3600000078787383E-2</v>
      </c>
      <c r="S59" s="219"/>
      <c r="T59" s="213">
        <f t="shared" si="23"/>
        <v>0.12717296431270197</v>
      </c>
      <c r="U59" s="213"/>
      <c r="V59" s="10"/>
      <c r="W59" s="12"/>
      <c r="X59" s="33"/>
      <c r="Y59" s="33" t="s">
        <v>163</v>
      </c>
      <c r="Z59" s="33" t="s">
        <v>163</v>
      </c>
      <c r="AA59" s="33" t="s">
        <v>164</v>
      </c>
    </row>
    <row r="60" spans="2:27" x14ac:dyDescent="0.35">
      <c r="B60" s="220" t="s">
        <v>165</v>
      </c>
      <c r="C60" s="220"/>
      <c r="D60" s="220"/>
      <c r="E60" s="37">
        <f>IFERROR((AA28+AA24-AA11)/T46,"-       ")</f>
        <v>0.92075688334993555</v>
      </c>
      <c r="F60" s="10"/>
      <c r="G60" s="10"/>
      <c r="H60" s="10"/>
      <c r="I60" s="10"/>
      <c r="J60" s="10"/>
      <c r="K60" s="10"/>
      <c r="L60" s="10"/>
      <c r="M60" s="10"/>
      <c r="N60" s="10"/>
      <c r="O60" s="10"/>
      <c r="P60" s="10"/>
      <c r="Q60" s="10"/>
      <c r="R60" s="10"/>
      <c r="S60" s="10"/>
      <c r="T60" s="10"/>
      <c r="U60" s="10"/>
      <c r="V60" s="10"/>
      <c r="W60" s="12"/>
      <c r="X60" s="33" t="s">
        <v>166</v>
      </c>
      <c r="Y60" s="33" t="s">
        <v>142</v>
      </c>
      <c r="Z60" s="33" t="s">
        <v>167</v>
      </c>
      <c r="AA60" s="33" t="s">
        <v>141</v>
      </c>
    </row>
    <row r="61" spans="2:27" x14ac:dyDescent="0.35">
      <c r="B61" s="220" t="s">
        <v>168</v>
      </c>
      <c r="C61" s="220"/>
      <c r="D61" s="220"/>
      <c r="E61" s="37">
        <f>IFERROR(T46/T19,"-       ")</f>
        <v>9.6124693929759104</v>
      </c>
      <c r="F61" s="10"/>
      <c r="G61" s="10"/>
      <c r="H61" s="10"/>
      <c r="I61" s="10"/>
      <c r="J61" s="10"/>
      <c r="K61" s="10"/>
      <c r="L61" s="10"/>
      <c r="M61" s="10"/>
      <c r="N61" s="10"/>
      <c r="O61" s="10"/>
      <c r="P61" s="10"/>
      <c r="Q61" s="10"/>
      <c r="R61" s="10"/>
      <c r="S61" s="10"/>
      <c r="T61" s="10"/>
      <c r="U61" s="10"/>
      <c r="V61" s="10"/>
      <c r="W61" s="12" t="s">
        <v>169</v>
      </c>
      <c r="X61" s="38" t="s">
        <v>197</v>
      </c>
      <c r="Y61" s="38" t="s">
        <v>197</v>
      </c>
      <c r="Z61" s="38" t="s">
        <v>197</v>
      </c>
      <c r="AA61" s="30" t="str">
        <f>IFERROR(X61/Y61*Z61,"-       ")</f>
        <v xml:space="preserve">-       </v>
      </c>
    </row>
    <row r="62" spans="2:27" ht="15" thickBot="1" x14ac:dyDescent="0.4">
      <c r="B62" s="220" t="s">
        <v>170</v>
      </c>
      <c r="C62" s="220"/>
      <c r="D62" s="220"/>
      <c r="E62" s="37">
        <f>IFERROR((T46-T65)/T19,"-       ")</f>
        <v>2.8186602346233909</v>
      </c>
      <c r="F62" s="10"/>
      <c r="G62" s="1" t="s">
        <v>171</v>
      </c>
      <c r="H62" s="2"/>
      <c r="I62" s="2"/>
      <c r="J62" s="2"/>
      <c r="K62" s="2"/>
      <c r="L62" s="2"/>
      <c r="M62" s="2"/>
      <c r="N62" s="2"/>
      <c r="O62" s="2"/>
      <c r="P62" s="2"/>
      <c r="Q62" s="2"/>
      <c r="R62" s="2"/>
      <c r="S62" s="2"/>
      <c r="T62" s="2"/>
      <c r="U62" s="2"/>
      <c r="V62" s="10"/>
      <c r="W62" s="12" t="s">
        <v>172</v>
      </c>
      <c r="X62" s="38" t="s">
        <v>197</v>
      </c>
      <c r="Y62" s="38" t="s">
        <v>197</v>
      </c>
      <c r="Z62" s="38" t="s">
        <v>197</v>
      </c>
      <c r="AA62" s="30" t="str">
        <f t="shared" ref="AA62:AA65" si="85">IFERROR(X62/Y62*Z62,"-       ")</f>
        <v xml:space="preserve">-       </v>
      </c>
    </row>
    <row r="63" spans="2:27" x14ac:dyDescent="0.35">
      <c r="B63" s="220" t="s">
        <v>173</v>
      </c>
      <c r="C63" s="220"/>
      <c r="D63" s="220"/>
      <c r="E63" s="37">
        <f>IFERROR(T42/T19,"-       ")</f>
        <v>4.5413514600007279</v>
      </c>
      <c r="F63" s="10"/>
      <c r="G63" s="12" t="s">
        <v>130</v>
      </c>
      <c r="H63" s="12"/>
      <c r="I63" s="12"/>
      <c r="J63" s="209">
        <v>115.489</v>
      </c>
      <c r="K63" s="210"/>
      <c r="L63" s="209">
        <v>127.307</v>
      </c>
      <c r="M63" s="210"/>
      <c r="N63" s="209">
        <v>137.58099999999999</v>
      </c>
      <c r="O63" s="210"/>
      <c r="P63" s="221">
        <v>76.361000000000004</v>
      </c>
      <c r="Q63" s="222"/>
      <c r="R63" s="214">
        <v>77.540999999999997</v>
      </c>
      <c r="S63" s="215"/>
      <c r="T63" s="213">
        <f t="shared" ref="T63:T66" si="86">IFERROR(N63+R63-P63," -        ")</f>
        <v>138.76099999999997</v>
      </c>
      <c r="U63" s="213"/>
      <c r="V63" s="10"/>
      <c r="W63" s="12" t="s">
        <v>174</v>
      </c>
      <c r="X63" s="38" t="s">
        <v>197</v>
      </c>
      <c r="Y63" s="38" t="s">
        <v>197</v>
      </c>
      <c r="Z63" s="38" t="s">
        <v>197</v>
      </c>
      <c r="AA63" s="30" t="str">
        <f t="shared" si="85"/>
        <v xml:space="preserve">-       </v>
      </c>
    </row>
    <row r="64" spans="2:27" x14ac:dyDescent="0.35">
      <c r="B64" s="10"/>
      <c r="C64" s="10"/>
      <c r="D64" s="10"/>
      <c r="E64" s="10"/>
      <c r="F64" s="10"/>
      <c r="G64" s="12" t="s">
        <v>175</v>
      </c>
      <c r="H64" s="12"/>
      <c r="I64" s="12"/>
      <c r="J64" s="205">
        <f>IFERROR(J63/J13," -        ")</f>
        <v>0.15309371553406295</v>
      </c>
      <c r="K64" s="205"/>
      <c r="L64" s="205">
        <f t="shared" ref="L64" si="87">IFERROR(L63/L13," -        ")</f>
        <v>0.14550751671301393</v>
      </c>
      <c r="M64" s="205"/>
      <c r="N64" s="205">
        <f t="shared" ref="N64" si="88">IFERROR(N63/N13," -        ")</f>
        <v>0.16722537703834073</v>
      </c>
      <c r="O64" s="205"/>
      <c r="P64" s="216">
        <f t="shared" ref="P64" si="89">IFERROR(P63/P13," -        ")</f>
        <v>0.17573442264541742</v>
      </c>
      <c r="Q64" s="205"/>
      <c r="R64" s="205">
        <f t="shared" ref="R64" si="90">IFERROR(R63/R13," -        ")</f>
        <v>0.20020242026474711</v>
      </c>
      <c r="S64" s="217"/>
      <c r="T64" s="205">
        <f t="shared" si="86"/>
        <v>0.19169337465767042</v>
      </c>
      <c r="U64" s="205"/>
      <c r="V64" s="10"/>
      <c r="W64" s="12" t="s">
        <v>176</v>
      </c>
      <c r="X64" s="38" t="s">
        <v>197</v>
      </c>
      <c r="Y64" s="38" t="s">
        <v>197</v>
      </c>
      <c r="Z64" s="38" t="s">
        <v>197</v>
      </c>
      <c r="AA64" s="30" t="str">
        <f t="shared" si="85"/>
        <v xml:space="preserve">-       </v>
      </c>
    </row>
    <row r="65" spans="2:27" x14ac:dyDescent="0.35">
      <c r="B65" s="1" t="s">
        <v>177</v>
      </c>
      <c r="C65" s="2"/>
      <c r="D65" s="2"/>
      <c r="E65" s="2"/>
      <c r="F65" s="10"/>
      <c r="G65" s="12" t="s">
        <v>178</v>
      </c>
      <c r="H65" s="12"/>
      <c r="I65" s="12"/>
      <c r="J65" s="209">
        <v>170.417</v>
      </c>
      <c r="K65" s="210"/>
      <c r="L65" s="209">
        <v>179.411</v>
      </c>
      <c r="M65" s="210"/>
      <c r="N65" s="209">
        <v>214.947</v>
      </c>
      <c r="O65" s="210"/>
      <c r="P65" s="211">
        <v>106.678</v>
      </c>
      <c r="Q65" s="210"/>
      <c r="R65" s="209">
        <v>77.63</v>
      </c>
      <c r="S65" s="212"/>
      <c r="T65" s="213">
        <f t="shared" si="86"/>
        <v>185.899</v>
      </c>
      <c r="U65" s="213"/>
      <c r="V65" s="10"/>
      <c r="W65" s="12" t="s">
        <v>179</v>
      </c>
      <c r="X65" s="38" t="s">
        <v>197</v>
      </c>
      <c r="Y65" s="38" t="s">
        <v>197</v>
      </c>
      <c r="Z65" s="38" t="s">
        <v>197</v>
      </c>
      <c r="AA65" s="30" t="str">
        <f t="shared" si="85"/>
        <v xml:space="preserve">-       </v>
      </c>
    </row>
    <row r="66" spans="2:27" ht="15" thickBot="1" x14ac:dyDescent="0.4">
      <c r="B66" s="12"/>
      <c r="C66" s="13" t="s">
        <v>8</v>
      </c>
      <c r="D66" s="13" t="s">
        <v>180</v>
      </c>
      <c r="E66" s="13" t="s">
        <v>181</v>
      </c>
      <c r="F66" s="10"/>
      <c r="G66" s="12" t="s">
        <v>175</v>
      </c>
      <c r="H66" s="12"/>
      <c r="I66" s="12"/>
      <c r="J66" s="205">
        <f>IFERROR(J65/J13," -        ")</f>
        <v>0.22590698438958173</v>
      </c>
      <c r="K66" s="205"/>
      <c r="L66" s="205">
        <f>IFERROR(L65/L13," -        ")</f>
        <v>0.20506059431923257</v>
      </c>
      <c r="M66" s="205"/>
      <c r="N66" s="205">
        <f t="shared" ref="N66" si="91">IFERROR(N65/N13," -        ")</f>
        <v>0.26126131601209635</v>
      </c>
      <c r="O66" s="205"/>
      <c r="P66" s="206">
        <f t="shared" ref="P66" si="92">IFERROR(P65/P13," -        ")</f>
        <v>0.24550486163051607</v>
      </c>
      <c r="Q66" s="207"/>
      <c r="R66" s="207">
        <f t="shared" ref="R66" si="93">IFERROR(R65/R13," -        ")</f>
        <v>0.20043220857549321</v>
      </c>
      <c r="S66" s="208"/>
      <c r="T66" s="205">
        <f t="shared" si="86"/>
        <v>0.21618866295707348</v>
      </c>
      <c r="U66" s="205"/>
      <c r="V66" s="10"/>
      <c r="W66" s="12" t="s">
        <v>182</v>
      </c>
      <c r="X66" s="30"/>
      <c r="Y66" s="30"/>
      <c r="Z66" s="30"/>
      <c r="AA66" s="30" t="str">
        <f>IFERROR(AA61+AA62+AA65+AA64+AA63,"-       ")</f>
        <v xml:space="preserve">-       </v>
      </c>
    </row>
    <row r="67" spans="2:27" x14ac:dyDescent="0.35">
      <c r="B67" s="18" t="s">
        <v>183</v>
      </c>
      <c r="C67" s="25"/>
      <c r="D67" s="25"/>
      <c r="E67" s="25"/>
      <c r="F67" s="10"/>
      <c r="G67" s="12"/>
      <c r="H67" s="12"/>
      <c r="I67" s="12"/>
      <c r="J67" s="25"/>
      <c r="K67" s="25"/>
      <c r="L67" s="25"/>
      <c r="M67" s="25"/>
      <c r="N67" s="25"/>
      <c r="O67" s="25"/>
      <c r="P67" s="39"/>
      <c r="Q67" s="39"/>
      <c r="R67" s="39"/>
      <c r="S67" s="39"/>
      <c r="T67" s="25"/>
      <c r="U67" s="25"/>
      <c r="V67" s="10"/>
      <c r="W67" s="12"/>
      <c r="X67" s="12"/>
      <c r="Y67" s="12"/>
      <c r="Z67" s="12"/>
      <c r="AA67" s="12"/>
    </row>
    <row r="68" spans="2:27" x14ac:dyDescent="0.35">
      <c r="B68" s="12" t="s">
        <v>184</v>
      </c>
      <c r="C68" s="26">
        <f>IFERROR(N13/L13-1,"-       ")</f>
        <v>-5.9650229678929634E-2</v>
      </c>
      <c r="D68" s="26">
        <f>IFERROR(N46/L46-1,"-       ")</f>
        <v>0.23743301427240837</v>
      </c>
      <c r="E68" s="26">
        <f>IFERROR(N59/L59-1,"-       ")</f>
        <v>0.27799887093838693</v>
      </c>
      <c r="F68" s="10"/>
      <c r="G68" s="10"/>
      <c r="H68" s="10"/>
      <c r="I68" s="10"/>
      <c r="J68" s="10"/>
      <c r="K68" s="10"/>
      <c r="L68" s="10"/>
      <c r="M68" s="10"/>
      <c r="N68" s="10"/>
      <c r="O68" s="10"/>
      <c r="P68" s="10"/>
      <c r="Q68" s="10"/>
      <c r="R68" s="10"/>
      <c r="S68" s="10"/>
      <c r="T68" s="10"/>
      <c r="U68" s="10"/>
      <c r="V68" s="10"/>
      <c r="W68" s="10"/>
      <c r="X68" s="10"/>
      <c r="Y68" s="10"/>
      <c r="Z68" s="10"/>
      <c r="AA68" s="10"/>
    </row>
    <row r="69" spans="2:27" x14ac:dyDescent="0.35">
      <c r="B69" s="12" t="s">
        <v>185</v>
      </c>
      <c r="C69" s="26">
        <f>IFERROR((N13/J13)^0.5-1,"-       ")</f>
        <v>4.4327009217116853E-2</v>
      </c>
      <c r="D69" s="26">
        <f>IFERROR((N46/J46)^0.5-1,"-       ")</f>
        <v>4.5093214206450627E-2</v>
      </c>
      <c r="E69" s="26">
        <f>IFERROR((N59/J59)^0.5-1,"-       ")</f>
        <v>-8.3046457860952216E-2</v>
      </c>
      <c r="F69" s="10"/>
      <c r="G69" s="1" t="s">
        <v>186</v>
      </c>
      <c r="H69" s="2"/>
      <c r="I69" s="2"/>
      <c r="J69" s="2"/>
      <c r="K69" s="2"/>
      <c r="L69" s="2"/>
      <c r="M69" s="2"/>
      <c r="N69" s="2"/>
      <c r="O69" s="2"/>
      <c r="P69" s="2"/>
      <c r="Q69" s="2"/>
      <c r="R69" s="2"/>
      <c r="S69" s="2"/>
      <c r="T69" s="2"/>
      <c r="U69" s="2"/>
      <c r="V69" s="2"/>
      <c r="W69" s="2"/>
      <c r="X69" s="2"/>
      <c r="Y69" s="2"/>
      <c r="Z69" s="2"/>
      <c r="AA69" s="2"/>
    </row>
    <row r="70" spans="2:27" x14ac:dyDescent="0.35">
      <c r="B70" s="18" t="s">
        <v>187</v>
      </c>
      <c r="C70" s="26"/>
      <c r="D70" s="26"/>
      <c r="E70" s="26"/>
      <c r="F70" s="10"/>
      <c r="G70" s="34" t="s">
        <v>242</v>
      </c>
      <c r="H70" s="34"/>
      <c r="I70" s="34"/>
      <c r="J70" s="34"/>
      <c r="K70" s="34"/>
      <c r="L70" s="34"/>
      <c r="M70" s="34"/>
      <c r="N70" s="34"/>
      <c r="O70" s="34"/>
      <c r="P70" s="34"/>
      <c r="Q70" s="34"/>
      <c r="R70" s="34"/>
      <c r="S70" s="34"/>
      <c r="T70" s="34"/>
      <c r="U70" s="34"/>
      <c r="V70" s="34"/>
      <c r="W70" s="34"/>
      <c r="X70" s="34"/>
      <c r="Y70" s="34"/>
      <c r="Z70" s="34"/>
      <c r="AA70" s="34"/>
    </row>
    <row r="71" spans="2:27" x14ac:dyDescent="0.35">
      <c r="B71" s="12" t="s">
        <v>184</v>
      </c>
      <c r="C71" s="26">
        <f>IFERROR(D41/$N$13-1,"-       ")</f>
        <v>0.12549999999999994</v>
      </c>
      <c r="D71" s="26">
        <f>IFERROR(D43/N46-1,"-       ")</f>
        <v>8.4799999999999986E-2</v>
      </c>
      <c r="E71" s="26">
        <f>IFERROR(D47/N59-1,"-       ")</f>
        <v>0.35499999999999998</v>
      </c>
      <c r="F71" s="10"/>
      <c r="G71" s="34" t="s">
        <v>243</v>
      </c>
      <c r="H71" s="34"/>
      <c r="I71" s="34"/>
      <c r="J71" s="34"/>
      <c r="K71" s="34"/>
      <c r="L71" s="34"/>
      <c r="M71" s="34"/>
      <c r="N71" s="34"/>
      <c r="O71" s="34"/>
      <c r="P71" s="34"/>
      <c r="Q71" s="34"/>
      <c r="R71" s="34"/>
      <c r="S71" s="34"/>
      <c r="T71" s="34"/>
      <c r="U71" s="34"/>
      <c r="V71" s="34"/>
      <c r="W71" s="34"/>
      <c r="X71" s="34"/>
      <c r="Y71" s="34"/>
      <c r="Z71" s="34"/>
      <c r="AA71" s="34"/>
    </row>
    <row r="72" spans="2:27" x14ac:dyDescent="0.35">
      <c r="B72" s="12" t="s">
        <v>185</v>
      </c>
      <c r="C72" s="26">
        <f>IFERROR((E41/$N$13)^0.5-1,"-       ")</f>
        <v>0.12549999999999994</v>
      </c>
      <c r="D72" s="26">
        <f>IFERROR((E43/$N$46)^0.5-1,"-       ")</f>
        <v>8.4799999999999986E-2</v>
      </c>
      <c r="E72" s="26">
        <f>IFERROR((E47/$N$59)^0.5-1,"-       ")</f>
        <v>0.35499999999999998</v>
      </c>
      <c r="F72" s="10"/>
      <c r="G72" s="34" t="s">
        <v>244</v>
      </c>
      <c r="H72" s="34"/>
      <c r="I72" s="34"/>
      <c r="J72" s="34"/>
      <c r="K72" s="34"/>
      <c r="L72" s="34"/>
      <c r="M72" s="34"/>
      <c r="N72" s="34"/>
      <c r="O72" s="34"/>
      <c r="P72" s="34"/>
      <c r="Q72" s="34"/>
      <c r="R72" s="34"/>
      <c r="S72" s="34"/>
      <c r="T72" s="34"/>
      <c r="U72" s="34"/>
      <c r="V72" s="34"/>
      <c r="W72" s="34"/>
      <c r="X72" s="34"/>
      <c r="Y72" s="34"/>
      <c r="Z72" s="34"/>
      <c r="AA72" s="34"/>
    </row>
    <row r="73" spans="2:27" x14ac:dyDescent="0.35">
      <c r="B73" s="204" t="s">
        <v>191</v>
      </c>
      <c r="C73" s="204"/>
      <c r="D73" s="204"/>
      <c r="E73" s="40">
        <f>'Output TM'!AE24</f>
        <v>0.107</v>
      </c>
      <c r="F73" s="10"/>
      <c r="G73" s="34" t="s">
        <v>245</v>
      </c>
      <c r="H73" s="34"/>
      <c r="I73" s="34"/>
      <c r="J73" s="34"/>
      <c r="K73" s="34"/>
      <c r="L73" s="34"/>
      <c r="M73" s="34"/>
      <c r="N73" s="34"/>
      <c r="O73" s="34"/>
      <c r="P73" s="34"/>
      <c r="Q73" s="34"/>
      <c r="R73" s="34"/>
      <c r="S73" s="34"/>
      <c r="T73" s="34"/>
      <c r="U73" s="34"/>
      <c r="V73" s="34"/>
      <c r="W73" s="34"/>
      <c r="X73" s="34"/>
      <c r="Y73" s="34"/>
      <c r="Z73" s="34"/>
      <c r="AA73" s="34"/>
    </row>
    <row r="74" spans="2:27" x14ac:dyDescent="0.35"/>
  </sheetData>
  <mergeCells count="416">
    <mergeCell ref="B11:C11"/>
    <mergeCell ref="G11:I11"/>
    <mergeCell ref="P11:Q11"/>
    <mergeCell ref="R11:S11"/>
    <mergeCell ref="T11:U11"/>
    <mergeCell ref="W11:Y11"/>
    <mergeCell ref="B2:Q3"/>
    <mergeCell ref="W3:AA5"/>
    <mergeCell ref="B4:J4"/>
    <mergeCell ref="B10:C10"/>
    <mergeCell ref="G10:I10"/>
    <mergeCell ref="J10:O11"/>
    <mergeCell ref="P10:Q10"/>
    <mergeCell ref="R10:S10"/>
    <mergeCell ref="T10:U10"/>
    <mergeCell ref="W10:Y10"/>
    <mergeCell ref="R12:S12"/>
    <mergeCell ref="T12:U12"/>
    <mergeCell ref="W12:Y12"/>
    <mergeCell ref="B13:C13"/>
    <mergeCell ref="G13:I13"/>
    <mergeCell ref="J13:K13"/>
    <mergeCell ref="L13:M13"/>
    <mergeCell ref="N13:O13"/>
    <mergeCell ref="P13:Q13"/>
    <mergeCell ref="R13:S13"/>
    <mergeCell ref="B12:C12"/>
    <mergeCell ref="G12:I12"/>
    <mergeCell ref="J12:K12"/>
    <mergeCell ref="L12:M12"/>
    <mergeCell ref="N12:O12"/>
    <mergeCell ref="P12:Q12"/>
    <mergeCell ref="T13:U13"/>
    <mergeCell ref="W13:Y13"/>
    <mergeCell ref="B14:D14"/>
    <mergeCell ref="G14:I14"/>
    <mergeCell ref="J14:K14"/>
    <mergeCell ref="L14:M14"/>
    <mergeCell ref="N14:O14"/>
    <mergeCell ref="P14:Q14"/>
    <mergeCell ref="R14:S14"/>
    <mergeCell ref="T14:U14"/>
    <mergeCell ref="W14:Y14"/>
    <mergeCell ref="B15:C15"/>
    <mergeCell ref="G15:I15"/>
    <mergeCell ref="J15:K15"/>
    <mergeCell ref="L15:M15"/>
    <mergeCell ref="N15:O15"/>
    <mergeCell ref="P15:Q15"/>
    <mergeCell ref="R15:S15"/>
    <mergeCell ref="T15:U15"/>
    <mergeCell ref="W15:Y15"/>
    <mergeCell ref="R16:S16"/>
    <mergeCell ref="T16:U16"/>
    <mergeCell ref="W16:Y16"/>
    <mergeCell ref="B17:C17"/>
    <mergeCell ref="G17:I17"/>
    <mergeCell ref="J17:K17"/>
    <mergeCell ref="L17:M17"/>
    <mergeCell ref="N17:O17"/>
    <mergeCell ref="P17:Q17"/>
    <mergeCell ref="R17:S17"/>
    <mergeCell ref="B16:C16"/>
    <mergeCell ref="G16:I16"/>
    <mergeCell ref="J16:K16"/>
    <mergeCell ref="L16:M16"/>
    <mergeCell ref="N16:O16"/>
    <mergeCell ref="P16:Q16"/>
    <mergeCell ref="T17:U17"/>
    <mergeCell ref="W17:Y17"/>
    <mergeCell ref="G18:I18"/>
    <mergeCell ref="J18:K18"/>
    <mergeCell ref="L18:M18"/>
    <mergeCell ref="N18:O18"/>
    <mergeCell ref="P18:Q18"/>
    <mergeCell ref="R18:S18"/>
    <mergeCell ref="T18:U18"/>
    <mergeCell ref="W18:Y18"/>
    <mergeCell ref="T19:U19"/>
    <mergeCell ref="W19:Y19"/>
    <mergeCell ref="G20:I20"/>
    <mergeCell ref="J20:K20"/>
    <mergeCell ref="L20:M20"/>
    <mergeCell ref="N20:O20"/>
    <mergeCell ref="P20:Q20"/>
    <mergeCell ref="R20:S20"/>
    <mergeCell ref="T20:U20"/>
    <mergeCell ref="W20:X20"/>
    <mergeCell ref="G19:I19"/>
    <mergeCell ref="J19:K19"/>
    <mergeCell ref="L19:M19"/>
    <mergeCell ref="N19:O19"/>
    <mergeCell ref="P19:Q19"/>
    <mergeCell ref="R19:S19"/>
    <mergeCell ref="R21:S21"/>
    <mergeCell ref="T21:U21"/>
    <mergeCell ref="W21:Y21"/>
    <mergeCell ref="B22:C22"/>
    <mergeCell ref="G22:I22"/>
    <mergeCell ref="J22:K22"/>
    <mergeCell ref="L22:M22"/>
    <mergeCell ref="N22:O22"/>
    <mergeCell ref="P22:Q22"/>
    <mergeCell ref="R22:S22"/>
    <mergeCell ref="B21:C21"/>
    <mergeCell ref="G21:I21"/>
    <mergeCell ref="J21:K21"/>
    <mergeCell ref="L21:M21"/>
    <mergeCell ref="N21:O21"/>
    <mergeCell ref="P21:Q21"/>
    <mergeCell ref="T22:U22"/>
    <mergeCell ref="W22:Y22"/>
    <mergeCell ref="B23:C23"/>
    <mergeCell ref="G23:I23"/>
    <mergeCell ref="J23:K23"/>
    <mergeCell ref="L23:M23"/>
    <mergeCell ref="N23:O23"/>
    <mergeCell ref="P23:Q23"/>
    <mergeCell ref="R23:S23"/>
    <mergeCell ref="T23:U23"/>
    <mergeCell ref="W23:Y23"/>
    <mergeCell ref="B24:C24"/>
    <mergeCell ref="G24:I24"/>
    <mergeCell ref="J24:K24"/>
    <mergeCell ref="L24:M24"/>
    <mergeCell ref="N24:O24"/>
    <mergeCell ref="P24:Q24"/>
    <mergeCell ref="R24:S24"/>
    <mergeCell ref="T24:U24"/>
    <mergeCell ref="W24:Y24"/>
    <mergeCell ref="R25:S25"/>
    <mergeCell ref="T25:U25"/>
    <mergeCell ref="W25:Y25"/>
    <mergeCell ref="B26:C26"/>
    <mergeCell ref="G26:I26"/>
    <mergeCell ref="J26:K26"/>
    <mergeCell ref="L26:M26"/>
    <mergeCell ref="N26:O26"/>
    <mergeCell ref="P26:Q26"/>
    <mergeCell ref="R26:S26"/>
    <mergeCell ref="B25:C25"/>
    <mergeCell ref="G25:I25"/>
    <mergeCell ref="J25:K25"/>
    <mergeCell ref="L25:M25"/>
    <mergeCell ref="N25:O25"/>
    <mergeCell ref="P25:Q25"/>
    <mergeCell ref="T26:U26"/>
    <mergeCell ref="W26:Y26"/>
    <mergeCell ref="G27:I27"/>
    <mergeCell ref="J27:K27"/>
    <mergeCell ref="L27:M27"/>
    <mergeCell ref="N27:O27"/>
    <mergeCell ref="P27:Q27"/>
    <mergeCell ref="R27:S27"/>
    <mergeCell ref="T27:U27"/>
    <mergeCell ref="W27:Y27"/>
    <mergeCell ref="T29:U29"/>
    <mergeCell ref="W29:Y29"/>
    <mergeCell ref="B30:C30"/>
    <mergeCell ref="W30:Y30"/>
    <mergeCell ref="B31:C31"/>
    <mergeCell ref="W31:Y31"/>
    <mergeCell ref="R28:S28"/>
    <mergeCell ref="T28:U28"/>
    <mergeCell ref="W28:Y28"/>
    <mergeCell ref="B29:C29"/>
    <mergeCell ref="G29:I29"/>
    <mergeCell ref="J29:K29"/>
    <mergeCell ref="L29:M29"/>
    <mergeCell ref="N29:O29"/>
    <mergeCell ref="P29:Q29"/>
    <mergeCell ref="R29:S29"/>
    <mergeCell ref="B28:C28"/>
    <mergeCell ref="G28:I28"/>
    <mergeCell ref="J28:K28"/>
    <mergeCell ref="L28:M28"/>
    <mergeCell ref="N28:O28"/>
    <mergeCell ref="P28:Q28"/>
    <mergeCell ref="B34:C34"/>
    <mergeCell ref="G34:I34"/>
    <mergeCell ref="J34:K34"/>
    <mergeCell ref="L34:M34"/>
    <mergeCell ref="N34:O34"/>
    <mergeCell ref="P34:Q34"/>
    <mergeCell ref="B32:C32"/>
    <mergeCell ref="W32:Y32"/>
    <mergeCell ref="G33:I33"/>
    <mergeCell ref="J33:K33"/>
    <mergeCell ref="L33:M33"/>
    <mergeCell ref="N33:O33"/>
    <mergeCell ref="P33:Q33"/>
    <mergeCell ref="R33:S33"/>
    <mergeCell ref="T33:U33"/>
    <mergeCell ref="W33:Y33"/>
    <mergeCell ref="R34:S34"/>
    <mergeCell ref="T34:U34"/>
    <mergeCell ref="W34:Y34"/>
    <mergeCell ref="G35:I35"/>
    <mergeCell ref="J35:K35"/>
    <mergeCell ref="L35:M35"/>
    <mergeCell ref="N35:O35"/>
    <mergeCell ref="P35:Q35"/>
    <mergeCell ref="R35:S35"/>
    <mergeCell ref="T35:U35"/>
    <mergeCell ref="W35:Y35"/>
    <mergeCell ref="G36:I36"/>
    <mergeCell ref="J36:K36"/>
    <mergeCell ref="L36:M36"/>
    <mergeCell ref="N36:O36"/>
    <mergeCell ref="P36:Q36"/>
    <mergeCell ref="R36:S36"/>
    <mergeCell ref="T36:U36"/>
    <mergeCell ref="W36:Y36"/>
    <mergeCell ref="T37:U37"/>
    <mergeCell ref="G38:I38"/>
    <mergeCell ref="J38:K38"/>
    <mergeCell ref="L38:M38"/>
    <mergeCell ref="N38:O38"/>
    <mergeCell ref="P38:Q38"/>
    <mergeCell ref="R38:S38"/>
    <mergeCell ref="T38:U38"/>
    <mergeCell ref="G37:I37"/>
    <mergeCell ref="J37:K37"/>
    <mergeCell ref="L37:M37"/>
    <mergeCell ref="N37:O37"/>
    <mergeCell ref="P37:Q37"/>
    <mergeCell ref="R37:S37"/>
    <mergeCell ref="T39:U39"/>
    <mergeCell ref="G40:I40"/>
    <mergeCell ref="J40:K40"/>
    <mergeCell ref="L40:M40"/>
    <mergeCell ref="N40:O40"/>
    <mergeCell ref="P40:Q40"/>
    <mergeCell ref="R40:S40"/>
    <mergeCell ref="T40:U40"/>
    <mergeCell ref="G39:I39"/>
    <mergeCell ref="J39:K39"/>
    <mergeCell ref="L39:M39"/>
    <mergeCell ref="N39:O39"/>
    <mergeCell ref="P39:Q39"/>
    <mergeCell ref="R39:S39"/>
    <mergeCell ref="W40:Y40"/>
    <mergeCell ref="G41:I41"/>
    <mergeCell ref="J41:K41"/>
    <mergeCell ref="L41:M41"/>
    <mergeCell ref="N41:O41"/>
    <mergeCell ref="P41:Q41"/>
    <mergeCell ref="R41:S41"/>
    <mergeCell ref="T41:U41"/>
    <mergeCell ref="W41:Z41"/>
    <mergeCell ref="T42:U42"/>
    <mergeCell ref="W42:Y42"/>
    <mergeCell ref="G43:I43"/>
    <mergeCell ref="J43:K43"/>
    <mergeCell ref="L43:M43"/>
    <mergeCell ref="N43:O43"/>
    <mergeCell ref="P43:Q43"/>
    <mergeCell ref="R43:S43"/>
    <mergeCell ref="T43:U43"/>
    <mergeCell ref="W43:Y43"/>
    <mergeCell ref="G42:I42"/>
    <mergeCell ref="J42:K42"/>
    <mergeCell ref="L42:M42"/>
    <mergeCell ref="N42:O42"/>
    <mergeCell ref="P42:Q42"/>
    <mergeCell ref="R42:S42"/>
    <mergeCell ref="T44:U44"/>
    <mergeCell ref="W44:Y44"/>
    <mergeCell ref="G45:I45"/>
    <mergeCell ref="J45:K45"/>
    <mergeCell ref="L45:M45"/>
    <mergeCell ref="N45:O45"/>
    <mergeCell ref="P45:Q45"/>
    <mergeCell ref="R45:S45"/>
    <mergeCell ref="T45:U45"/>
    <mergeCell ref="W45:Y45"/>
    <mergeCell ref="G44:I44"/>
    <mergeCell ref="J44:K44"/>
    <mergeCell ref="L44:M44"/>
    <mergeCell ref="N44:O44"/>
    <mergeCell ref="P44:Q44"/>
    <mergeCell ref="R44:S44"/>
    <mergeCell ref="W47:Y47"/>
    <mergeCell ref="G48:I48"/>
    <mergeCell ref="J48:K48"/>
    <mergeCell ref="L48:M48"/>
    <mergeCell ref="N48:O48"/>
    <mergeCell ref="P48:Q48"/>
    <mergeCell ref="R48:S48"/>
    <mergeCell ref="T48:U48"/>
    <mergeCell ref="T46:U46"/>
    <mergeCell ref="G47:I47"/>
    <mergeCell ref="J47:K47"/>
    <mergeCell ref="L47:M47"/>
    <mergeCell ref="N47:O47"/>
    <mergeCell ref="P47:Q47"/>
    <mergeCell ref="R47:S47"/>
    <mergeCell ref="T47:U47"/>
    <mergeCell ref="G46:I46"/>
    <mergeCell ref="J46:K46"/>
    <mergeCell ref="L46:M46"/>
    <mergeCell ref="N46:O46"/>
    <mergeCell ref="P46:Q46"/>
    <mergeCell ref="R46:S46"/>
    <mergeCell ref="T49:U49"/>
    <mergeCell ref="G50:I50"/>
    <mergeCell ref="J50:K50"/>
    <mergeCell ref="L50:M50"/>
    <mergeCell ref="N50:O50"/>
    <mergeCell ref="P50:Q50"/>
    <mergeCell ref="R50:S50"/>
    <mergeCell ref="T50:U50"/>
    <mergeCell ref="G49:I49"/>
    <mergeCell ref="J49:K49"/>
    <mergeCell ref="L49:M49"/>
    <mergeCell ref="N49:O49"/>
    <mergeCell ref="P49:Q49"/>
    <mergeCell ref="R49:S49"/>
    <mergeCell ref="R51:S51"/>
    <mergeCell ref="T51:U51"/>
    <mergeCell ref="B52:D52"/>
    <mergeCell ref="G52:I52"/>
    <mergeCell ref="J52:K52"/>
    <mergeCell ref="L52:M52"/>
    <mergeCell ref="N52:O52"/>
    <mergeCell ref="P52:Q52"/>
    <mergeCell ref="R52:S52"/>
    <mergeCell ref="T52:U52"/>
    <mergeCell ref="B51:D51"/>
    <mergeCell ref="G51:I51"/>
    <mergeCell ref="J51:K51"/>
    <mergeCell ref="L51:M51"/>
    <mergeCell ref="N51:O51"/>
    <mergeCell ref="P51:Q51"/>
    <mergeCell ref="R53:S53"/>
    <mergeCell ref="T53:U53"/>
    <mergeCell ref="B54:D54"/>
    <mergeCell ref="G54:I54"/>
    <mergeCell ref="J54:K54"/>
    <mergeCell ref="L54:M54"/>
    <mergeCell ref="N54:O54"/>
    <mergeCell ref="P54:Q54"/>
    <mergeCell ref="R54:S54"/>
    <mergeCell ref="T54:U54"/>
    <mergeCell ref="B53:D53"/>
    <mergeCell ref="G53:I53"/>
    <mergeCell ref="J53:K53"/>
    <mergeCell ref="L53:M53"/>
    <mergeCell ref="N53:O53"/>
    <mergeCell ref="P53:Q53"/>
    <mergeCell ref="T55:U55"/>
    <mergeCell ref="G56:I56"/>
    <mergeCell ref="J56:K56"/>
    <mergeCell ref="L56:M56"/>
    <mergeCell ref="N56:O56"/>
    <mergeCell ref="P56:Q56"/>
    <mergeCell ref="R56:S56"/>
    <mergeCell ref="T56:U56"/>
    <mergeCell ref="G55:I55"/>
    <mergeCell ref="J55:K55"/>
    <mergeCell ref="L55:M55"/>
    <mergeCell ref="N55:O55"/>
    <mergeCell ref="P55:Q55"/>
    <mergeCell ref="R55:S55"/>
    <mergeCell ref="T57:U57"/>
    <mergeCell ref="B58:D58"/>
    <mergeCell ref="G58:I58"/>
    <mergeCell ref="J58:K58"/>
    <mergeCell ref="L58:M58"/>
    <mergeCell ref="N58:O58"/>
    <mergeCell ref="P58:Q58"/>
    <mergeCell ref="R58:S58"/>
    <mergeCell ref="T58:U58"/>
    <mergeCell ref="G57:I57"/>
    <mergeCell ref="J57:K57"/>
    <mergeCell ref="L57:M57"/>
    <mergeCell ref="N57:O57"/>
    <mergeCell ref="P57:Q57"/>
    <mergeCell ref="R57:S57"/>
    <mergeCell ref="B60:D60"/>
    <mergeCell ref="B61:D61"/>
    <mergeCell ref="B62:D62"/>
    <mergeCell ref="B63:D63"/>
    <mergeCell ref="J63:K63"/>
    <mergeCell ref="L63:M63"/>
    <mergeCell ref="N63:O63"/>
    <mergeCell ref="P63:Q63"/>
    <mergeCell ref="B59:D59"/>
    <mergeCell ref="G59:I59"/>
    <mergeCell ref="J59:K59"/>
    <mergeCell ref="L59:M59"/>
    <mergeCell ref="N59:O59"/>
    <mergeCell ref="P59:Q59"/>
    <mergeCell ref="R63:S63"/>
    <mergeCell ref="T63:U63"/>
    <mergeCell ref="J64:K64"/>
    <mergeCell ref="L64:M64"/>
    <mergeCell ref="N64:O64"/>
    <mergeCell ref="P64:Q64"/>
    <mergeCell ref="R64:S64"/>
    <mergeCell ref="T64:U64"/>
    <mergeCell ref="R59:S59"/>
    <mergeCell ref="T59:U59"/>
    <mergeCell ref="B73:D73"/>
    <mergeCell ref="J66:K66"/>
    <mergeCell ref="L66:M66"/>
    <mergeCell ref="N66:O66"/>
    <mergeCell ref="P66:Q66"/>
    <mergeCell ref="R66:S66"/>
    <mergeCell ref="T66:U66"/>
    <mergeCell ref="J65:K65"/>
    <mergeCell ref="L65:M65"/>
    <mergeCell ref="N65:O65"/>
    <mergeCell ref="P65:Q65"/>
    <mergeCell ref="R65:S65"/>
    <mergeCell ref="T65:U65"/>
  </mergeCells>
  <pageMargins left="0.7" right="0.7" top="0.75" bottom="0.75" header="0.3" footer="0.3"/>
  <drawing r:id="rId1"/>
  <picture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92825A-DD2B-41F3-BDDA-B271A3505B0B}">
  <dimension ref="A1:XFC49"/>
  <sheetViews>
    <sheetView showGridLines="0" zoomScale="72" zoomScaleNormal="50" workbookViewId="0">
      <selection activeCell="C16" sqref="C16:F16"/>
    </sheetView>
  </sheetViews>
  <sheetFormatPr defaultColWidth="8.7265625" defaultRowHeight="14.5" customHeight="1" zeroHeight="1" x14ac:dyDescent="0.35"/>
  <cols>
    <col min="1" max="1" width="7" customWidth="1"/>
    <col min="2" max="2" width="3.54296875" hidden="1" customWidth="1"/>
    <col min="3" max="7" width="8.7265625" customWidth="1"/>
    <col min="8" max="8" width="9.7265625" customWidth="1"/>
    <col min="9" max="9" width="11.90625" bestFit="1" customWidth="1"/>
    <col min="10" max="10" width="0.6328125" customWidth="1"/>
    <col min="11" max="12" width="15" bestFit="1" customWidth="1"/>
    <col min="13" max="13" width="0.7265625" customWidth="1"/>
    <col min="14" max="15" width="15" style="53" bestFit="1" customWidth="1"/>
    <col min="16" max="16" width="14.453125" style="53" customWidth="1"/>
    <col min="17" max="17" width="1.08984375" customWidth="1"/>
    <col min="18" max="19" width="12" bestFit="1" customWidth="1"/>
    <col min="20" max="20" width="16.36328125" bestFit="1" customWidth="1"/>
    <col min="21" max="21" width="2.7265625" bestFit="1" customWidth="1"/>
    <col min="22" max="22" width="12" bestFit="1" customWidth="1"/>
    <col min="23" max="23" width="13.453125" bestFit="1" customWidth="1"/>
    <col min="24" max="24" width="12.81640625" bestFit="1" customWidth="1"/>
    <col min="25" max="25" width="12" bestFit="1" customWidth="1"/>
    <col min="26" max="26" width="2.7265625" bestFit="1" customWidth="1"/>
    <col min="27" max="28" width="12" bestFit="1" customWidth="1"/>
    <col min="29" max="29" width="0.6328125" customWidth="1"/>
    <col min="30" max="30" width="14" bestFit="1" customWidth="1"/>
    <col min="31" max="31" width="11.81640625" bestFit="1" customWidth="1"/>
    <col min="32" max="32" width="0.7265625" customWidth="1"/>
    <col min="33" max="33" width="11.90625" bestFit="1" customWidth="1"/>
    <col min="34" max="34" width="14.1796875" bestFit="1" customWidth="1"/>
    <col min="35" max="35" width="13.54296875" customWidth="1"/>
    <col min="37" max="16379" width="0" hidden="1" customWidth="1"/>
    <col min="16380" max="16380" width="6.6328125" hidden="1" customWidth="1"/>
    <col min="16381" max="16381" width="4.453125" hidden="1" customWidth="1"/>
    <col min="16382" max="16383" width="3.1796875" hidden="1" customWidth="1"/>
    <col min="16384" max="16384" width="2.26953125" hidden="1" customWidth="1"/>
  </cols>
  <sheetData>
    <row r="1" spans="2:44" x14ac:dyDescent="0.35"/>
    <row r="2" spans="2:44" x14ac:dyDescent="0.35">
      <c r="C2" s="258" t="s">
        <v>246</v>
      </c>
      <c r="D2" s="259"/>
      <c r="E2" s="259"/>
      <c r="F2" s="259"/>
      <c r="G2" s="259"/>
      <c r="H2" s="259"/>
      <c r="I2" s="259"/>
      <c r="J2" s="259"/>
      <c r="K2" s="259"/>
      <c r="L2" s="259"/>
      <c r="M2" s="259"/>
      <c r="N2" s="259"/>
      <c r="O2" s="259"/>
      <c r="P2" s="54"/>
      <c r="Q2" s="5"/>
      <c r="R2" s="5"/>
      <c r="S2" s="5"/>
      <c r="T2" s="5"/>
      <c r="U2" s="5"/>
      <c r="V2" s="5"/>
      <c r="W2" s="5"/>
      <c r="X2" s="5"/>
      <c r="Y2" s="5"/>
      <c r="Z2" s="5"/>
      <c r="AA2" s="5"/>
      <c r="AB2" s="5"/>
      <c r="AC2" s="5"/>
      <c r="AD2" s="5"/>
      <c r="AE2" s="5"/>
      <c r="AF2" s="5"/>
      <c r="AG2" s="5"/>
      <c r="AH2" s="5"/>
      <c r="AK2" s="5"/>
      <c r="AL2" s="5"/>
      <c r="AM2" s="5"/>
      <c r="AN2" s="5"/>
      <c r="AO2" s="5"/>
      <c r="AP2" s="5"/>
      <c r="AQ2" s="5"/>
      <c r="AR2" s="5"/>
    </row>
    <row r="3" spans="2:44" x14ac:dyDescent="0.35">
      <c r="C3" s="259"/>
      <c r="D3" s="259"/>
      <c r="E3" s="259"/>
      <c r="F3" s="259"/>
      <c r="G3" s="259"/>
      <c r="H3" s="259"/>
      <c r="I3" s="259"/>
      <c r="J3" s="259"/>
      <c r="K3" s="259"/>
      <c r="L3" s="259"/>
      <c r="M3" s="259"/>
      <c r="N3" s="259"/>
      <c r="O3" s="259"/>
      <c r="P3" s="54"/>
      <c r="Q3" s="5"/>
      <c r="R3" s="5"/>
      <c r="S3" s="5"/>
      <c r="T3" s="5"/>
      <c r="U3" s="5"/>
      <c r="V3" s="5"/>
      <c r="W3" s="5"/>
      <c r="X3" s="5"/>
      <c r="Y3" s="5"/>
      <c r="Z3" s="5"/>
      <c r="AA3" s="5"/>
      <c r="AB3" s="5"/>
      <c r="AC3" s="5"/>
      <c r="AD3" s="5"/>
      <c r="AE3" s="5"/>
      <c r="AF3" s="5"/>
      <c r="AG3" s="5"/>
      <c r="AH3" s="5"/>
      <c r="AK3" s="5"/>
      <c r="AL3" s="5"/>
      <c r="AM3" s="5"/>
      <c r="AN3" s="5"/>
      <c r="AO3" s="5"/>
      <c r="AP3" s="5"/>
      <c r="AQ3" s="5"/>
      <c r="AR3" s="5"/>
    </row>
    <row r="4" spans="2:44" ht="15.5" x14ac:dyDescent="0.35">
      <c r="C4" s="261" t="s">
        <v>247</v>
      </c>
      <c r="D4" s="262"/>
      <c r="E4" s="262"/>
      <c r="F4" s="262"/>
      <c r="G4" s="262"/>
      <c r="H4" s="262"/>
      <c r="I4" s="262"/>
      <c r="J4" s="262"/>
      <c r="K4" s="262"/>
      <c r="L4" s="262"/>
      <c r="M4" s="262"/>
      <c r="N4" s="262"/>
      <c r="O4" s="262"/>
      <c r="P4" s="54"/>
      <c r="Q4" s="5"/>
      <c r="R4" s="5"/>
      <c r="S4" s="5"/>
      <c r="T4" s="5"/>
      <c r="U4" s="5"/>
      <c r="V4" s="5"/>
      <c r="W4" s="5"/>
      <c r="X4" s="5"/>
      <c r="Y4" s="5"/>
      <c r="Z4" s="5"/>
      <c r="AA4" s="5"/>
      <c r="AB4" s="5"/>
      <c r="AC4" s="5"/>
      <c r="AD4" s="5"/>
      <c r="AE4" s="5"/>
      <c r="AF4" s="5"/>
      <c r="AG4" s="5"/>
      <c r="AH4" s="5"/>
      <c r="AK4" s="5"/>
      <c r="AL4" s="5"/>
      <c r="AM4" s="5"/>
      <c r="AN4" s="5"/>
      <c r="AO4" s="5"/>
      <c r="AP4" s="5"/>
      <c r="AQ4" s="5"/>
      <c r="AR4" s="5"/>
    </row>
    <row r="5" spans="2:44" x14ac:dyDescent="0.35">
      <c r="C5" s="7" t="s">
        <v>38</v>
      </c>
      <c r="D5" s="5"/>
      <c r="E5" s="5"/>
      <c r="F5" s="5"/>
      <c r="G5" s="5"/>
      <c r="H5" s="5"/>
      <c r="I5" s="5"/>
      <c r="J5" s="5"/>
      <c r="K5" s="5"/>
      <c r="L5" s="5"/>
      <c r="M5" s="5"/>
      <c r="N5" s="54"/>
      <c r="O5" s="54"/>
      <c r="P5" s="54"/>
      <c r="Q5" s="5"/>
      <c r="R5" s="5"/>
      <c r="S5" s="5"/>
      <c r="T5" s="5"/>
      <c r="U5" s="5"/>
      <c r="V5" s="5"/>
      <c r="W5" s="5"/>
      <c r="X5" s="5"/>
      <c r="Y5" s="5"/>
      <c r="Z5" s="5"/>
      <c r="AA5" s="5"/>
      <c r="AB5" s="5"/>
      <c r="AC5" s="5"/>
      <c r="AD5" s="5"/>
      <c r="AE5" s="5"/>
      <c r="AF5" s="5"/>
      <c r="AG5" s="5"/>
      <c r="AH5" s="5"/>
      <c r="AK5" s="5"/>
      <c r="AL5" s="5"/>
      <c r="AM5" s="5"/>
      <c r="AN5" s="5"/>
      <c r="AO5" s="5"/>
      <c r="AP5" s="5"/>
      <c r="AQ5" s="5"/>
      <c r="AR5" s="5"/>
    </row>
    <row r="6" spans="2:44" x14ac:dyDescent="0.35"/>
    <row r="7" spans="2:44" x14ac:dyDescent="0.35"/>
    <row r="8" spans="2:44" x14ac:dyDescent="0.35">
      <c r="C8" s="313" t="s">
        <v>39</v>
      </c>
      <c r="D8" s="313"/>
      <c r="E8" s="313"/>
      <c r="F8" s="313"/>
      <c r="G8" s="313"/>
      <c r="H8" s="313"/>
      <c r="I8" s="313"/>
      <c r="K8" s="313" t="s">
        <v>248</v>
      </c>
      <c r="L8" s="313"/>
      <c r="N8" s="316" t="s">
        <v>300</v>
      </c>
      <c r="O8" s="316"/>
      <c r="P8" s="316"/>
      <c r="R8" s="313" t="s">
        <v>301</v>
      </c>
      <c r="S8" s="313"/>
      <c r="T8" s="313"/>
      <c r="V8" s="313" t="s">
        <v>177</v>
      </c>
      <c r="W8" s="313"/>
      <c r="X8" s="313"/>
      <c r="Y8" s="313"/>
      <c r="AA8" s="313" t="s">
        <v>249</v>
      </c>
      <c r="AB8" s="313"/>
      <c r="AD8" s="313" t="s">
        <v>302</v>
      </c>
      <c r="AE8" s="313"/>
      <c r="AG8" s="313" t="s">
        <v>303</v>
      </c>
      <c r="AH8" s="313"/>
    </row>
    <row r="9" spans="2:44" ht="21" x14ac:dyDescent="0.5">
      <c r="C9" s="55"/>
      <c r="D9" s="55"/>
      <c r="E9" s="55"/>
      <c r="F9" s="55"/>
      <c r="G9" s="55"/>
      <c r="H9" s="55"/>
      <c r="I9" s="55"/>
      <c r="J9" s="55"/>
      <c r="K9" s="55"/>
      <c r="L9" s="55"/>
      <c r="M9" s="55"/>
      <c r="N9" s="56"/>
      <c r="O9" s="56"/>
      <c r="P9" s="56"/>
      <c r="Q9" s="57"/>
      <c r="R9" s="57" t="s">
        <v>250</v>
      </c>
      <c r="S9" s="57"/>
      <c r="T9" s="57" t="s">
        <v>251</v>
      </c>
      <c r="U9" s="57"/>
      <c r="V9" s="314" t="s">
        <v>8</v>
      </c>
      <c r="W9" s="315"/>
      <c r="X9" s="314" t="s">
        <v>180</v>
      </c>
      <c r="Y9" s="315"/>
      <c r="Z9" s="55"/>
      <c r="AA9" s="55"/>
      <c r="AB9" s="55"/>
      <c r="AC9" s="58"/>
      <c r="AD9" s="58" t="s">
        <v>252</v>
      </c>
      <c r="AE9" s="57" t="s">
        <v>253</v>
      </c>
      <c r="AF9" s="55"/>
      <c r="AG9" s="57" t="s">
        <v>254</v>
      </c>
      <c r="AH9" s="57" t="s">
        <v>255</v>
      </c>
    </row>
    <row r="10" spans="2:44" s="59" customFormat="1" ht="21" x14ac:dyDescent="0.5">
      <c r="C10" s="57"/>
      <c r="D10" s="57"/>
      <c r="E10" s="57"/>
      <c r="F10" s="57"/>
      <c r="G10" s="57"/>
      <c r="H10" s="57"/>
      <c r="I10" s="57"/>
      <c r="J10" s="57"/>
      <c r="K10" s="57" t="s">
        <v>1</v>
      </c>
      <c r="L10" s="57" t="s">
        <v>2</v>
      </c>
      <c r="M10" s="57"/>
      <c r="N10" s="60"/>
      <c r="O10" s="60"/>
      <c r="P10" s="60" t="s">
        <v>256</v>
      </c>
      <c r="Q10" s="57"/>
      <c r="R10" s="57" t="s">
        <v>257</v>
      </c>
      <c r="S10" s="57" t="s">
        <v>180</v>
      </c>
      <c r="T10" s="57" t="s">
        <v>258</v>
      </c>
      <c r="U10" s="57"/>
      <c r="V10" s="57" t="s">
        <v>259</v>
      </c>
      <c r="W10" s="57" t="s">
        <v>260</v>
      </c>
      <c r="X10" s="57" t="s">
        <v>259</v>
      </c>
      <c r="Y10" s="57" t="s">
        <v>260</v>
      </c>
      <c r="Z10" s="57"/>
      <c r="AA10" s="57" t="s">
        <v>261</v>
      </c>
      <c r="AB10" s="57" t="s">
        <v>262</v>
      </c>
      <c r="AC10" s="57"/>
      <c r="AD10" s="57" t="s">
        <v>180</v>
      </c>
      <c r="AE10" s="57" t="s">
        <v>263</v>
      </c>
      <c r="AF10" s="57"/>
      <c r="AG10" s="57" t="s">
        <v>264</v>
      </c>
      <c r="AH10" s="61" t="s">
        <v>265</v>
      </c>
    </row>
    <row r="11" spans="2:44" s="62" customFormat="1" ht="21" x14ac:dyDescent="0.5">
      <c r="C11" s="311" t="s">
        <v>4</v>
      </c>
      <c r="D11" s="311"/>
      <c r="E11" s="311"/>
      <c r="F11" s="311"/>
      <c r="G11" s="57" t="s">
        <v>5</v>
      </c>
      <c r="H11" s="57" t="s">
        <v>266</v>
      </c>
      <c r="I11" s="57" t="s">
        <v>267</v>
      </c>
      <c r="J11" s="57"/>
      <c r="K11" s="57" t="s">
        <v>7</v>
      </c>
      <c r="L11" s="57" t="s">
        <v>7</v>
      </c>
      <c r="M11" s="57"/>
      <c r="N11" s="60" t="s">
        <v>8</v>
      </c>
      <c r="O11" s="60" t="s">
        <v>180</v>
      </c>
      <c r="P11" s="60" t="s">
        <v>258</v>
      </c>
      <c r="Q11" s="57"/>
      <c r="R11" s="57" t="s">
        <v>268</v>
      </c>
      <c r="S11" s="57" t="s">
        <v>268</v>
      </c>
      <c r="T11" s="57" t="s">
        <v>268</v>
      </c>
      <c r="U11" s="57"/>
      <c r="V11" s="57" t="s">
        <v>184</v>
      </c>
      <c r="W11" s="57" t="s">
        <v>184</v>
      </c>
      <c r="X11" s="57" t="s">
        <v>184</v>
      </c>
      <c r="Y11" s="57" t="s">
        <v>184</v>
      </c>
      <c r="Z11" s="57"/>
      <c r="AA11" s="57" t="s">
        <v>268</v>
      </c>
      <c r="AB11" s="57" t="s">
        <v>268</v>
      </c>
      <c r="AC11" s="57"/>
      <c r="AD11" s="57" t="s">
        <v>269</v>
      </c>
      <c r="AE11" s="57" t="s">
        <v>268</v>
      </c>
      <c r="AF11" s="58"/>
      <c r="AG11" s="57" t="s">
        <v>269</v>
      </c>
      <c r="AH11" s="57" t="s">
        <v>269</v>
      </c>
    </row>
    <row r="12" spans="2:44" ht="8.5" customHeight="1" x14ac:dyDescent="0.35"/>
    <row r="13" spans="2:44" s="62" customFormat="1" x14ac:dyDescent="0.35">
      <c r="C13" s="312" t="str">
        <f ca="1">'Input 1'!$E$10 &amp; " (Base company)"</f>
        <v>SGH LIMITED (Base company)</v>
      </c>
      <c r="D13" s="312"/>
      <c r="E13" s="312"/>
      <c r="F13" s="312"/>
      <c r="G13" s="59" t="str">
        <f ca="1">'Input 1'!$E$11</f>
        <v>SGH</v>
      </c>
      <c r="H13" s="63">
        <f>'Input 1'!$E$13</f>
        <v>45838</v>
      </c>
      <c r="I13" s="59" t="s">
        <v>59</v>
      </c>
      <c r="J13" s="59"/>
      <c r="K13" s="64">
        <f ca="1">'Input 1'!$E$28</f>
        <v>19109.484999999997</v>
      </c>
      <c r="L13" s="64">
        <f ca="1">'Input 1'!$E$34</f>
        <v>24700.784999999996</v>
      </c>
      <c r="M13" s="59"/>
      <c r="N13" s="64">
        <f>'Input 1'!$T$13</f>
        <v>10736.3</v>
      </c>
      <c r="O13" s="64">
        <f>'Input 1'!$T$46</f>
        <v>1843.9000000000003</v>
      </c>
      <c r="P13" s="64">
        <f>'Input 1'!$T$55</f>
        <v>785.24313695327453</v>
      </c>
      <c r="Q13" s="59"/>
      <c r="R13" s="65">
        <f>'Input 1'!$T$36</f>
        <v>0.35693461563613105</v>
      </c>
      <c r="S13" s="65">
        <f>'Input 1'!$T$47</f>
        <v>0.19413592212392622</v>
      </c>
      <c r="T13" s="65">
        <f>'Input 1'!$T$56</f>
        <v>0.10867722479440885</v>
      </c>
      <c r="U13" s="59"/>
      <c r="V13" s="66">
        <f>'Input 1'!$C$68</f>
        <v>0.10294499558510362</v>
      </c>
      <c r="W13" s="66">
        <f>'Input 1'!$C$71</f>
        <v>8.8039999999999896E-2</v>
      </c>
      <c r="X13" s="66">
        <f>'Input 1'!$D$68</f>
        <v>-5.5015015015014934E-2</v>
      </c>
      <c r="Y13" s="66">
        <f>'Input 1'!$D$71</f>
        <v>9.0738710000000111E-2</v>
      </c>
      <c r="Z13" s="59"/>
      <c r="AA13" s="65">
        <f>'Input 1'!$E$51</f>
        <v>0.11593880909946737</v>
      </c>
      <c r="AB13" s="65">
        <f>'Input 1'!$E$52</f>
        <v>0.16556879772139804</v>
      </c>
      <c r="AC13" s="59"/>
      <c r="AD13" s="67">
        <f>'Input 1'!$E$60</f>
        <v>3.0221270133955205</v>
      </c>
      <c r="AE13" s="66">
        <f ca="1">'Input 1'!$E$58</f>
        <v>0.29766893246992271</v>
      </c>
      <c r="AF13" s="59"/>
      <c r="AG13" s="67">
        <f>'Input 1'!$E$61</f>
        <v>5.7210673285758622</v>
      </c>
      <c r="AH13" s="67">
        <f>'Input 1'!$E$62</f>
        <v>3.5771020788085641</v>
      </c>
    </row>
    <row r="14" spans="2:44" x14ac:dyDescent="0.35"/>
    <row r="15" spans="2:44" ht="18.5" x14ac:dyDescent="0.35">
      <c r="C15" s="310" t="s">
        <v>270</v>
      </c>
      <c r="D15" s="310"/>
      <c r="E15" s="310"/>
      <c r="F15" s="310"/>
      <c r="G15" s="310"/>
      <c r="H15" s="310"/>
      <c r="I15" s="310"/>
      <c r="J15" s="310"/>
      <c r="K15" s="310"/>
      <c r="L15" s="310"/>
      <c r="M15" s="310"/>
      <c r="N15" s="310"/>
      <c r="O15" s="310"/>
      <c r="P15" s="310"/>
      <c r="Q15" s="310"/>
      <c r="R15" s="310"/>
      <c r="S15" s="310"/>
      <c r="T15" s="310"/>
      <c r="U15" s="310"/>
      <c r="V15" s="310"/>
      <c r="W15" s="310"/>
      <c r="X15" s="310"/>
      <c r="Y15" s="310"/>
      <c r="Z15" s="310"/>
      <c r="AA15" s="310"/>
      <c r="AB15" s="310"/>
      <c r="AC15" s="310"/>
      <c r="AD15" s="310"/>
      <c r="AE15" s="310"/>
      <c r="AF15" s="310"/>
      <c r="AG15" s="310"/>
      <c r="AH15" s="310"/>
    </row>
    <row r="16" spans="2:44" ht="18.5" x14ac:dyDescent="0.45">
      <c r="B16" t="e" vm="7">
        <v>#VALUE!</v>
      </c>
      <c r="C16" s="309" t="str" cm="1">
        <f t="array" aca="1" ref="C16" ca="1">_FV(B16,"Official name",TRUE)</f>
        <v>ORICA LIMITED</v>
      </c>
      <c r="D16" s="309"/>
      <c r="E16" s="309"/>
      <c r="F16" s="309"/>
      <c r="G16" s="68" t="s">
        <v>25</v>
      </c>
      <c r="H16" s="69">
        <v>45930</v>
      </c>
      <c r="I16" s="70" t="s">
        <v>65</v>
      </c>
      <c r="J16" s="68"/>
      <c r="K16" s="71" cm="1">
        <f t="array" aca="1" ref="K16" ca="1">_FV(B16,"Market cap",TRUE)/1000000</f>
        <v>7685.6750000000002</v>
      </c>
      <c r="L16" s="72">
        <f ca="1">'Input 1 (7)'!E34</f>
        <v>9560.0266617600009</v>
      </c>
      <c r="M16" s="71"/>
      <c r="N16" s="73">
        <f>'Input 1 (7)'!$T$13</f>
        <v>7662.8</v>
      </c>
      <c r="O16" s="73">
        <f>'Input 1 (7)'!$T$46</f>
        <v>1110.0999999999999</v>
      </c>
      <c r="P16" s="74">
        <f>'Input 1 (7)'!$T$55</f>
        <v>524.5999999999998</v>
      </c>
      <c r="Q16" s="71"/>
      <c r="R16" s="75">
        <f>'Input 1 (7)'!$T$36</f>
        <v>0.40523046406013463</v>
      </c>
      <c r="S16" s="75">
        <f>'Input 1 (7)'!$T$47</f>
        <v>0.14486871639609541</v>
      </c>
      <c r="T16" s="76">
        <f>'Input 1 (7)'!$T$56</f>
        <v>6.84606149188286E-2</v>
      </c>
      <c r="U16" s="77"/>
      <c r="V16" s="75">
        <f>'Input 1 (7)'!$C$68</f>
        <v>-3.5555611493587436E-2</v>
      </c>
      <c r="W16" s="75">
        <f>'Input 1 (7)'!$C$71</f>
        <v>6.6959999999999908E-2</v>
      </c>
      <c r="X16" s="75">
        <f>'Input 1 (7)'!$D$68</f>
        <v>0.13275510204081575</v>
      </c>
      <c r="Y16" s="76">
        <f>'Input 1 (7)'!$D$71</f>
        <v>0.10153999999999996</v>
      </c>
      <c r="Z16" s="77"/>
      <c r="AA16" s="75">
        <f>'Input 1 (7)'!$E$51</f>
        <v>7.5485363106386955E-2</v>
      </c>
      <c r="AB16" s="76">
        <f>'Input 1 (7)'!$E$52</f>
        <v>0.11764969724153393</v>
      </c>
      <c r="AC16" s="77"/>
      <c r="AD16" s="198">
        <f>'Input 1 (7)'!$E$60</f>
        <v>1.7478605531033242</v>
      </c>
      <c r="AE16" s="76">
        <f ca="1">'Input 1 (7)'!$E$58</f>
        <v>0.31226403506675521</v>
      </c>
      <c r="AF16" s="77"/>
      <c r="AG16" s="78">
        <f>'Input 1 (7)'!$E$61</f>
        <v>5.8059623430962342</v>
      </c>
      <c r="AH16" s="79">
        <f>'Input 1 (7)'!$E$62</f>
        <v>3.5292887029288704</v>
      </c>
    </row>
    <row r="17" spans="2:34" ht="18.5" x14ac:dyDescent="0.45">
      <c r="B17" t="e" vm="3">
        <v>#VALUE!</v>
      </c>
      <c r="C17" s="309" t="str" cm="1">
        <f t="array" aca="1" ref="C17" ca="1">_FV(B17,"Official name",TRUE)</f>
        <v>FLETCHER BUILDING LIMITED</v>
      </c>
      <c r="D17" s="309"/>
      <c r="E17" s="309"/>
      <c r="F17" s="309"/>
      <c r="G17" s="68" t="s">
        <v>16</v>
      </c>
      <c r="H17" s="69">
        <v>45838</v>
      </c>
      <c r="I17" s="70" t="s">
        <v>205</v>
      </c>
      <c r="J17" s="68"/>
      <c r="K17" s="71" cm="1">
        <f t="array" aca="1" ref="K17" ca="1">_FV(B17,"Market cap",TRUE)/1000000</f>
        <v>3407.4250000000002</v>
      </c>
      <c r="L17" s="72">
        <f ca="1">'Input 1 (3)'!E34</f>
        <v>3830.2655000000004</v>
      </c>
      <c r="M17" s="71"/>
      <c r="N17" s="73">
        <f ca="1">'Input 1 (3)'!$T$13</f>
        <v>6898.6890000000003</v>
      </c>
      <c r="O17" s="73">
        <f ca="1">'Input 1 (3)'!$T$46</f>
        <v>561.69449999999995</v>
      </c>
      <c r="P17" s="74">
        <f ca="1">'Input 1 (3)'!$T$55</f>
        <v>-213.60000000000019</v>
      </c>
      <c r="Q17" s="71"/>
      <c r="R17" s="75">
        <f ca="1">'Input 1 (3)'!$T$36</f>
        <v>0.27265236186458408</v>
      </c>
      <c r="S17" s="75">
        <f ca="1">'Input 1 (3)'!$T$47</f>
        <v>7.1323551391257151E-2</v>
      </c>
      <c r="T17" s="76">
        <f ca="1">'Input 1 (3)'!$T$56</f>
        <v>-3.2680620213882322E-2</v>
      </c>
      <c r="U17" s="77"/>
      <c r="V17" s="75">
        <f ca="1">'Input 1 (3)'!$C$68</f>
        <v>5.2090115900504941E-4</v>
      </c>
      <c r="W17" s="75">
        <f ca="1">'Input 1 (3)'!$C$71</f>
        <v>-2.0079999999999987E-2</v>
      </c>
      <c r="X17" s="75">
        <f ca="1">'Input 1 (3)'!$D$68</f>
        <v>-0.2583333333333333</v>
      </c>
      <c r="Y17" s="76">
        <f ca="1">'Input 1 (3)'!$D$71</f>
        <v>3.9080000000000004E-2</v>
      </c>
      <c r="Z17" s="77"/>
      <c r="AA17" s="75">
        <f ca="1">'Input 1 (3)'!$E$51</f>
        <v>1.5230732845832349E-2</v>
      </c>
      <c r="AB17" s="76">
        <f ca="1">'Input 1 (3)'!$E$52</f>
        <v>-5.8511755151314987E-2</v>
      </c>
      <c r="AC17" s="77"/>
      <c r="AD17" s="198">
        <f ca="1">'Input 1 (3)'!$E$60</f>
        <v>2.2189054726368163</v>
      </c>
      <c r="AE17" s="76">
        <f ca="1">'Input 1 (3)'!$E$58</f>
        <v>0.46499321271571786</v>
      </c>
      <c r="AF17" s="77"/>
      <c r="AG17" s="78">
        <f ca="1">'Input 1 (3)'!$E$61</f>
        <v>2.5230125523012545</v>
      </c>
      <c r="AH17" s="79">
        <f ca="1">'Input 1 (3)'!$E$62</f>
        <v>0.9330543933054386</v>
      </c>
    </row>
    <row r="18" spans="2:34" ht="18.5" x14ac:dyDescent="0.45">
      <c r="B18" t="e" vm="2">
        <v>#VALUE!</v>
      </c>
      <c r="C18" s="309" t="str" cm="1">
        <f t="array" aca="1" ref="C18" ca="1">_FV(B18,"Official name",TRUE)</f>
        <v>MAAS Group Holdings Ltd</v>
      </c>
      <c r="D18" s="309"/>
      <c r="E18" s="309"/>
      <c r="F18" s="309"/>
      <c r="G18" s="68" t="s">
        <v>13</v>
      </c>
      <c r="H18" s="69">
        <v>45838</v>
      </c>
      <c r="I18" s="70" t="s">
        <v>65</v>
      </c>
      <c r="J18" s="68"/>
      <c r="K18" s="71" cm="1">
        <f t="array" aca="1" ref="K18" ca="1">_FV(B18,"Market cap",TRUE)/1000000</f>
        <v>1371.2750000000001</v>
      </c>
      <c r="L18" s="72">
        <f ca="1">'Input 1 (4)'!E34</f>
        <v>1713.5065539450002</v>
      </c>
      <c r="M18" s="71"/>
      <c r="N18" s="73">
        <f>'Input 1 (4)'!$T$13</f>
        <v>909.80600000000004</v>
      </c>
      <c r="O18" s="73">
        <f>'Input 1 (4)'!$T$46</f>
        <v>154.34799999999993</v>
      </c>
      <c r="P18" s="74">
        <f>'Input 1 (4)'!$T$55</f>
        <v>69.946999999999917</v>
      </c>
      <c r="Q18" s="71"/>
      <c r="R18" s="75">
        <f>'Input 1 (4)'!$T$36</f>
        <v>0.51303254219003125</v>
      </c>
      <c r="S18" s="75">
        <f>'Input 1 (4)'!$T$47</f>
        <v>0.16183427873183995</v>
      </c>
      <c r="T18" s="76">
        <f>'Input 1 (4)'!$T$56</f>
        <v>7.3905177311390388E-2</v>
      </c>
      <c r="U18" s="77"/>
      <c r="V18" s="75">
        <f>'Input 1 (4)'!$C$68</f>
        <v>0.13616127257265775</v>
      </c>
      <c r="W18" s="75">
        <f>'Input 1 (4)'!$C$71</f>
        <v>0.48592573077884293</v>
      </c>
      <c r="X18" s="75">
        <f>'Input 1 (4)'!$D$68</f>
        <v>0.37274392726285743</v>
      </c>
      <c r="Y18" s="76">
        <f>'Input 1 (4)'!$D$71</f>
        <v>0.43514077512991012</v>
      </c>
      <c r="Z18" s="77"/>
      <c r="AA18" s="75">
        <f>'Input 1 (4)'!$E$51</f>
        <v>3.2183727794836144E-2</v>
      </c>
      <c r="AB18" s="76">
        <f>'Input 1 (4)'!$E$52</f>
        <v>8.4399686760566001E-2</v>
      </c>
      <c r="AC18" s="77"/>
      <c r="AD18" s="198">
        <f>'Input 1 (4)'!$E$60</f>
        <v>2.8768043641640979</v>
      </c>
      <c r="AE18" s="76">
        <f ca="1">'Input 1 (4)'!$E$58</f>
        <v>0.37343963833193022</v>
      </c>
      <c r="AF18" s="77"/>
      <c r="AG18" s="78">
        <f>'Input 1 (4)'!$E$61</f>
        <v>3.9947202236140562</v>
      </c>
      <c r="AH18" s="79">
        <f>'Input 1 (4)'!$E$62</f>
        <v>2.9898804285936103</v>
      </c>
    </row>
    <row r="19" spans="2:34" ht="18.5" x14ac:dyDescent="0.45">
      <c r="B19" t="e" vm="8">
        <v>#VALUE!</v>
      </c>
      <c r="C19" s="309" t="str" cm="1">
        <f t="array" aca="1" ref="C19" ca="1">_FV(B19,"Official name",TRUE)</f>
        <v>NRW HOLDINGS LIMITED</v>
      </c>
      <c r="D19" s="309"/>
      <c r="E19" s="309"/>
      <c r="F19" s="309"/>
      <c r="G19" s="68" t="s">
        <v>31</v>
      </c>
      <c r="H19" s="69">
        <v>45838</v>
      </c>
      <c r="I19" s="70" t="s">
        <v>65</v>
      </c>
      <c r="J19" s="68"/>
      <c r="K19" s="71" cm="1">
        <f t="array" aca="1" ref="K19" ca="1">_FV(B19,"Market cap",TRUE)/1000000</f>
        <v>1092.6890000000001</v>
      </c>
      <c r="L19" s="72">
        <f ca="1">'Input 1 (1)'!E34</f>
        <v>1313.6668658400001</v>
      </c>
      <c r="M19" s="71"/>
      <c r="N19" s="73">
        <f>'Input 1 (1)'!$T$13</f>
        <v>3141.3180000000002</v>
      </c>
      <c r="O19" s="73">
        <f>'Input 1 (1)'!$T$46</f>
        <v>325.95200000000006</v>
      </c>
      <c r="P19" s="74">
        <f>'Input 1 (1)'!$T$55</f>
        <v>115.14600000000013</v>
      </c>
      <c r="Q19" s="71"/>
      <c r="R19" s="75">
        <f>'Input 1 (1)'!$T$36</f>
        <v>0.48246643242465959</v>
      </c>
      <c r="S19" s="75">
        <f>'Input 1 (1)'!$T$47</f>
        <v>0.10781587299477306</v>
      </c>
      <c r="T19" s="76">
        <f>'Input 1 (1)'!$T$56</f>
        <v>3.8145056070721425E-2</v>
      </c>
      <c r="U19" s="77"/>
      <c r="V19" s="75">
        <f>'Input 1 (1)'!$C$68</f>
        <v>9.2531094215153376E-2</v>
      </c>
      <c r="W19" s="75">
        <f>'Input 1 (1)'!$C$71</f>
        <v>0.14898062778167809</v>
      </c>
      <c r="X19" s="75">
        <f>'Input 1 (1)'!$D$68</f>
        <v>0.14074882885421358</v>
      </c>
      <c r="Y19" s="76">
        <f>'Input 1 (1)'!$D$71</f>
        <v>6.090768094005039E-2</v>
      </c>
      <c r="Z19" s="77"/>
      <c r="AA19" s="75">
        <f>'Input 1 (1)'!$E$51</f>
        <v>0.1443340088416068</v>
      </c>
      <c r="AB19" s="76">
        <f>'Input 1 (1)'!$E$52</f>
        <v>0.17286204334086475</v>
      </c>
      <c r="AC19" s="77"/>
      <c r="AD19" s="198">
        <f>'Input 1 (1)'!$E$60</f>
        <v>0.48840933634400141</v>
      </c>
      <c r="AE19" s="76">
        <f ca="1">'Input 1 (1)'!$E$58</f>
        <v>0.29593664173867323</v>
      </c>
      <c r="AF19" s="77"/>
      <c r="AG19" s="78">
        <f>'Input 1 (1)'!$E$61</f>
        <v>12.669646674699734</v>
      </c>
      <c r="AH19" s="79">
        <f>'Input 1 (1)'!$E$62</f>
        <v>5.1414078594472743</v>
      </c>
    </row>
    <row r="20" spans="2:34" ht="18.5" x14ac:dyDescent="0.45">
      <c r="C20" s="309"/>
      <c r="D20" s="309"/>
      <c r="E20" s="309"/>
      <c r="F20" s="309"/>
      <c r="G20" s="68"/>
      <c r="H20" s="68"/>
      <c r="I20" s="70"/>
      <c r="J20" s="68"/>
      <c r="K20" s="71"/>
      <c r="L20" s="70"/>
      <c r="M20" s="68"/>
      <c r="N20" s="80"/>
      <c r="O20" s="80"/>
      <c r="P20" s="81"/>
      <c r="Q20" s="68"/>
      <c r="R20" s="82"/>
      <c r="S20" s="82"/>
      <c r="T20" s="83"/>
      <c r="U20" s="68"/>
      <c r="V20" s="82"/>
      <c r="W20" s="82"/>
      <c r="X20" s="82"/>
      <c r="Y20" s="83"/>
      <c r="Z20" s="68"/>
      <c r="AA20" s="82"/>
      <c r="AB20" s="83"/>
      <c r="AC20" s="68"/>
      <c r="AD20" s="84"/>
      <c r="AE20" s="83"/>
      <c r="AF20" s="68"/>
      <c r="AG20" s="84"/>
      <c r="AH20" s="84"/>
    </row>
    <row r="21" spans="2:34" ht="19" thickBot="1" x14ac:dyDescent="0.5">
      <c r="C21" s="309"/>
      <c r="D21" s="309"/>
      <c r="E21" s="309"/>
      <c r="F21" s="309"/>
      <c r="G21" s="68"/>
      <c r="H21" s="68"/>
      <c r="I21" s="70"/>
      <c r="J21" s="68"/>
      <c r="K21" s="71"/>
      <c r="L21" s="70"/>
      <c r="M21" s="68"/>
      <c r="N21" s="80"/>
      <c r="O21" s="80"/>
      <c r="P21" s="81"/>
      <c r="Q21" s="68"/>
      <c r="R21" s="82"/>
      <c r="S21" s="82"/>
      <c r="T21" s="83"/>
      <c r="U21" s="68"/>
      <c r="V21" s="82"/>
      <c r="W21" s="82"/>
      <c r="X21" s="82"/>
      <c r="Y21" s="83"/>
      <c r="Z21" s="68"/>
      <c r="AA21" s="82"/>
      <c r="AB21" s="83"/>
      <c r="AC21" s="68"/>
      <c r="AD21" s="84"/>
      <c r="AE21" s="83"/>
      <c r="AF21" s="68"/>
      <c r="AG21" s="84"/>
      <c r="AH21" s="84"/>
    </row>
    <row r="22" spans="2:34" s="62" customFormat="1" ht="19" thickTop="1" x14ac:dyDescent="0.45">
      <c r="C22" s="85" t="s">
        <v>271</v>
      </c>
      <c r="D22" s="86"/>
      <c r="E22" s="86"/>
      <c r="F22" s="86"/>
      <c r="G22" s="87"/>
      <c r="H22" s="87"/>
      <c r="I22" s="88"/>
      <c r="J22" s="87"/>
      <c r="K22" s="89">
        <f ca="1">IFERROR(AVERAGE(K16:K19),"")</f>
        <v>3389.2660000000001</v>
      </c>
      <c r="L22" s="90">
        <f t="shared" ref="L22:AH22" ca="1" si="0">IFERROR(AVERAGE(L16:L19),"")</f>
        <v>4104.3663953862506</v>
      </c>
      <c r="M22" s="87" t="str">
        <f t="shared" si="0"/>
        <v/>
      </c>
      <c r="N22" s="91">
        <f t="shared" ca="1" si="0"/>
        <v>4653.1532500000003</v>
      </c>
      <c r="O22" s="91">
        <f t="shared" ca="1" si="0"/>
        <v>538.02362500000004</v>
      </c>
      <c r="P22" s="92">
        <f t="shared" ca="1" si="0"/>
        <v>124.02324999999992</v>
      </c>
      <c r="Q22" s="87" t="str">
        <f t="shared" si="0"/>
        <v/>
      </c>
      <c r="R22" s="93">
        <f t="shared" ca="1" si="0"/>
        <v>0.41834545013485236</v>
      </c>
      <c r="S22" s="93">
        <f t="shared" ca="1" si="0"/>
        <v>0.1214606048784914</v>
      </c>
      <c r="T22" s="94">
        <f t="shared" ca="1" si="0"/>
        <v>3.6957557021764523E-2</v>
      </c>
      <c r="U22" s="87" t="str">
        <f t="shared" si="0"/>
        <v/>
      </c>
      <c r="V22" s="93">
        <f t="shared" ca="1" si="0"/>
        <v>4.8414414113307186E-2</v>
      </c>
      <c r="W22" s="93">
        <f t="shared" ca="1" si="0"/>
        <v>0.17044658964013024</v>
      </c>
      <c r="X22" s="93">
        <f t="shared" ca="1" si="0"/>
        <v>9.6978631206138366E-2</v>
      </c>
      <c r="Y22" s="94">
        <f ca="1">IFERROR(AVERAGE(Y16:Y19),"")</f>
        <v>0.15916711401749012</v>
      </c>
      <c r="Z22" s="87" t="str">
        <f t="shared" si="0"/>
        <v/>
      </c>
      <c r="AA22" s="93">
        <f t="shared" ca="1" si="0"/>
        <v>6.6808458147165559E-2</v>
      </c>
      <c r="AB22" s="94">
        <f t="shared" ca="1" si="0"/>
        <v>7.9099918047912415E-2</v>
      </c>
      <c r="AC22" s="87" t="str">
        <f t="shared" si="0"/>
        <v/>
      </c>
      <c r="AD22" s="95">
        <f t="shared" ca="1" si="0"/>
        <v>1.8329949315620599</v>
      </c>
      <c r="AE22" s="94">
        <f t="shared" ca="1" si="0"/>
        <v>0.36165838196326916</v>
      </c>
      <c r="AF22" s="87" t="str">
        <f t="shared" si="0"/>
        <v/>
      </c>
      <c r="AG22" s="95">
        <f t="shared" ca="1" si="0"/>
        <v>6.2483354484278202</v>
      </c>
      <c r="AH22" s="96">
        <f t="shared" ca="1" si="0"/>
        <v>3.1484078460687988</v>
      </c>
    </row>
    <row r="23" spans="2:34" s="62" customFormat="1" ht="19" thickBot="1" x14ac:dyDescent="0.5">
      <c r="C23" s="97" t="s">
        <v>272</v>
      </c>
      <c r="D23" s="98"/>
      <c r="E23" s="98"/>
      <c r="F23" s="98"/>
      <c r="G23" s="99"/>
      <c r="H23" s="99"/>
      <c r="I23" s="100"/>
      <c r="J23" s="99"/>
      <c r="K23" s="101">
        <f ca="1">IFERROR(MEDIAN(K16:K19),"")</f>
        <v>2389.3500000000004</v>
      </c>
      <c r="L23" s="102">
        <f t="shared" ref="L23:AH23" ca="1" si="1">IFERROR(MEDIAN(L16:L19),"")</f>
        <v>2771.8860269725001</v>
      </c>
      <c r="M23" s="99" t="str">
        <f t="shared" si="1"/>
        <v/>
      </c>
      <c r="N23" s="103">
        <f t="shared" ca="1" si="1"/>
        <v>5020.0035000000007</v>
      </c>
      <c r="O23" s="103">
        <f t="shared" ca="1" si="1"/>
        <v>443.82325000000003</v>
      </c>
      <c r="P23" s="104">
        <f t="shared" ca="1" si="1"/>
        <v>92.546500000000023</v>
      </c>
      <c r="Q23" s="99" t="str">
        <f t="shared" si="1"/>
        <v/>
      </c>
      <c r="R23" s="105">
        <f t="shared" ca="1" si="1"/>
        <v>0.44384844824239711</v>
      </c>
      <c r="S23" s="105">
        <f t="shared" ca="1" si="1"/>
        <v>0.12634229469543423</v>
      </c>
      <c r="T23" s="106">
        <f t="shared" ca="1" si="1"/>
        <v>5.3302835494775012E-2</v>
      </c>
      <c r="U23" s="99" t="str">
        <f t="shared" si="1"/>
        <v/>
      </c>
      <c r="V23" s="105">
        <f t="shared" ca="1" si="1"/>
        <v>4.6525997687079212E-2</v>
      </c>
      <c r="W23" s="105">
        <f t="shared" ca="1" si="1"/>
        <v>0.107970313890839</v>
      </c>
      <c r="X23" s="105">
        <f t="shared" ca="1" si="1"/>
        <v>0.13675196544751467</v>
      </c>
      <c r="Y23" s="106">
        <f ca="1">IFERROR(MEDIAN(Y16:Y19),"")</f>
        <v>8.1223840470025177E-2</v>
      </c>
      <c r="Z23" s="99" t="str">
        <f t="shared" si="1"/>
        <v/>
      </c>
      <c r="AA23" s="105">
        <f t="shared" ca="1" si="1"/>
        <v>5.3834545450611546E-2</v>
      </c>
      <c r="AB23" s="106">
        <f t="shared" ca="1" si="1"/>
        <v>0.10102469200104996</v>
      </c>
      <c r="AC23" s="99" t="str">
        <f t="shared" si="1"/>
        <v/>
      </c>
      <c r="AD23" s="107">
        <f t="shared" ca="1" si="1"/>
        <v>1.9833830128700702</v>
      </c>
      <c r="AE23" s="106">
        <f t="shared" ca="1" si="1"/>
        <v>0.34285183669934272</v>
      </c>
      <c r="AF23" s="99" t="str">
        <f t="shared" si="1"/>
        <v/>
      </c>
      <c r="AG23" s="107">
        <f t="shared" ca="1" si="1"/>
        <v>4.9003412833551447</v>
      </c>
      <c r="AH23" s="108">
        <f t="shared" ca="1" si="1"/>
        <v>3.2595845657612403</v>
      </c>
    </row>
    <row r="24" spans="2:34" ht="19" thickTop="1" x14ac:dyDescent="0.45">
      <c r="C24" s="109"/>
      <c r="D24" s="109"/>
      <c r="E24" s="109"/>
      <c r="F24" s="109"/>
      <c r="G24" s="109"/>
      <c r="H24" s="109"/>
      <c r="I24" s="110"/>
      <c r="J24" s="109"/>
      <c r="K24" s="109"/>
      <c r="L24" s="110"/>
      <c r="M24" s="109"/>
      <c r="N24" s="111"/>
      <c r="O24" s="111"/>
      <c r="P24" s="112"/>
      <c r="Q24" s="109"/>
      <c r="R24" s="109"/>
      <c r="S24" s="109"/>
      <c r="T24" s="110"/>
      <c r="U24" s="109"/>
      <c r="V24" s="109"/>
      <c r="W24" s="109"/>
      <c r="X24" s="109"/>
      <c r="Y24" s="110"/>
      <c r="Z24" s="109"/>
      <c r="AA24" s="109"/>
      <c r="AB24" s="110"/>
      <c r="AC24" s="109"/>
      <c r="AD24" s="109"/>
      <c r="AE24" s="110"/>
      <c r="AF24" s="109"/>
      <c r="AG24" s="109"/>
      <c r="AH24" s="109"/>
    </row>
    <row r="25" spans="2:34" ht="18.5" x14ac:dyDescent="0.35">
      <c r="C25" s="310" t="s">
        <v>273</v>
      </c>
      <c r="D25" s="310"/>
      <c r="E25" s="310"/>
      <c r="F25" s="310"/>
      <c r="G25" s="310"/>
      <c r="H25" s="310"/>
      <c r="I25" s="310"/>
      <c r="J25" s="310"/>
      <c r="K25" s="310"/>
      <c r="L25" s="310"/>
      <c r="M25" s="310"/>
      <c r="N25" s="310"/>
      <c r="O25" s="310"/>
      <c r="P25" s="310"/>
      <c r="Q25" s="310"/>
      <c r="R25" s="310"/>
      <c r="S25" s="310"/>
      <c r="T25" s="310"/>
      <c r="U25" s="310"/>
      <c r="V25" s="310"/>
      <c r="W25" s="310"/>
      <c r="X25" s="310"/>
      <c r="Y25" s="310"/>
      <c r="Z25" s="310"/>
      <c r="AA25" s="310"/>
      <c r="AB25" s="310"/>
      <c r="AC25" s="310"/>
      <c r="AD25" s="310"/>
      <c r="AE25" s="310"/>
      <c r="AF25" s="310"/>
      <c r="AG25" s="310"/>
      <c r="AH25" s="310"/>
    </row>
    <row r="26" spans="2:34" ht="18.5" x14ac:dyDescent="0.45">
      <c r="B26" t="e" vm="10">
        <v>#VALUE!</v>
      </c>
      <c r="C26" s="309" t="str" cm="1">
        <f t="array" aca="1" ref="C26" ca="1">_FV(B26,"Official name",TRUE)</f>
        <v>EMECO HOLDINGS LIMITED</v>
      </c>
      <c r="D26" s="309"/>
      <c r="E26" s="309"/>
      <c r="F26" s="309"/>
      <c r="G26" s="68" t="s">
        <v>34</v>
      </c>
      <c r="H26" s="69">
        <v>45838</v>
      </c>
      <c r="I26" s="70" t="s">
        <v>240</v>
      </c>
      <c r="J26" s="68"/>
      <c r="K26" s="71" cm="1">
        <f t="array" aca="1" ref="K26" ca="1">_FV(B26,"Market cap",TRUE)/1000000</f>
        <v>383.59730000000002</v>
      </c>
      <c r="L26" s="72">
        <f ca="1">'Input 1 (5)'!E34</f>
        <v>657.10158564000005</v>
      </c>
      <c r="M26" s="71"/>
      <c r="N26" s="73">
        <f>'Input 1 (5)'!$T$13</f>
        <v>775.51599999999996</v>
      </c>
      <c r="O26" s="73">
        <f>'Input 1 (5)'!$T$46</f>
        <v>263.02599999999984</v>
      </c>
      <c r="P26" s="74">
        <f>'Input 1 (5)'!$T$55</f>
        <v>66.836999999999932</v>
      </c>
      <c r="Q26" s="77"/>
      <c r="R26" s="75">
        <f>'Input 1 (5)'!$T$36</f>
        <v>0.577004355205054</v>
      </c>
      <c r="S26" s="75">
        <f>'Input 1 (5)'!$T$47</f>
        <v>0.36916514120441435</v>
      </c>
      <c r="T26" s="76">
        <f>'Input 1 (5)'!$T$56</f>
        <v>0.10605340087918079</v>
      </c>
      <c r="U26" s="77"/>
      <c r="V26" s="75">
        <f>'Input 1 (5)'!$C$68</f>
        <v>-5.9650229678929634E-2</v>
      </c>
      <c r="W26" s="75">
        <f>'Input 1 (5)'!$C$71</f>
        <v>0.12549999999999994</v>
      </c>
      <c r="X26" s="75">
        <f>'Input 1 (5)'!$D$68</f>
        <v>0.23743301427240837</v>
      </c>
      <c r="Y26" s="76">
        <f>'Input 1 (5)'!$D$71</f>
        <v>8.4799999999999986E-2</v>
      </c>
      <c r="Z26" s="77"/>
      <c r="AA26" s="75">
        <f>'Input 1 (5)'!$E$51</f>
        <v>7.7303106573808386E-2</v>
      </c>
      <c r="AB26" s="76">
        <f>'Input 1 (5)'!$E$52</f>
        <v>9.9445171023911552E-2</v>
      </c>
      <c r="AC26" s="77"/>
      <c r="AD26" s="198">
        <f>'Input 1 (5)'!$E$60</f>
        <v>0.92075688334993555</v>
      </c>
      <c r="AE26" s="76">
        <f ca="1">'Input 1 (5)'!$E$58</f>
        <v>0.7779558796673498</v>
      </c>
      <c r="AF26" s="77"/>
      <c r="AG26" s="78">
        <f>'Input 1 (5)'!$E$61</f>
        <v>9.6124693929759104</v>
      </c>
      <c r="AH26" s="78">
        <f>'Input 1 (5)'!$E$62</f>
        <v>2.8186602346233909</v>
      </c>
    </row>
    <row r="27" spans="2:34" ht="18.5" x14ac:dyDescent="0.45">
      <c r="B27" t="e" vm="5">
        <v>#VALUE!</v>
      </c>
      <c r="C27" s="309" t="str" cm="1">
        <f t="array" aca="1" ref="C27" ca="1">_FV(B27,"Official name",TRUE)</f>
        <v>WAGNERS HOLDING COMPANY LTD</v>
      </c>
      <c r="D27" s="309"/>
      <c r="E27" s="309"/>
      <c r="F27" s="309"/>
      <c r="G27" s="68" t="s">
        <v>19</v>
      </c>
      <c r="H27" s="69">
        <v>45838</v>
      </c>
      <c r="I27" s="70" t="s">
        <v>65</v>
      </c>
      <c r="J27" s="68"/>
      <c r="K27" s="71" cm="1">
        <f t="array" aca="1" ref="K27" ca="1">_FV(B27,"Market cap",TRUE)/1000000</f>
        <v>316.14940000000001</v>
      </c>
      <c r="L27" s="72">
        <f ca="1">'Input 1 (2)'!E34</f>
        <v>473.52675979000003</v>
      </c>
      <c r="M27" s="71"/>
      <c r="N27" s="73">
        <f>'Input 1 (2)'!$T$13</f>
        <v>442.423</v>
      </c>
      <c r="O27" s="73">
        <f>'Input 1 (2)'!$T$46</f>
        <v>59.153000000000006</v>
      </c>
      <c r="P27" s="74">
        <f>'Input 1 (2)'!$T$55</f>
        <v>19.810999999999996</v>
      </c>
      <c r="Q27" s="77"/>
      <c r="R27" s="75">
        <f>'Input 1 (2)'!$T$36</f>
        <v>0.36909363932810763</v>
      </c>
      <c r="S27" s="75">
        <f>'Input 1 (2)'!$T$47</f>
        <v>0.14829303619164053</v>
      </c>
      <c r="T27" s="76">
        <f>'Input 1 (2)'!$T$56</f>
        <v>6.5476806903116538E-2</v>
      </c>
      <c r="U27" s="77"/>
      <c r="V27" s="75">
        <f>'Input 1 (2)'!$C$68</f>
        <v>1.3023396683576882E-2</v>
      </c>
      <c r="W27" s="75">
        <f>'Input 1 (2)'!$C$71</f>
        <v>0.16264000000000012</v>
      </c>
      <c r="X27" s="75">
        <f>'Input 1 (2)'!$D$68</f>
        <v>0.52646962412587373</v>
      </c>
      <c r="Y27" s="76">
        <f>'Input 1 (2)'!$D$71</f>
        <v>0.16921999999999993</v>
      </c>
      <c r="Z27" s="77"/>
      <c r="AA27" s="75">
        <f>'Input 1 (2)'!$E$51</f>
        <v>7.5020014168824589E-2</v>
      </c>
      <c r="AB27" s="76">
        <f>'Input 1 (2)'!$E$52</f>
        <v>0.13679456992328565</v>
      </c>
      <c r="AC27" s="77"/>
      <c r="AD27" s="198">
        <f>'Input 1 (2)'!$E$60</f>
        <v>2.8253850185113176</v>
      </c>
      <c r="AE27" s="76">
        <f ca="1">'Input 1 (2)'!$E$58</f>
        <v>0.55971544907178594</v>
      </c>
      <c r="AF27" s="77"/>
      <c r="AG27" s="78">
        <f>'Input 1 (2)'!$E$61</f>
        <v>4.9750210260723309</v>
      </c>
      <c r="AH27" s="78">
        <f>'Input 1 (2)'!$E$62</f>
        <v>2.9173254835996643</v>
      </c>
    </row>
    <row r="28" spans="2:34" ht="18.5" x14ac:dyDescent="0.45">
      <c r="B28" t="e" vm="9">
        <v>#VALUE!</v>
      </c>
      <c r="C28" s="309" t="str" cm="1">
        <f t="array" aca="1" ref="C28" ca="1">_FV(B28,"Official name",TRUE)</f>
        <v>MLG OZ LIMITED</v>
      </c>
      <c r="D28" s="309"/>
      <c r="E28" s="309"/>
      <c r="F28" s="309"/>
      <c r="G28" s="68" t="s">
        <v>28</v>
      </c>
      <c r="H28" s="69">
        <v>45838</v>
      </c>
      <c r="I28" s="70" t="s">
        <v>65</v>
      </c>
      <c r="J28" s="68"/>
      <c r="K28" s="71" cm="1">
        <f t="array" aca="1" ref="K28" ca="1">_FV(B28,"Market cap",TRUE)/1000000</f>
        <v>88.5715</v>
      </c>
      <c r="L28" s="72">
        <f ca="1">'Input 1 (6)'!E34</f>
        <v>181.11646539999998</v>
      </c>
      <c r="M28" s="71"/>
      <c r="N28" s="73">
        <f>'Input 1 (6)'!$T$13</f>
        <v>521.35446899999999</v>
      </c>
      <c r="O28" s="73">
        <f>'Input 1 (6)'!$T$46</f>
        <v>53.209602000000025</v>
      </c>
      <c r="P28" s="74">
        <f>'Input 1 (6)'!$T$55</f>
        <v>10.804683000000036</v>
      </c>
      <c r="Q28" s="77"/>
      <c r="R28" s="75">
        <f>'Input 1 (6)'!$T$36</f>
        <v>0.34388771747014008</v>
      </c>
      <c r="S28" s="75">
        <f>'Input 1 (6)'!$T$47</f>
        <v>9.4086017985616902E-2</v>
      </c>
      <c r="T28" s="76">
        <f>'Input 1 (6)'!$T$56</f>
        <v>1.4962932337336577E-2</v>
      </c>
      <c r="U28" s="77"/>
      <c r="V28" s="75">
        <f>'Input 1 (6)'!$C$68</f>
        <v>0.23708723551701416</v>
      </c>
      <c r="W28" s="75">
        <f>'Input 1 (6)'!$C$71</f>
        <v>0.22645810028445901</v>
      </c>
      <c r="X28" s="75">
        <f>'Input 1 (6)'!$D$68</f>
        <v>0.5557852258815752</v>
      </c>
      <c r="Y28" s="76">
        <f>'Input 1 (6)'!$D$71</f>
        <v>0.10540621233055703</v>
      </c>
      <c r="Z28" s="77"/>
      <c r="AA28" s="75">
        <f>'Input 1 (6)'!$E$51</f>
        <v>6.5501948728464265E-2</v>
      </c>
      <c r="AB28" s="76">
        <f>'Input 1 (6)'!$E$52</f>
        <v>7.955603850993416E-2</v>
      </c>
      <c r="AC28" s="77"/>
      <c r="AD28" s="198">
        <f>'Input 1 (6)'!$E$60</f>
        <v>1.5408412188461764</v>
      </c>
      <c r="AE28" s="76">
        <f ca="1">'Input 1 (6)'!$E$58</f>
        <v>0.45755266067405648</v>
      </c>
      <c r="AF28" s="77"/>
      <c r="AG28" s="78">
        <f>'Input 1 (6)'!$E$61</f>
        <v>13.963004191294331</v>
      </c>
      <c r="AH28" s="78">
        <f>'Input 1 (6)'!$E$62</f>
        <v>7.2882926642377583</v>
      </c>
    </row>
    <row r="29" spans="2:34" ht="18.5" x14ac:dyDescent="0.45">
      <c r="B29" t="e" vm="6">
        <v>#VALUE!</v>
      </c>
      <c r="C29" s="309" t="str" cm="1">
        <f t="array" aca="1" ref="C29" ca="1">_FV(B29,"Official name",TRUE)</f>
        <v>MACMAHON HOLDINGS LIMITED</v>
      </c>
      <c r="D29" s="309"/>
      <c r="E29" s="309"/>
      <c r="F29" s="309"/>
      <c r="G29" s="68" t="str" cm="1">
        <f t="array" aca="1" ref="G29" ca="1">_FV(B29,"Ticker symbol",TRUE)</f>
        <v>MAH</v>
      </c>
      <c r="H29" s="69">
        <v>45838</v>
      </c>
      <c r="I29" s="70" t="s">
        <v>65</v>
      </c>
      <c r="J29" s="68"/>
      <c r="K29" s="71" cm="1">
        <f t="array" aca="1" ref="K29" ca="1">_FV(B29,"Market cap",TRUE)/1000000</f>
        <v>549.52139999999997</v>
      </c>
      <c r="L29" s="72">
        <f ca="1">'Input 1 (8)'!E34</f>
        <v>809.38787066500004</v>
      </c>
      <c r="M29" s="71"/>
      <c r="N29" s="73">
        <f>'Input 1 (8)'!$T$13</f>
        <v>2243.6220000000003</v>
      </c>
      <c r="O29" s="73">
        <f>'Input 1 (8)'!$T$46</f>
        <v>216.24899999999997</v>
      </c>
      <c r="P29" s="74">
        <f>'Input 1 (8)'!$T$55</f>
        <v>46.709999999999958</v>
      </c>
      <c r="Q29" s="77"/>
      <c r="R29" s="75">
        <f>'Input 1 (8)'!$T$36</f>
        <v>0.73436241699706828</v>
      </c>
      <c r="S29" s="75">
        <f>'Input 1 (8)'!$T$47</f>
        <v>7.4271151284449166E-2</v>
      </c>
      <c r="T29" s="76">
        <f>'Input 1 (8)'!$T$56</f>
        <v>1.3863304722450759E-2</v>
      </c>
      <c r="U29" s="77"/>
      <c r="V29" s="75">
        <f>'Input 1 (8)'!$C$68</f>
        <v>6.5635443170789287E-2</v>
      </c>
      <c r="W29" s="75">
        <f>'Input 1 (8)'!$C$71</f>
        <v>3.4320037324566677E-2</v>
      </c>
      <c r="X29" s="75">
        <f>'Input 1 (8)'!$D$68</f>
        <v>-1.114981937844195E-2</v>
      </c>
      <c r="Y29" s="76">
        <f>'Input 1 (8)'!$D$71</f>
        <v>8.9446723805812089E-2</v>
      </c>
      <c r="Z29" s="77"/>
      <c r="AA29" s="75">
        <f>'Input 1 (8)'!$E$51</f>
        <v>8.6085600791715927E-2</v>
      </c>
      <c r="AB29" s="76">
        <f>'Input 1 (8)'!$E$52</f>
        <v>6.983743471896818E-2</v>
      </c>
      <c r="AC29" s="77"/>
      <c r="AD29" s="198">
        <f>'Input 1 (8)'!$E$60</f>
        <v>1.0954917710602132</v>
      </c>
      <c r="AE29" s="76">
        <f ca="1">'Input 1 (8)'!$E$58</f>
        <v>0.61128000548464601</v>
      </c>
      <c r="AF29" s="77"/>
      <c r="AG29" s="78">
        <f>'Input 1 (8)'!$E$61</f>
        <v>6.9288369112463943</v>
      </c>
      <c r="AH29" s="78">
        <f>'Input 1 (8)'!$E$62</f>
        <v>2.3389298301826318</v>
      </c>
    </row>
    <row r="30" spans="2:34" ht="18.5" x14ac:dyDescent="0.45">
      <c r="C30" s="309"/>
      <c r="D30" s="309"/>
      <c r="E30" s="309"/>
      <c r="F30" s="309"/>
      <c r="G30" s="68"/>
      <c r="H30" s="69"/>
      <c r="I30" s="70"/>
      <c r="J30" s="68"/>
      <c r="K30" s="113"/>
      <c r="L30" s="114"/>
      <c r="M30" s="68"/>
      <c r="N30" s="80"/>
      <c r="O30" s="80"/>
      <c r="P30" s="81"/>
      <c r="Q30" s="68"/>
      <c r="R30" s="82"/>
      <c r="S30" s="82"/>
      <c r="T30" s="83"/>
      <c r="U30" s="68"/>
      <c r="V30" s="82"/>
      <c r="W30" s="82"/>
      <c r="X30" s="82"/>
      <c r="Y30" s="83"/>
      <c r="Z30" s="68"/>
      <c r="AA30" s="82"/>
      <c r="AB30" s="83"/>
      <c r="AC30" s="68"/>
      <c r="AD30" s="84"/>
      <c r="AE30" s="83"/>
      <c r="AF30" s="68"/>
      <c r="AG30" s="84"/>
      <c r="AH30" s="84"/>
    </row>
    <row r="31" spans="2:34" ht="19" thickBot="1" x14ac:dyDescent="0.5">
      <c r="C31" s="309"/>
      <c r="D31" s="309"/>
      <c r="E31" s="309"/>
      <c r="F31" s="309"/>
      <c r="G31" s="68"/>
      <c r="H31" s="69"/>
      <c r="I31" s="70"/>
      <c r="J31" s="68"/>
      <c r="K31" s="113"/>
      <c r="L31" s="114"/>
      <c r="M31" s="68"/>
      <c r="N31" s="80"/>
      <c r="O31" s="80"/>
      <c r="P31" s="81"/>
      <c r="Q31" s="68"/>
      <c r="R31" s="82"/>
      <c r="S31" s="82"/>
      <c r="T31" s="83"/>
      <c r="U31" s="68"/>
      <c r="V31" s="82"/>
      <c r="W31" s="82"/>
      <c r="X31" s="82"/>
      <c r="Y31" s="83"/>
      <c r="Z31" s="68"/>
      <c r="AA31" s="82"/>
      <c r="AB31" s="83"/>
      <c r="AC31" s="68"/>
      <c r="AD31" s="84"/>
      <c r="AE31" s="83"/>
      <c r="AF31" s="68"/>
      <c r="AG31" s="84"/>
      <c r="AH31" s="84"/>
    </row>
    <row r="32" spans="2:34" s="62" customFormat="1" ht="19" thickTop="1" x14ac:dyDescent="0.45">
      <c r="C32" s="85" t="s">
        <v>271</v>
      </c>
      <c r="D32" s="86"/>
      <c r="E32" s="86"/>
      <c r="F32" s="86"/>
      <c r="G32" s="87"/>
      <c r="H32" s="87"/>
      <c r="I32" s="88"/>
      <c r="J32" s="87"/>
      <c r="K32" s="115">
        <f ca="1">IFERROR(AVERAGE(K26:K29),"")</f>
        <v>334.4599</v>
      </c>
      <c r="L32" s="90">
        <f t="shared" ref="L32:AH32" ca="1" si="2">IFERROR(AVERAGE(L26:L29),"")</f>
        <v>530.28317037374995</v>
      </c>
      <c r="M32" s="87" t="str">
        <f t="shared" si="2"/>
        <v/>
      </c>
      <c r="N32" s="91">
        <f t="shared" si="2"/>
        <v>995.72886725000001</v>
      </c>
      <c r="O32" s="91">
        <f t="shared" si="2"/>
        <v>147.90940049999995</v>
      </c>
      <c r="P32" s="92">
        <f t="shared" si="2"/>
        <v>36.040670749999983</v>
      </c>
      <c r="Q32" s="87" t="str">
        <f t="shared" si="2"/>
        <v/>
      </c>
      <c r="R32" s="93">
        <f t="shared" si="2"/>
        <v>0.50608703225009244</v>
      </c>
      <c r="S32" s="93">
        <f t="shared" si="2"/>
        <v>0.17145383666653025</v>
      </c>
      <c r="T32" s="94">
        <f t="shared" si="2"/>
        <v>5.0089111210521169E-2</v>
      </c>
      <c r="U32" s="87" t="str">
        <f t="shared" si="2"/>
        <v/>
      </c>
      <c r="V32" s="93">
        <f t="shared" si="2"/>
        <v>6.4023961423112674E-2</v>
      </c>
      <c r="W32" s="93">
        <f t="shared" si="2"/>
        <v>0.13722953440225644</v>
      </c>
      <c r="X32" s="93">
        <f t="shared" si="2"/>
        <v>0.32713451122535386</v>
      </c>
      <c r="Y32" s="94">
        <f t="shared" si="2"/>
        <v>0.11221823403409226</v>
      </c>
      <c r="Z32" s="87" t="str">
        <f t="shared" si="2"/>
        <v/>
      </c>
      <c r="AA32" s="93">
        <f t="shared" si="2"/>
        <v>7.5977667565703288E-2</v>
      </c>
      <c r="AB32" s="94">
        <f t="shared" si="2"/>
        <v>9.6408303544024881E-2</v>
      </c>
      <c r="AC32" s="87" t="str">
        <f t="shared" si="2"/>
        <v/>
      </c>
      <c r="AD32" s="95">
        <f t="shared" si="2"/>
        <v>1.5956187229419105</v>
      </c>
      <c r="AE32" s="94">
        <f t="shared" ca="1" si="2"/>
        <v>0.60162599872445954</v>
      </c>
      <c r="AF32" s="87" t="str">
        <f t="shared" si="2"/>
        <v/>
      </c>
      <c r="AG32" s="95">
        <f t="shared" si="2"/>
        <v>8.8698328803972419</v>
      </c>
      <c r="AH32" s="96">
        <f t="shared" si="2"/>
        <v>3.8408020531608615</v>
      </c>
    </row>
    <row r="33" spans="2:34" s="62" customFormat="1" ht="19" thickBot="1" x14ac:dyDescent="0.5">
      <c r="C33" s="97" t="s">
        <v>272</v>
      </c>
      <c r="D33" s="98"/>
      <c r="E33" s="98"/>
      <c r="F33" s="98"/>
      <c r="G33" s="99"/>
      <c r="H33" s="99"/>
      <c r="I33" s="100"/>
      <c r="J33" s="99"/>
      <c r="K33" s="116">
        <f ca="1">IFERROR(MEDIAN(K26:K29),"")</f>
        <v>349.87335000000002</v>
      </c>
      <c r="L33" s="102">
        <f t="shared" ref="L33:AH33" ca="1" si="3">IFERROR(MEDIAN(L26:L29),"")</f>
        <v>565.31417271500004</v>
      </c>
      <c r="M33" s="99" t="str">
        <f t="shared" si="3"/>
        <v/>
      </c>
      <c r="N33" s="103">
        <f t="shared" si="3"/>
        <v>648.43523449999998</v>
      </c>
      <c r="O33" s="103">
        <f t="shared" si="3"/>
        <v>137.70099999999996</v>
      </c>
      <c r="P33" s="104">
        <f t="shared" si="3"/>
        <v>33.260499999999979</v>
      </c>
      <c r="Q33" s="99" t="str">
        <f t="shared" si="3"/>
        <v/>
      </c>
      <c r="R33" s="105">
        <f t="shared" si="3"/>
        <v>0.47304899726658078</v>
      </c>
      <c r="S33" s="105">
        <f t="shared" si="3"/>
        <v>0.12118952708862871</v>
      </c>
      <c r="T33" s="106">
        <f t="shared" si="3"/>
        <v>4.0219869620226556E-2</v>
      </c>
      <c r="U33" s="99" t="str">
        <f t="shared" si="3"/>
        <v/>
      </c>
      <c r="V33" s="105">
        <f t="shared" si="3"/>
        <v>3.9329419927183085E-2</v>
      </c>
      <c r="W33" s="105">
        <f t="shared" si="3"/>
        <v>0.14407000000000003</v>
      </c>
      <c r="X33" s="105">
        <f t="shared" si="3"/>
        <v>0.38195131919914105</v>
      </c>
      <c r="Y33" s="106">
        <f t="shared" si="3"/>
        <v>9.7426468068184557E-2</v>
      </c>
      <c r="Z33" s="99" t="str">
        <f t="shared" si="3"/>
        <v/>
      </c>
      <c r="AA33" s="105">
        <f t="shared" si="3"/>
        <v>7.6161560371316495E-2</v>
      </c>
      <c r="AB33" s="106">
        <f t="shared" si="3"/>
        <v>8.9500604766922856E-2</v>
      </c>
      <c r="AC33" s="99" t="str">
        <f t="shared" si="3"/>
        <v/>
      </c>
      <c r="AD33" s="107">
        <f t="shared" si="3"/>
        <v>1.3181664949531948</v>
      </c>
      <c r="AE33" s="106">
        <f t="shared" ca="1" si="3"/>
        <v>0.58549772727821603</v>
      </c>
      <c r="AF33" s="99" t="str">
        <f t="shared" si="3"/>
        <v/>
      </c>
      <c r="AG33" s="107">
        <f t="shared" si="3"/>
        <v>8.2706531521111515</v>
      </c>
      <c r="AH33" s="108">
        <f t="shared" si="3"/>
        <v>2.8679928591115278</v>
      </c>
    </row>
    <row r="34" spans="2:34" ht="19" thickTop="1" x14ac:dyDescent="0.45">
      <c r="C34" s="109"/>
      <c r="D34" s="109"/>
      <c r="E34" s="109"/>
      <c r="F34" s="109"/>
      <c r="G34" s="109"/>
      <c r="H34" s="109"/>
      <c r="I34" s="110"/>
      <c r="J34" s="109"/>
      <c r="K34" s="109"/>
      <c r="L34" s="110"/>
      <c r="M34" s="109"/>
      <c r="N34" s="111"/>
      <c r="O34" s="111"/>
      <c r="P34" s="112"/>
      <c r="Q34" s="109"/>
      <c r="R34" s="109"/>
      <c r="S34" s="109"/>
      <c r="T34" s="110"/>
      <c r="U34" s="109"/>
      <c r="V34" s="109"/>
      <c r="W34" s="109"/>
      <c r="X34" s="109"/>
      <c r="Y34" s="110"/>
      <c r="Z34" s="109"/>
      <c r="AA34" s="109"/>
      <c r="AB34" s="110"/>
      <c r="AC34" s="109"/>
      <c r="AD34" s="109"/>
      <c r="AE34" s="110"/>
      <c r="AF34" s="109"/>
      <c r="AG34" s="109"/>
      <c r="AH34" s="109"/>
    </row>
    <row r="35" spans="2:34" ht="18.5" x14ac:dyDescent="0.45">
      <c r="C35" s="109"/>
      <c r="D35" s="109"/>
      <c r="E35" s="109"/>
      <c r="F35" s="117" t="s">
        <v>274</v>
      </c>
      <c r="G35" s="109"/>
      <c r="H35" s="109"/>
      <c r="I35" s="110"/>
      <c r="J35" s="109"/>
      <c r="K35" s="109"/>
      <c r="L35" s="110"/>
      <c r="M35" s="109"/>
      <c r="N35" s="111"/>
      <c r="O35" s="111"/>
      <c r="P35" s="112"/>
      <c r="Q35" s="109"/>
      <c r="R35" s="109"/>
      <c r="S35" s="109"/>
      <c r="T35" s="110"/>
      <c r="U35" s="109"/>
      <c r="V35" s="109"/>
      <c r="W35" s="109"/>
      <c r="X35" s="109"/>
      <c r="Y35" s="110"/>
      <c r="Z35" s="109"/>
      <c r="AA35" s="109"/>
      <c r="AB35" s="110"/>
      <c r="AC35" s="109"/>
      <c r="AD35" s="109"/>
      <c r="AE35" s="110"/>
      <c r="AF35" s="109"/>
      <c r="AG35" s="109"/>
      <c r="AH35" s="109"/>
    </row>
    <row r="36" spans="2:34" ht="18.5" x14ac:dyDescent="0.45">
      <c r="B36" s="62"/>
      <c r="C36" s="109"/>
      <c r="D36" s="117" t="s">
        <v>275</v>
      </c>
      <c r="E36" s="109"/>
      <c r="F36" s="109"/>
      <c r="G36" s="109"/>
      <c r="H36" s="117" t="s">
        <v>276</v>
      </c>
      <c r="I36" s="110"/>
      <c r="J36" s="117"/>
      <c r="K36" s="117"/>
      <c r="L36" s="118"/>
      <c r="M36" s="109"/>
      <c r="N36" s="111"/>
      <c r="O36" s="111"/>
      <c r="P36" s="112"/>
      <c r="Q36" s="109"/>
      <c r="R36" s="109"/>
      <c r="S36" s="109"/>
      <c r="T36" s="110"/>
      <c r="U36" s="109"/>
      <c r="V36" s="109"/>
      <c r="W36" s="109"/>
      <c r="X36" s="109"/>
      <c r="Y36" s="110"/>
      <c r="Z36" s="109"/>
      <c r="AA36" s="109"/>
      <c r="AB36" s="110"/>
      <c r="AC36" s="109"/>
      <c r="AD36" s="109"/>
      <c r="AE36" s="110"/>
      <c r="AF36" s="109"/>
      <c r="AG36" s="109"/>
      <c r="AH36" s="109"/>
    </row>
    <row r="37" spans="2:34" ht="18.5" x14ac:dyDescent="0.45">
      <c r="C37" s="109"/>
      <c r="D37" s="109"/>
      <c r="E37" s="117"/>
      <c r="F37" s="109"/>
      <c r="G37" s="109"/>
      <c r="H37" s="109"/>
      <c r="I37" s="110"/>
      <c r="J37" s="109"/>
      <c r="K37" s="109"/>
      <c r="L37" s="110"/>
      <c r="M37" s="109"/>
      <c r="N37" s="111"/>
      <c r="O37" s="111"/>
      <c r="P37" s="112"/>
      <c r="Q37" s="109"/>
      <c r="R37" s="109"/>
      <c r="S37" s="109"/>
      <c r="T37" s="110"/>
      <c r="U37" s="109"/>
      <c r="V37" s="109"/>
      <c r="W37" s="109"/>
      <c r="X37" s="109"/>
      <c r="Y37" s="110"/>
      <c r="Z37" s="109"/>
      <c r="AA37" s="109"/>
      <c r="AB37" s="110"/>
      <c r="AC37" s="109"/>
      <c r="AD37" s="109"/>
      <c r="AE37" s="110"/>
      <c r="AF37" s="109"/>
      <c r="AG37" s="109"/>
      <c r="AH37" s="109"/>
    </row>
    <row r="38" spans="2:34" ht="18.5" x14ac:dyDescent="0.35">
      <c r="C38" s="310" t="s">
        <v>277</v>
      </c>
      <c r="D38" s="310"/>
      <c r="E38" s="310"/>
      <c r="F38" s="310"/>
      <c r="G38" s="310"/>
      <c r="H38" s="310"/>
      <c r="I38" s="310"/>
      <c r="J38" s="310"/>
      <c r="K38" s="310"/>
      <c r="L38" s="310"/>
      <c r="M38" s="310"/>
      <c r="N38" s="310"/>
      <c r="O38" s="310"/>
      <c r="P38" s="310"/>
      <c r="Q38" s="310"/>
      <c r="R38" s="310"/>
      <c r="S38" s="310"/>
      <c r="T38" s="310"/>
      <c r="U38" s="310"/>
      <c r="V38" s="310"/>
      <c r="W38" s="310"/>
      <c r="X38" s="310"/>
      <c r="Y38" s="310"/>
      <c r="Z38" s="310"/>
      <c r="AA38" s="310"/>
      <c r="AB38" s="310"/>
      <c r="AC38" s="310"/>
      <c r="AD38" s="310"/>
      <c r="AE38" s="310"/>
      <c r="AF38" s="310"/>
      <c r="AG38" s="310"/>
      <c r="AH38" s="310"/>
    </row>
    <row r="39" spans="2:34" ht="19" thickBot="1" x14ac:dyDescent="0.5">
      <c r="C39" s="109"/>
      <c r="D39" s="109"/>
      <c r="E39" s="109"/>
      <c r="F39" s="109"/>
      <c r="G39" s="109"/>
      <c r="H39" s="109"/>
      <c r="I39" s="110"/>
      <c r="J39" s="109"/>
      <c r="K39" s="109"/>
      <c r="L39" s="110"/>
      <c r="M39" s="109"/>
      <c r="N39" s="119"/>
      <c r="O39" s="119"/>
      <c r="P39" s="120"/>
      <c r="Q39" s="109"/>
      <c r="R39" s="109"/>
      <c r="S39" s="109"/>
      <c r="T39" s="110"/>
      <c r="U39" s="109"/>
      <c r="V39" s="109"/>
      <c r="W39" s="109"/>
      <c r="X39" s="109"/>
      <c r="Y39" s="110"/>
      <c r="Z39" s="109"/>
      <c r="AA39" s="109"/>
      <c r="AB39" s="110"/>
      <c r="AC39" s="109"/>
      <c r="AD39" s="109"/>
      <c r="AE39" s="110"/>
      <c r="AF39" s="109"/>
      <c r="AG39" s="109"/>
      <c r="AH39" s="109"/>
    </row>
    <row r="40" spans="2:34" s="62" customFormat="1" ht="19" thickTop="1" x14ac:dyDescent="0.45">
      <c r="C40" s="85" t="s">
        <v>271</v>
      </c>
      <c r="D40" s="86"/>
      <c r="E40" s="86"/>
      <c r="F40" s="86"/>
      <c r="G40" s="86"/>
      <c r="H40" s="86"/>
      <c r="I40" s="121"/>
      <c r="J40" s="86"/>
      <c r="K40" s="115">
        <f ca="1">IFERROR(AVERAGE(K16:K19,K26:K29),"")</f>
        <v>1861.86295</v>
      </c>
      <c r="L40" s="90">
        <f t="shared" ref="L40:AH40" ca="1" si="4">IFERROR(AVERAGE(L16:L19,L26:L29),"")</f>
        <v>2317.3247828799999</v>
      </c>
      <c r="M40" s="87" t="str">
        <f t="shared" si="4"/>
        <v/>
      </c>
      <c r="N40" s="91">
        <f t="shared" ca="1" si="4"/>
        <v>2824.4410586250001</v>
      </c>
      <c r="O40" s="91">
        <f t="shared" ca="1" si="4"/>
        <v>342.96651274999994</v>
      </c>
      <c r="P40" s="92">
        <f t="shared" ca="1" si="4"/>
        <v>80.031960374999954</v>
      </c>
      <c r="Q40" s="87" t="str">
        <f t="shared" si="4"/>
        <v/>
      </c>
      <c r="R40" s="93">
        <f t="shared" ca="1" si="4"/>
        <v>0.46221624119247245</v>
      </c>
      <c r="S40" s="93">
        <f t="shared" ca="1" si="4"/>
        <v>0.14645722077251083</v>
      </c>
      <c r="T40" s="94">
        <f t="shared" ca="1" si="4"/>
        <v>4.3523334116142842E-2</v>
      </c>
      <c r="U40" s="87" t="str">
        <f t="shared" si="4"/>
        <v/>
      </c>
      <c r="V40" s="93">
        <f t="shared" ca="1" si="4"/>
        <v>5.621918776820993E-2</v>
      </c>
      <c r="W40" s="93">
        <f t="shared" ca="1" si="4"/>
        <v>0.15383806202119332</v>
      </c>
      <c r="X40" s="93">
        <f t="shared" ca="1" si="4"/>
        <v>0.21205657121574611</v>
      </c>
      <c r="Y40" s="94">
        <f ca="1">IFERROR(AVERAGE(Y16:Y19,Y26:Y29),"")</f>
        <v>0.13569267402579119</v>
      </c>
      <c r="Z40" s="87" t="str">
        <f t="shared" si="4"/>
        <v/>
      </c>
      <c r="AA40" s="93">
        <f t="shared" ca="1" si="4"/>
        <v>7.1393062856434431E-2</v>
      </c>
      <c r="AB40" s="94">
        <f t="shared" ca="1" si="4"/>
        <v>8.7754110795968648E-2</v>
      </c>
      <c r="AC40" s="87" t="str">
        <f t="shared" si="4"/>
        <v/>
      </c>
      <c r="AD40" s="95">
        <f t="shared" ca="1" si="4"/>
        <v>1.7143068272519855</v>
      </c>
      <c r="AE40" s="94">
        <f t="shared" ca="1" si="4"/>
        <v>0.4816421903438643</v>
      </c>
      <c r="AF40" s="87" t="str">
        <f t="shared" si="4"/>
        <v/>
      </c>
      <c r="AG40" s="95">
        <f t="shared" ca="1" si="4"/>
        <v>7.5590841644125311</v>
      </c>
      <c r="AH40" s="96">
        <f t="shared" ca="1" si="4"/>
        <v>3.4946049496148301</v>
      </c>
    </row>
    <row r="41" spans="2:34" s="62" customFormat="1" ht="19" thickBot="1" x14ac:dyDescent="0.5">
      <c r="C41" s="97" t="s">
        <v>272</v>
      </c>
      <c r="D41" s="98"/>
      <c r="E41" s="98"/>
      <c r="F41" s="98"/>
      <c r="G41" s="98"/>
      <c r="H41" s="98"/>
      <c r="I41" s="122"/>
      <c r="J41" s="98"/>
      <c r="K41" s="116">
        <f ca="1">IFERROR(MEDIAN(K16:K19,$K$26:$K$29),"")</f>
        <v>821.10519999999997</v>
      </c>
      <c r="L41" s="102">
        <f t="shared" ref="L41:AG41" ca="1" si="5">IFERROR(MEDIAN(L16:L19,L26:L29),"")</f>
        <v>1061.5273682525001</v>
      </c>
      <c r="M41" s="99" t="str">
        <f t="shared" si="5"/>
        <v/>
      </c>
      <c r="N41" s="103">
        <f t="shared" ca="1" si="5"/>
        <v>1576.7140000000002</v>
      </c>
      <c r="O41" s="103">
        <f t="shared" ca="1" si="5"/>
        <v>239.6374999999999</v>
      </c>
      <c r="P41" s="104">
        <f t="shared" ca="1" si="5"/>
        <v>56.773499999999942</v>
      </c>
      <c r="Q41" s="99" t="str">
        <f t="shared" si="5"/>
        <v/>
      </c>
      <c r="R41" s="105">
        <f t="shared" ca="1" si="5"/>
        <v>0.44384844824239711</v>
      </c>
      <c r="S41" s="105">
        <f t="shared" ca="1" si="5"/>
        <v>0.12634229469543423</v>
      </c>
      <c r="T41" s="106">
        <f t="shared" ca="1" si="5"/>
        <v>5.1810931486918982E-2</v>
      </c>
      <c r="U41" s="99" t="str">
        <f t="shared" si="5"/>
        <v/>
      </c>
      <c r="V41" s="105">
        <f t="shared" ca="1" si="5"/>
        <v>3.9329419927183085E-2</v>
      </c>
      <c r="W41" s="105">
        <f t="shared" ca="1" si="5"/>
        <v>0.13724031389083902</v>
      </c>
      <c r="X41" s="105">
        <f t="shared" ca="1" si="5"/>
        <v>0.18909092156331098</v>
      </c>
      <c r="Y41" s="106">
        <f ca="1">IFERROR(MEDIAN(Y16:Y19,Y26:Y29),"")</f>
        <v>9.5493361902906027E-2</v>
      </c>
      <c r="Z41" s="99" t="str">
        <f t="shared" si="5"/>
        <v/>
      </c>
      <c r="AA41" s="105">
        <f t="shared" ca="1" si="5"/>
        <v>7.5252688637605772E-2</v>
      </c>
      <c r="AB41" s="106">
        <f t="shared" ca="1" si="5"/>
        <v>9.1922428892238783E-2</v>
      </c>
      <c r="AC41" s="99" t="str">
        <f t="shared" si="5"/>
        <v/>
      </c>
      <c r="AD41" s="107">
        <f t="shared" ca="1" si="5"/>
        <v>1.6443508859747502</v>
      </c>
      <c r="AE41" s="106">
        <f t="shared" ca="1" si="5"/>
        <v>0.46127293669488717</v>
      </c>
      <c r="AF41" s="99" t="str">
        <f t="shared" si="5"/>
        <v/>
      </c>
      <c r="AG41" s="107">
        <f t="shared" ca="1" si="5"/>
        <v>6.3673996271713147</v>
      </c>
      <c r="AH41" s="108">
        <f ca="1">IFERROR(MEDIAN(AH16:AH19,AH26:AH29),"")</f>
        <v>2.9536029560966375</v>
      </c>
    </row>
    <row r="42" spans="2:34" s="62" customFormat="1" ht="19.5" thickTop="1" thickBot="1" x14ac:dyDescent="0.5">
      <c r="C42" s="123"/>
      <c r="D42" s="123"/>
      <c r="E42" s="123"/>
      <c r="F42" s="123"/>
      <c r="G42" s="123"/>
      <c r="H42" s="123"/>
      <c r="I42" s="124"/>
      <c r="J42" s="123"/>
      <c r="K42" s="123"/>
      <c r="L42" s="124"/>
      <c r="M42" s="123"/>
      <c r="N42" s="125"/>
      <c r="O42" s="125"/>
      <c r="P42" s="126"/>
      <c r="Q42" s="127"/>
      <c r="R42" s="127"/>
      <c r="S42" s="127"/>
      <c r="T42" s="128"/>
      <c r="U42" s="127"/>
      <c r="V42" s="127"/>
      <c r="W42" s="127"/>
      <c r="X42" s="127"/>
      <c r="Y42" s="128"/>
      <c r="Z42" s="127"/>
      <c r="AA42" s="127"/>
      <c r="AB42" s="128"/>
      <c r="AC42" s="127"/>
      <c r="AD42" s="127"/>
      <c r="AE42" s="128"/>
      <c r="AF42" s="127"/>
      <c r="AG42" s="127"/>
      <c r="AH42" s="127"/>
    </row>
    <row r="43" spans="2:34" s="62" customFormat="1" ht="19" thickTop="1" x14ac:dyDescent="0.45">
      <c r="C43" s="85" t="s">
        <v>278</v>
      </c>
      <c r="D43" s="86"/>
      <c r="E43" s="86"/>
      <c r="F43" s="86"/>
      <c r="G43" s="86"/>
      <c r="H43" s="86"/>
      <c r="I43" s="121"/>
      <c r="J43" s="86"/>
      <c r="K43" s="115">
        <f ca="1">IFERROR(MAX(K16:K19,K26:K29),"")</f>
        <v>7685.6750000000002</v>
      </c>
      <c r="L43" s="90">
        <f t="shared" ref="L43:AH43" ca="1" si="6">IFERROR(MAX(L16:L19,L26:L29),"")</f>
        <v>9560.0266617600009</v>
      </c>
      <c r="M43" s="87">
        <f t="shared" si="6"/>
        <v>0</v>
      </c>
      <c r="N43" s="91">
        <f t="shared" ca="1" si="6"/>
        <v>7662.8</v>
      </c>
      <c r="O43" s="91">
        <f t="shared" ca="1" si="6"/>
        <v>1110.0999999999999</v>
      </c>
      <c r="P43" s="92">
        <f t="shared" ca="1" si="6"/>
        <v>524.5999999999998</v>
      </c>
      <c r="Q43" s="87"/>
      <c r="R43" s="93">
        <f t="shared" ca="1" si="6"/>
        <v>0.73436241699706828</v>
      </c>
      <c r="S43" s="93">
        <f t="shared" ca="1" si="6"/>
        <v>0.36916514120441435</v>
      </c>
      <c r="T43" s="94">
        <f t="shared" ca="1" si="6"/>
        <v>0.10605340087918079</v>
      </c>
      <c r="U43" s="87"/>
      <c r="V43" s="93">
        <f t="shared" ca="1" si="6"/>
        <v>0.23708723551701416</v>
      </c>
      <c r="W43" s="93">
        <f ca="1">IFERROR(MAX(W16:W19,W26:W29),"")</f>
        <v>0.48592573077884293</v>
      </c>
      <c r="X43" s="93">
        <f t="shared" ca="1" si="6"/>
        <v>0.5557852258815752</v>
      </c>
      <c r="Y43" s="94">
        <f ca="1">IFERROR(MAX(Y16:Y19,Y26:Y29),"")</f>
        <v>0.43514077512991012</v>
      </c>
      <c r="Z43" s="87"/>
      <c r="AA43" s="93">
        <f t="shared" ca="1" si="6"/>
        <v>0.1443340088416068</v>
      </c>
      <c r="AB43" s="94">
        <f t="shared" ca="1" si="6"/>
        <v>0.17286204334086475</v>
      </c>
      <c r="AC43" s="87">
        <f t="shared" si="6"/>
        <v>0</v>
      </c>
      <c r="AD43" s="95">
        <f t="shared" ca="1" si="6"/>
        <v>2.8768043641640979</v>
      </c>
      <c r="AE43" s="94">
        <f t="shared" ca="1" si="6"/>
        <v>0.7779558796673498</v>
      </c>
      <c r="AF43" s="87">
        <f t="shared" si="6"/>
        <v>0</v>
      </c>
      <c r="AG43" s="95">
        <f t="shared" ca="1" si="6"/>
        <v>13.963004191294331</v>
      </c>
      <c r="AH43" s="96">
        <f t="shared" ca="1" si="6"/>
        <v>7.2882926642377583</v>
      </c>
    </row>
    <row r="44" spans="2:34" s="62" customFormat="1" ht="18.5" x14ac:dyDescent="0.45">
      <c r="C44" s="129" t="s">
        <v>279</v>
      </c>
      <c r="D44" s="130"/>
      <c r="E44" s="130"/>
      <c r="F44" s="130"/>
      <c r="G44" s="130"/>
      <c r="H44" s="130"/>
      <c r="I44" s="131"/>
      <c r="J44" s="130"/>
      <c r="K44" s="132">
        <f ca="1">IFERROR(_xlfn.QUARTILE.INC((K16:K19,K26:K29),3),"")</f>
        <v>1880.3125</v>
      </c>
      <c r="L44" s="133">
        <f ca="1">IFERROR(_xlfn.QUARTILE.INC((L16:L19,L26:L29),3),"")</f>
        <v>2242.6962904587504</v>
      </c>
      <c r="M44" s="134" t="str">
        <f>IFERROR(_xlfn.QUARTILE.INC((M16:M19,M26:M29),3),"")</f>
        <v/>
      </c>
      <c r="N44" s="135">
        <f ca="1">IFERROR(_xlfn.QUARTILE.INC((N16:N19,N26:N29),3),"")</f>
        <v>4080.66075</v>
      </c>
      <c r="O44" s="135">
        <f ca="1">IFERROR(_xlfn.QUARTILE.INC((O16:O19,O26:O29),3),"")</f>
        <v>384.88762500000001</v>
      </c>
      <c r="P44" s="136">
        <f ca="1">IFERROR(_xlfn.QUARTILE.INC((P16:P19,P26:P29),3),"")</f>
        <v>81.246749999999963</v>
      </c>
      <c r="Q44" s="134" t="str">
        <f>IFERROR(_xlfn.QUARTILE.INC((Q16:Q19,Q26:Q29),3),"")</f>
        <v/>
      </c>
      <c r="R44" s="137">
        <f ca="1">IFERROR(_xlfn.QUARTILE.INC((R16:R19,R26:R29),3),"")</f>
        <v>0.52902549544378696</v>
      </c>
      <c r="S44" s="137">
        <f ca="1">IFERROR(_xlfn.QUARTILE.INC((S16:S19,S26:S29),3),"")</f>
        <v>0.15167834682669037</v>
      </c>
      <c r="T44" s="138">
        <f ca="1">IFERROR(_xlfn.QUARTILE.INC((T16:T19,T26:T29),3),"")</f>
        <v>6.982175551696905E-2</v>
      </c>
      <c r="U44" s="134" t="str">
        <f>IFERROR(_xlfn.QUARTILE.INC((U16:U19,U26:U29),3),"")</f>
        <v/>
      </c>
      <c r="V44" s="137">
        <f ca="1">IFERROR(_xlfn.QUARTILE.INC((V16:V19,V26:V29),3),"")</f>
        <v>0.10343863880452947</v>
      </c>
      <c r="W44" s="137">
        <f ca="1">IFERROR(_xlfn.QUARTILE.INC((W16:W19,W26:W29),3),"")</f>
        <v>0.17859452507111484</v>
      </c>
      <c r="X44" s="137">
        <f ca="1">IFERROR(_xlfn.QUARTILE.INC((X16:X19,X26:X29),3),"")</f>
        <v>0.41117535147861151</v>
      </c>
      <c r="Y44" s="138">
        <f ca="1">IFERROR(_xlfn.QUARTILE.INC((Y16:Y19,Y26:Y29),3),"")</f>
        <v>0.12135965924791775</v>
      </c>
      <c r="Z44" s="134" t="str">
        <f>IFERROR(_xlfn.QUARTILE.INC((Z16:Z19,Z26:Z29),3),"")</f>
        <v/>
      </c>
      <c r="AA44" s="137">
        <f ca="1">IFERROR(_xlfn.QUARTILE.INC((AA16:AA19,AA26:AA29),3),"")</f>
        <v>7.9498730128285275E-2</v>
      </c>
      <c r="AB44" s="138">
        <f ca="1">IFERROR(_xlfn.QUARTILE.INC((AB16:AB19,AB26:AB29),3),"")</f>
        <v>0.12243591541197185</v>
      </c>
      <c r="AC44" s="134" t="str">
        <f>IFERROR(_xlfn.QUARTILE.INC((AC16:AC19,AC26:AC29),3),"")</f>
        <v/>
      </c>
      <c r="AD44" s="139">
        <f ca="1">IFERROR(_xlfn.QUARTILE.INC((AD16:AD19,AD26:AD29),3),"")</f>
        <v>2.3705253591054416</v>
      </c>
      <c r="AE44" s="138">
        <f ca="1">IFERROR(_xlfn.QUARTILE.INC((AE16:AE19,AE26:AE29),3),"")</f>
        <v>0.57260658817500099</v>
      </c>
      <c r="AF44" s="134" t="str">
        <f>IFERROR(_xlfn.QUARTILE.INC((AF16:AF19,AF26:AF29),3),"")</f>
        <v/>
      </c>
      <c r="AG44" s="139">
        <f ca="1">IFERROR(_xlfn.QUARTILE.INC((AG16:AG19,AG26:AG29),3),"")</f>
        <v>10.376763713406866</v>
      </c>
      <c r="AH44" s="140">
        <f ca="1">IFERROR(_xlfn.QUARTILE.INC((AH16:AH19,AH26:AH29),3),"")</f>
        <v>3.9323184920584713</v>
      </c>
    </row>
    <row r="45" spans="2:34" s="62" customFormat="1" ht="18.5" x14ac:dyDescent="0.45">
      <c r="C45" s="129" t="s">
        <v>280</v>
      </c>
      <c r="D45" s="130"/>
      <c r="E45" s="130"/>
      <c r="F45" s="130"/>
      <c r="G45" s="130"/>
      <c r="H45" s="130"/>
      <c r="I45" s="131"/>
      <c r="J45" s="130"/>
      <c r="K45" s="132">
        <f ca="1">IFERROR(_xlfn.QUARTILE.INC((K16:K19,K26:K29),1),"")</f>
        <v>366.73532499999999</v>
      </c>
      <c r="L45" s="133">
        <f ca="1">IFERROR(_xlfn.QUARTILE.INC((L16:L19,L26:L29),1),"")</f>
        <v>611.20787917749999</v>
      </c>
      <c r="M45" s="134" t="str">
        <f>IFERROR(_xlfn.QUARTILE.INC((M16:M19,M26:M29),1),"")</f>
        <v/>
      </c>
      <c r="N45" s="135">
        <f ca="1">IFERROR(_xlfn.QUARTILE.INC((N16:N19,N26:N29),1),"")</f>
        <v>711.97561724999991</v>
      </c>
      <c r="O45" s="135">
        <f ca="1">IFERROR(_xlfn.QUARTILE.INC((O16:O19,O26:O29),1),"")</f>
        <v>130.54924999999994</v>
      </c>
      <c r="P45" s="136">
        <f ca="1">IFERROR(_xlfn.QUARTILE.INC((P16:P19,P26:P29),1),"")</f>
        <v>17.559420750000008</v>
      </c>
      <c r="Q45" s="134" t="str">
        <f>IFERROR(_xlfn.QUARTILE.INC((Q16:Q19,Q26:Q29),1),"")</f>
        <v/>
      </c>
      <c r="R45" s="137">
        <f ca="1">IFERROR(_xlfn.QUARTILE.INC((R16:R19,R26:R29),1),"")</f>
        <v>0.36279215886361571</v>
      </c>
      <c r="S45" s="137">
        <f ca="1">IFERROR(_xlfn.QUARTILE.INC((S16:S19,S26:S29),1),"")</f>
        <v>8.9132301310324971E-2</v>
      </c>
      <c r="T45" s="138">
        <f ca="1">IFERROR(_xlfn.QUARTILE.INC((T16:T19,T26:T29),1),"")</f>
        <v>1.4688025433615123E-2</v>
      </c>
      <c r="U45" s="134" t="str">
        <f>IFERROR(_xlfn.QUARTILE.INC((U16:U19,U26:U29),1),"")</f>
        <v/>
      </c>
      <c r="V45" s="137">
        <f ca="1">IFERROR(_xlfn.QUARTILE.INC((V16:V19,V26:V29),1),"")</f>
        <v>-8.4982270041430719E-3</v>
      </c>
      <c r="W45" s="137">
        <f ca="1">IFERROR(_xlfn.QUARTILE.INC((W16:W19,W26:W29),1),"")</f>
        <v>5.8800009331141601E-2</v>
      </c>
      <c r="X45" s="137">
        <f ca="1">IFERROR(_xlfn.QUARTILE.INC((X16:X19,X26:X29),1),"")</f>
        <v>9.6778871686001328E-2</v>
      </c>
      <c r="Y45" s="138">
        <f ca="1">IFERROR(_xlfn.QUARTILE.INC((Y16:Y19,Y26:Y29),1),"")</f>
        <v>7.8826920235012587E-2</v>
      </c>
      <c r="Z45" s="134" t="str">
        <f>IFERROR(_xlfn.QUARTILE.INC((Z16:Z19,Z26:Z29),1),"")</f>
        <v/>
      </c>
      <c r="AA45" s="137">
        <f ca="1">IFERROR(_xlfn.QUARTILE.INC((AA16:AA19,AA26:AA29),1),"")</f>
        <v>5.7172393495057233E-2</v>
      </c>
      <c r="AB45" s="138">
        <f ca="1">IFERROR(_xlfn.QUARTILE.INC((AB16:AB19,AB26:AB29),1),"")</f>
        <v>7.7126387562192672E-2</v>
      </c>
      <c r="AC45" s="134" t="str">
        <f>IFERROR(_xlfn.QUARTILE.INC((AC16:AC19,AC26:AC29),1),"")</f>
        <v/>
      </c>
      <c r="AD45" s="141">
        <f ca="1">IFERROR(_xlfn.QUARTILE.INC((AD16:AD19,AD26:AD29),1),"")</f>
        <v>1.0518080491326438</v>
      </c>
      <c r="AE45" s="138">
        <f ca="1">IFERROR(_xlfn.QUARTILE.INC((AE16:AE19,AE26:AE29),1),"")</f>
        <v>0.3581457375156365</v>
      </c>
      <c r="AF45" s="134" t="str">
        <f>IFERROR(_xlfn.QUARTILE.INC((AF16:AF19,AF26:AF29),1),"")</f>
        <v/>
      </c>
      <c r="AG45" s="139">
        <f ca="1">IFERROR(_xlfn.QUARTILE.INC((AG16:AG19,AG26:AG29),1),"")</f>
        <v>4.7299458254577624</v>
      </c>
      <c r="AH45" s="140">
        <f ca="1">IFERROR(_xlfn.QUARTILE.INC((AH16:AH19,AH26:AH29),1),"")</f>
        <v>2.6987276335132009</v>
      </c>
    </row>
    <row r="46" spans="2:34" s="62" customFormat="1" ht="19" thickBot="1" x14ac:dyDescent="0.5">
      <c r="C46" s="97" t="s">
        <v>281</v>
      </c>
      <c r="D46" s="98"/>
      <c r="E46" s="98"/>
      <c r="F46" s="98"/>
      <c r="G46" s="98"/>
      <c r="H46" s="98"/>
      <c r="I46" s="122"/>
      <c r="J46" s="98"/>
      <c r="K46" s="116">
        <f ca="1">IFERROR(MIN(K16:K19,K26:K29),"")</f>
        <v>88.5715</v>
      </c>
      <c r="L46" s="102">
        <f t="shared" ref="L46:AH46" ca="1" si="7">IFERROR(MIN(L16:L19,L26:L29),"")</f>
        <v>181.11646539999998</v>
      </c>
      <c r="M46" s="99">
        <f t="shared" si="7"/>
        <v>0</v>
      </c>
      <c r="N46" s="103">
        <f t="shared" ca="1" si="7"/>
        <v>442.423</v>
      </c>
      <c r="O46" s="103">
        <f t="shared" ca="1" si="7"/>
        <v>53.209602000000025</v>
      </c>
      <c r="P46" s="104">
        <f t="shared" ca="1" si="7"/>
        <v>-213.60000000000019</v>
      </c>
      <c r="Q46" s="99"/>
      <c r="R46" s="105">
        <f t="shared" ca="1" si="7"/>
        <v>0.27265236186458408</v>
      </c>
      <c r="S46" s="105">
        <f t="shared" ca="1" si="7"/>
        <v>7.1323551391257151E-2</v>
      </c>
      <c r="T46" s="106">
        <f t="shared" ca="1" si="7"/>
        <v>-3.2680620213882322E-2</v>
      </c>
      <c r="U46" s="99"/>
      <c r="V46" s="105">
        <f t="shared" ca="1" si="7"/>
        <v>-5.9650229678929634E-2</v>
      </c>
      <c r="W46" s="105">
        <f t="shared" ca="1" si="7"/>
        <v>-2.0079999999999987E-2</v>
      </c>
      <c r="X46" s="105">
        <f t="shared" ca="1" si="7"/>
        <v>-0.2583333333333333</v>
      </c>
      <c r="Y46" s="106">
        <f ca="1">IFERROR(MIN(Y16:Y19,Y26:Y29),"")</f>
        <v>3.9080000000000004E-2</v>
      </c>
      <c r="Z46" s="99"/>
      <c r="AA46" s="105">
        <f t="shared" ca="1" si="7"/>
        <v>1.5230732845832349E-2</v>
      </c>
      <c r="AB46" s="106">
        <f t="shared" ca="1" si="7"/>
        <v>-5.8511755151314987E-2</v>
      </c>
      <c r="AC46" s="99">
        <f t="shared" si="7"/>
        <v>0</v>
      </c>
      <c r="AD46" s="142">
        <f t="shared" ca="1" si="7"/>
        <v>0.48840933634400141</v>
      </c>
      <c r="AE46" s="106">
        <f t="shared" ca="1" si="7"/>
        <v>0.29593664173867323</v>
      </c>
      <c r="AF46" s="99">
        <f t="shared" si="7"/>
        <v>0</v>
      </c>
      <c r="AG46" s="107">
        <f t="shared" ca="1" si="7"/>
        <v>2.5230125523012545</v>
      </c>
      <c r="AH46" s="143">
        <f t="shared" ca="1" si="7"/>
        <v>0.9330543933054386</v>
      </c>
    </row>
    <row r="47" spans="2:34" ht="15" thickTop="1" x14ac:dyDescent="0.35">
      <c r="C47" s="144" t="s">
        <v>282</v>
      </c>
    </row>
    <row r="48" spans="2:34" x14ac:dyDescent="0.35">
      <c r="C48" s="144" t="s">
        <v>283</v>
      </c>
    </row>
    <row r="49" x14ac:dyDescent="0.35"/>
  </sheetData>
  <mergeCells count="29">
    <mergeCell ref="R8:T8"/>
    <mergeCell ref="C2:O3"/>
    <mergeCell ref="C4:O4"/>
    <mergeCell ref="C8:I8"/>
    <mergeCell ref="K8:L8"/>
    <mergeCell ref="N8:P8"/>
    <mergeCell ref="V8:Y8"/>
    <mergeCell ref="AA8:AB8"/>
    <mergeCell ref="AD8:AE8"/>
    <mergeCell ref="AG8:AH8"/>
    <mergeCell ref="V9:W9"/>
    <mergeCell ref="X9:Y9"/>
    <mergeCell ref="C27:F27"/>
    <mergeCell ref="C11:F11"/>
    <mergeCell ref="C13:F13"/>
    <mergeCell ref="C15:AH15"/>
    <mergeCell ref="C16:F16"/>
    <mergeCell ref="C17:F17"/>
    <mergeCell ref="C18:F18"/>
    <mergeCell ref="C19:F19"/>
    <mergeCell ref="C20:F20"/>
    <mergeCell ref="C21:F21"/>
    <mergeCell ref="C25:AH25"/>
    <mergeCell ref="C26:F26"/>
    <mergeCell ref="C28:F28"/>
    <mergeCell ref="C29:F29"/>
    <mergeCell ref="C30:F30"/>
    <mergeCell ref="C31:F31"/>
    <mergeCell ref="C38:AH38"/>
  </mergeCells>
  <conditionalFormatting sqref="D36">
    <cfRule type="iconSet" priority="10">
      <iconSet>
        <cfvo type="percent" val="0"/>
        <cfvo type="percent" val="33"/>
        <cfvo type="percent" val="67"/>
      </iconSet>
    </cfRule>
  </conditionalFormatting>
  <conditionalFormatting sqref="K16:K19 K26:K29">
    <cfRule type="iconSet" priority="11">
      <iconSet>
        <cfvo type="percent" val="0"/>
        <cfvo type="num" val="$K$45"/>
        <cfvo type="num" val="$K$44"/>
      </iconSet>
    </cfRule>
  </conditionalFormatting>
  <conditionalFormatting sqref="L16:L19 L26:L29">
    <cfRule type="iconSet" priority="12">
      <iconSet>
        <cfvo type="percent" val="0"/>
        <cfvo type="num" val="$L$45"/>
        <cfvo type="num" val="$L$44"/>
      </iconSet>
    </cfRule>
  </conditionalFormatting>
  <conditionalFormatting sqref="N16:N19 N26:N29">
    <cfRule type="iconSet" priority="13">
      <iconSet>
        <cfvo type="percent" val="0"/>
        <cfvo type="num" val="$N$45"/>
        <cfvo type="num" val="$N$44"/>
      </iconSet>
    </cfRule>
  </conditionalFormatting>
  <conditionalFormatting sqref="O16:O19 O26:O29">
    <cfRule type="iconSet" priority="14">
      <iconSet>
        <cfvo type="percent" val="0"/>
        <cfvo type="num" val="$O$45"/>
        <cfvo type="num" val="$O$44"/>
      </iconSet>
    </cfRule>
  </conditionalFormatting>
  <conditionalFormatting sqref="P16:P19 P26:P29">
    <cfRule type="iconSet" priority="15">
      <iconSet>
        <cfvo type="percent" val="0"/>
        <cfvo type="num" val="$P$45"/>
        <cfvo type="num" val="$P$44"/>
      </iconSet>
    </cfRule>
  </conditionalFormatting>
  <conditionalFormatting sqref="R16:R19 R26:R29">
    <cfRule type="iconSet" priority="16">
      <iconSet>
        <cfvo type="percent" val="0"/>
        <cfvo type="num" val="$R$45"/>
        <cfvo type="num" val="$R$44"/>
      </iconSet>
    </cfRule>
  </conditionalFormatting>
  <conditionalFormatting sqref="S16:S19 S26:S29">
    <cfRule type="iconSet" priority="17">
      <iconSet>
        <cfvo type="percent" val="0"/>
        <cfvo type="num" val="$S$45"/>
        <cfvo type="num" val="$S$44"/>
      </iconSet>
    </cfRule>
  </conditionalFormatting>
  <conditionalFormatting sqref="T16:T19 T26:T29">
    <cfRule type="iconSet" priority="4">
      <iconSet>
        <cfvo type="percent" val="0"/>
        <cfvo type="num" val="$T$45"/>
        <cfvo type="num" val="$T$44"/>
      </iconSet>
    </cfRule>
  </conditionalFormatting>
  <conditionalFormatting sqref="V16:V19 V26:V29">
    <cfRule type="iconSet" priority="19">
      <iconSet>
        <cfvo type="percent" val="0"/>
        <cfvo type="num" val="$V$45"/>
        <cfvo type="num" val="$V$44"/>
      </iconSet>
    </cfRule>
  </conditionalFormatting>
  <conditionalFormatting sqref="W16:W19 W26:W29">
    <cfRule type="iconSet" priority="20">
      <iconSet>
        <cfvo type="percent" val="0"/>
        <cfvo type="num" val="$W$45"/>
        <cfvo type="num" val="$W$44"/>
      </iconSet>
    </cfRule>
  </conditionalFormatting>
  <conditionalFormatting sqref="X16:X19 X26:X29">
    <cfRule type="iconSet" priority="21">
      <iconSet>
        <cfvo type="percent" val="0"/>
        <cfvo type="num" val="$X$45"/>
        <cfvo type="num" val="$X$44"/>
      </iconSet>
    </cfRule>
  </conditionalFormatting>
  <conditionalFormatting sqref="Y16:Y19 Y26:Y29">
    <cfRule type="iconSet" priority="22">
      <iconSet>
        <cfvo type="percent" val="0"/>
        <cfvo type="num" val="$Y$45"/>
        <cfvo type="num" val="$Y$44"/>
      </iconSet>
    </cfRule>
  </conditionalFormatting>
  <conditionalFormatting sqref="AA16:AA19 AA26:AA29">
    <cfRule type="iconSet" priority="23">
      <iconSet>
        <cfvo type="percent" val="0"/>
        <cfvo type="num" val="$AA$45"/>
        <cfvo type="num" val="$AA$44"/>
      </iconSet>
    </cfRule>
  </conditionalFormatting>
  <conditionalFormatting sqref="AB16:AB19 AB26:AB29">
    <cfRule type="iconSet" priority="24">
      <iconSet>
        <cfvo type="percent" val="0"/>
        <cfvo type="num" val="$AB$45"/>
        <cfvo type="num" val="$AB$44"/>
      </iconSet>
    </cfRule>
  </conditionalFormatting>
  <conditionalFormatting sqref="AD16:AD19 AD26:AD29">
    <cfRule type="iconSet" priority="25">
      <iconSet reverse="1">
        <cfvo type="percent" val="0"/>
        <cfvo type="num" val="$AD$45"/>
        <cfvo type="num" val="$AD$44"/>
      </iconSet>
    </cfRule>
  </conditionalFormatting>
  <conditionalFormatting sqref="AE16:AE19 AE26:AE29">
    <cfRule type="iconSet" priority="26">
      <iconSet reverse="1">
        <cfvo type="percent" val="0"/>
        <cfvo type="num" val="$AE$45"/>
        <cfvo type="num" val="$AE$44"/>
      </iconSet>
    </cfRule>
  </conditionalFormatting>
  <conditionalFormatting sqref="AG16:AG19 AG26:AG29">
    <cfRule type="iconSet" priority="27">
      <iconSet>
        <cfvo type="percent" val="0"/>
        <cfvo type="num" val="$AG$45"/>
        <cfvo type="num" val="$AG$44"/>
      </iconSet>
    </cfRule>
  </conditionalFormatting>
  <conditionalFormatting sqref="AH16:AH19 AH26:AH29">
    <cfRule type="iconSet" priority="1">
      <iconSet>
        <cfvo type="percent" val="0"/>
        <cfvo type="num" val="$AH$45"/>
        <cfvo type="num" val="$AH$44"/>
      </iconSet>
    </cfRule>
  </conditionalFormatting>
  <pageMargins left="0.7" right="0.7" top="0.75" bottom="0.75" header="0.3" footer="0.3"/>
  <drawing r:id="rId1"/>
  <picture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E20C9C-CB6C-4F61-A606-39D95B0234F3}">
  <dimension ref="A1:XFC46"/>
  <sheetViews>
    <sheetView showGridLines="0" topLeftCell="G18" zoomScale="101" zoomScaleNormal="101" workbookViewId="0">
      <selection activeCell="N40" sqref="N40:O43"/>
    </sheetView>
  </sheetViews>
  <sheetFormatPr defaultColWidth="8.7265625" defaultRowHeight="14.5" customHeight="1" zeroHeight="1" x14ac:dyDescent="0.35"/>
  <cols>
    <col min="1" max="1" width="8.7265625" customWidth="1"/>
    <col min="2" max="2" width="3.54296875" hidden="1" customWidth="1"/>
    <col min="3" max="7" width="8.7265625" customWidth="1"/>
    <col min="8" max="8" width="10.26953125" bestFit="1" customWidth="1"/>
    <col min="9" max="9" width="11.36328125" customWidth="1"/>
    <col min="10" max="10" width="0.6328125" customWidth="1"/>
    <col min="11" max="11" width="11.6328125" bestFit="1" customWidth="1"/>
    <col min="12" max="12" width="11.453125" bestFit="1" customWidth="1"/>
    <col min="13" max="13" width="0.7265625" customWidth="1"/>
    <col min="14" max="14" width="10.36328125" bestFit="1" customWidth="1"/>
    <col min="15" max="15" width="8.7265625" customWidth="1"/>
    <col min="16" max="16" width="10.6328125" customWidth="1"/>
    <col min="17" max="17" width="0.6328125" customWidth="1"/>
    <col min="18" max="18" width="10.36328125" bestFit="1" customWidth="1"/>
    <col min="19" max="20" width="8.7265625" customWidth="1"/>
    <col min="21" max="21" width="0.81640625" customWidth="1"/>
    <col min="22" max="23" width="8.7265625" customWidth="1"/>
    <col min="24" max="24" width="10.81640625" customWidth="1"/>
    <col min="25" max="25" width="9.36328125" customWidth="1"/>
    <col min="26" max="26" width="0.7265625" customWidth="1"/>
    <col min="27" max="27" width="8.7265625" customWidth="1"/>
    <col min="28" max="28" width="10" customWidth="1"/>
    <col min="29" max="30" width="8.6328125" customWidth="1"/>
    <col min="31" max="31" width="11.6328125" bestFit="1" customWidth="1"/>
    <col min="32" max="32" width="14.26953125" bestFit="1" customWidth="1"/>
    <col min="33" max="33" width="8.7265625" customWidth="1"/>
    <col min="34" max="34" width="8.7265625" hidden="1" customWidth="1"/>
    <col min="35" max="35" width="13.54296875" hidden="1" customWidth="1"/>
    <col min="36" max="16379" width="0" hidden="1" customWidth="1"/>
    <col min="16380" max="16380" width="6.6328125" hidden="1" customWidth="1"/>
    <col min="16381" max="16381" width="4.453125" hidden="1" customWidth="1"/>
    <col min="16382" max="16383" width="3.1796875" hidden="1" customWidth="1"/>
    <col min="16384" max="16384" width="2.26953125" hidden="1" customWidth="1"/>
  </cols>
  <sheetData>
    <row r="1" spans="2:44" x14ac:dyDescent="0.35"/>
    <row r="2" spans="2:44" ht="14.5" customHeight="1" x14ac:dyDescent="0.35">
      <c r="C2" s="258" t="s">
        <v>246</v>
      </c>
      <c r="D2" s="259"/>
      <c r="E2" s="259"/>
      <c r="F2" s="259"/>
      <c r="G2" s="259"/>
      <c r="H2" s="259"/>
      <c r="I2" s="259"/>
      <c r="J2" s="259"/>
      <c r="K2" s="259"/>
      <c r="L2" s="259"/>
      <c r="M2" s="259"/>
      <c r="N2" s="259"/>
      <c r="O2" s="259"/>
      <c r="P2" s="5"/>
      <c r="Q2" s="5"/>
      <c r="R2" s="5"/>
      <c r="S2" s="5"/>
      <c r="T2" s="5"/>
      <c r="U2" s="5"/>
      <c r="V2" s="5"/>
      <c r="W2" s="5"/>
      <c r="X2" s="5"/>
      <c r="Y2" s="5"/>
      <c r="Z2" s="5"/>
      <c r="AA2" s="5"/>
      <c r="AB2" s="5"/>
      <c r="AC2" s="5"/>
      <c r="AD2" s="5"/>
      <c r="AE2" s="5"/>
      <c r="AH2" s="5"/>
      <c r="AK2" s="5"/>
      <c r="AL2" s="5"/>
      <c r="AM2" s="5"/>
      <c r="AN2" s="5"/>
      <c r="AO2" s="5"/>
      <c r="AP2" s="5"/>
      <c r="AQ2" s="5"/>
      <c r="AR2" s="5"/>
    </row>
    <row r="3" spans="2:44" ht="14.5" customHeight="1" x14ac:dyDescent="0.35">
      <c r="C3" s="259"/>
      <c r="D3" s="259"/>
      <c r="E3" s="259"/>
      <c r="F3" s="259"/>
      <c r="G3" s="259"/>
      <c r="H3" s="259"/>
      <c r="I3" s="259"/>
      <c r="J3" s="259"/>
      <c r="K3" s="259"/>
      <c r="L3" s="259"/>
      <c r="M3" s="259"/>
      <c r="N3" s="259"/>
      <c r="O3" s="259"/>
      <c r="P3" s="5"/>
      <c r="Q3" s="5"/>
      <c r="R3" s="5"/>
      <c r="S3" s="5"/>
      <c r="T3" s="5"/>
      <c r="U3" s="5"/>
      <c r="V3" s="5"/>
      <c r="W3" s="5"/>
      <c r="X3" s="5"/>
      <c r="Y3" s="5"/>
      <c r="Z3" s="5"/>
      <c r="AA3" s="5"/>
      <c r="AB3" s="5"/>
      <c r="AC3" s="5"/>
      <c r="AD3" s="5"/>
      <c r="AE3" s="5"/>
      <c r="AH3" s="5"/>
      <c r="AK3" s="5"/>
      <c r="AL3" s="5"/>
      <c r="AM3" s="5"/>
      <c r="AN3" s="5"/>
      <c r="AO3" s="5"/>
      <c r="AP3" s="5"/>
      <c r="AQ3" s="5"/>
      <c r="AR3" s="5"/>
    </row>
    <row r="4" spans="2:44" ht="15.5" x14ac:dyDescent="0.35">
      <c r="C4" s="261" t="s">
        <v>284</v>
      </c>
      <c r="D4" s="262"/>
      <c r="E4" s="262"/>
      <c r="F4" s="262"/>
      <c r="G4" s="262"/>
      <c r="H4" s="262"/>
      <c r="I4" s="262"/>
      <c r="J4" s="262"/>
      <c r="K4" s="262"/>
      <c r="L4" s="262"/>
      <c r="M4" s="262"/>
      <c r="N4" s="262"/>
      <c r="O4" s="262"/>
      <c r="P4" s="5"/>
      <c r="Q4" s="5"/>
      <c r="R4" s="5"/>
      <c r="S4" s="5"/>
      <c r="T4" s="5"/>
      <c r="U4" s="5"/>
      <c r="V4" s="5"/>
      <c r="W4" s="5"/>
      <c r="X4" s="5"/>
      <c r="Y4" s="5"/>
      <c r="Z4" s="5"/>
      <c r="AA4" s="5"/>
      <c r="AB4" s="5"/>
      <c r="AC4" s="5"/>
      <c r="AD4" s="5"/>
      <c r="AE4" s="5"/>
      <c r="AH4" s="5"/>
      <c r="AK4" s="5"/>
      <c r="AL4" s="5"/>
      <c r="AM4" s="5"/>
      <c r="AN4" s="5"/>
      <c r="AO4" s="5"/>
      <c r="AP4" s="5"/>
      <c r="AQ4" s="5"/>
      <c r="AR4" s="5"/>
    </row>
    <row r="5" spans="2:44" x14ac:dyDescent="0.35">
      <c r="C5" s="7" t="s">
        <v>38</v>
      </c>
      <c r="D5" s="5"/>
      <c r="E5" s="5"/>
      <c r="F5" s="5"/>
      <c r="G5" s="5"/>
      <c r="H5" s="5"/>
      <c r="I5" s="5"/>
      <c r="J5" s="5"/>
      <c r="K5" s="5"/>
      <c r="L5" s="5"/>
      <c r="M5" s="5"/>
      <c r="N5" s="5"/>
      <c r="O5" s="5"/>
      <c r="P5" s="5"/>
      <c r="Q5" s="5"/>
      <c r="R5" s="5"/>
      <c r="S5" s="5"/>
      <c r="T5" s="5"/>
      <c r="U5" s="5"/>
      <c r="V5" s="5"/>
      <c r="W5" s="5"/>
      <c r="X5" s="5"/>
      <c r="Y5" s="5"/>
      <c r="Z5" s="5"/>
      <c r="AA5" s="5"/>
      <c r="AB5" s="5"/>
      <c r="AC5" s="5"/>
      <c r="AD5" s="5"/>
      <c r="AE5" s="5"/>
      <c r="AH5" s="5"/>
      <c r="AK5" s="5"/>
      <c r="AL5" s="5"/>
      <c r="AM5" s="5"/>
      <c r="AN5" s="5"/>
      <c r="AO5" s="5"/>
      <c r="AP5" s="5"/>
      <c r="AQ5" s="5"/>
      <c r="AR5" s="5"/>
    </row>
    <row r="6" spans="2:44" x14ac:dyDescent="0.35"/>
    <row r="7" spans="2:44" x14ac:dyDescent="0.35"/>
    <row r="8" spans="2:44" x14ac:dyDescent="0.35"/>
    <row r="9" spans="2:44" s="59" customFormat="1" x14ac:dyDescent="0.35">
      <c r="B9"/>
      <c r="H9" s="59" t="s">
        <v>45</v>
      </c>
      <c r="I9" s="59" t="s">
        <v>285</v>
      </c>
      <c r="N9" s="313" t="s">
        <v>286</v>
      </c>
      <c r="O9" s="313"/>
      <c r="P9" s="313"/>
      <c r="Q9" s="313"/>
      <c r="R9" s="313"/>
      <c r="S9" s="313"/>
      <c r="T9" s="313"/>
      <c r="U9" s="313"/>
      <c r="V9" s="313"/>
      <c r="W9" s="313"/>
      <c r="X9" s="313"/>
      <c r="Y9" s="59" t="s">
        <v>3</v>
      </c>
      <c r="AA9" s="59" t="s">
        <v>287</v>
      </c>
      <c r="AB9" s="313" t="s">
        <v>288</v>
      </c>
      <c r="AC9" s="313"/>
      <c r="AD9" s="313"/>
      <c r="AE9" s="59" t="s">
        <v>289</v>
      </c>
      <c r="AF9"/>
      <c r="AG9"/>
    </row>
    <row r="10" spans="2:44" s="59" customFormat="1" x14ac:dyDescent="0.35">
      <c r="H10" s="59" t="s">
        <v>290</v>
      </c>
      <c r="I10" s="59" t="s">
        <v>291</v>
      </c>
      <c r="K10" s="59" t="s">
        <v>1</v>
      </c>
      <c r="L10" s="59" t="s">
        <v>2</v>
      </c>
      <c r="N10" s="59" t="s">
        <v>46</v>
      </c>
      <c r="O10" s="59" t="s">
        <v>115</v>
      </c>
      <c r="P10" s="59" t="s">
        <v>116</v>
      </c>
      <c r="R10" s="59" t="s">
        <v>46</v>
      </c>
      <c r="S10" s="59" t="s">
        <v>115</v>
      </c>
      <c r="T10" s="59" t="s">
        <v>116</v>
      </c>
      <c r="V10" s="59" t="s">
        <v>46</v>
      </c>
      <c r="W10" s="59" t="s">
        <v>115</v>
      </c>
      <c r="X10" s="59" t="s">
        <v>116</v>
      </c>
      <c r="Y10" s="59" t="s">
        <v>180</v>
      </c>
      <c r="AA10" s="59" t="s">
        <v>253</v>
      </c>
      <c r="AB10" s="59" t="s">
        <v>46</v>
      </c>
      <c r="AC10" s="59" t="s">
        <v>115</v>
      </c>
      <c r="AD10" s="59" t="s">
        <v>116</v>
      </c>
      <c r="AE10" s="59" t="s">
        <v>181</v>
      </c>
      <c r="AF10"/>
      <c r="AG10"/>
      <c r="AH10" s="145"/>
    </row>
    <row r="11" spans="2:44" s="62" customFormat="1" x14ac:dyDescent="0.35">
      <c r="C11" s="312" t="s">
        <v>4</v>
      </c>
      <c r="D11" s="312"/>
      <c r="E11" s="312"/>
      <c r="F11" s="312"/>
      <c r="G11" s="59" t="s">
        <v>5</v>
      </c>
      <c r="H11" s="59" t="s">
        <v>142</v>
      </c>
      <c r="I11" s="59" t="s">
        <v>278</v>
      </c>
      <c r="J11" s="59"/>
      <c r="K11" s="59" t="s">
        <v>7</v>
      </c>
      <c r="L11" s="59" t="s">
        <v>7</v>
      </c>
      <c r="M11" s="59"/>
      <c r="N11" s="59" t="s">
        <v>8</v>
      </c>
      <c r="O11" s="59" t="s">
        <v>8</v>
      </c>
      <c r="P11" s="59" t="s">
        <v>8</v>
      </c>
      <c r="Q11" s="59"/>
      <c r="R11" s="59" t="s">
        <v>180</v>
      </c>
      <c r="S11" s="59" t="s">
        <v>180</v>
      </c>
      <c r="T11" s="59" t="s">
        <v>180</v>
      </c>
      <c r="U11" s="59"/>
      <c r="V11" s="59" t="s">
        <v>292</v>
      </c>
      <c r="W11" s="59" t="s">
        <v>292</v>
      </c>
      <c r="X11" s="59" t="s">
        <v>292</v>
      </c>
      <c r="Y11" s="59" t="s">
        <v>293</v>
      </c>
      <c r="Z11" s="59"/>
      <c r="AA11" s="59" t="s">
        <v>180</v>
      </c>
      <c r="AB11" s="59" t="s">
        <v>181</v>
      </c>
      <c r="AC11" s="59" t="s">
        <v>181</v>
      </c>
      <c r="AD11" s="59" t="s">
        <v>181</v>
      </c>
      <c r="AE11" s="59" t="s">
        <v>294</v>
      </c>
      <c r="AF11" s="146"/>
      <c r="AG11"/>
      <c r="AH11" s="59"/>
    </row>
    <row r="12" spans="2:44" x14ac:dyDescent="0.35">
      <c r="AE12" s="147" t="s">
        <v>295</v>
      </c>
    </row>
    <row r="13" spans="2:44" ht="18.5" x14ac:dyDescent="0.35">
      <c r="B13" s="62"/>
      <c r="C13" s="148" t="s">
        <v>270</v>
      </c>
      <c r="D13" s="148"/>
      <c r="E13" s="148"/>
      <c r="F13" s="148"/>
      <c r="G13" s="148"/>
      <c r="H13" s="148"/>
      <c r="I13" s="148"/>
      <c r="J13" s="148"/>
      <c r="K13" s="148"/>
      <c r="L13" s="148"/>
      <c r="M13" s="148"/>
      <c r="N13" s="148"/>
      <c r="O13" s="148"/>
      <c r="P13" s="148"/>
      <c r="Q13" s="148"/>
      <c r="R13" s="148"/>
      <c r="S13" s="148"/>
      <c r="T13" s="148"/>
      <c r="U13" s="148"/>
      <c r="V13" s="148"/>
      <c r="W13" s="148"/>
      <c r="X13" s="148"/>
      <c r="Y13" s="148"/>
      <c r="Z13" s="148"/>
      <c r="AA13" s="148"/>
      <c r="AB13" s="148"/>
      <c r="AC13" s="148"/>
      <c r="AD13" s="148"/>
      <c r="AE13" s="148"/>
    </row>
    <row r="14" spans="2:44" x14ac:dyDescent="0.35">
      <c r="B14" t="e" vm="7">
        <v>#VALUE!</v>
      </c>
      <c r="C14" s="317" t="str" cm="1">
        <f t="array" aca="1" ref="C14" ca="1">_FV(B14,"Official name",TRUE)</f>
        <v>ORICA LIMITED</v>
      </c>
      <c r="D14" s="317"/>
      <c r="E14" s="317"/>
      <c r="F14" s="317"/>
      <c r="G14" s="149" t="str" cm="1">
        <f t="array" aca="1" ref="G14" ca="1">_FV(B14,"Ticker symbol",TRUE)</f>
        <v>ORI</v>
      </c>
      <c r="H14" s="150" cm="1">
        <f t="array" aca="1" ref="H14" ca="1">_FV(B14,"Price")</f>
        <v>15.71</v>
      </c>
      <c r="I14" s="151">
        <f ca="1">'Input 1 (7)'!$E$22</f>
        <v>0.82836804640126549</v>
      </c>
      <c r="J14" s="152"/>
      <c r="K14" s="150" cm="1">
        <f t="array" aca="1" ref="K14" ca="1">_FV(B14,"Market cap",TRUE)/1000000</f>
        <v>7685.6750000000002</v>
      </c>
      <c r="L14" s="150">
        <f ca="1">'Output FS&amp;R'!L16</f>
        <v>9560.0266617600009</v>
      </c>
      <c r="M14" s="152"/>
      <c r="N14" s="153">
        <f ca="1">'Input 1 (7)'!$C$40</f>
        <v>1.2475892182700841</v>
      </c>
      <c r="O14" s="153">
        <f ca="1">'Input 1 (7)'!$D$40</f>
        <v>1.1692933364606772</v>
      </c>
      <c r="P14" s="154">
        <f ca="1">'Input 1 (7)'!$E$40</f>
        <v>1.0959111273718578</v>
      </c>
      <c r="Q14" s="152"/>
      <c r="R14" s="153">
        <f ca="1">'Input 1 (7)'!$C$42</f>
        <v>8.6118607889019021</v>
      </c>
      <c r="S14" s="153">
        <f ca="1">'Input 1 (7)'!$D$42</f>
        <v>7.8180191267697063</v>
      </c>
      <c r="T14" s="154">
        <f ca="1">'Input 1 (7)'!$E$42</f>
        <v>7.0973538198973323</v>
      </c>
      <c r="U14" s="153"/>
      <c r="V14" s="153">
        <f ca="1">'Input 1 (7)'!$C$44</f>
        <v>12.161336549751944</v>
      </c>
      <c r="W14" s="153">
        <f ca="1">'Input 1 (7)'!$D$44</f>
        <v>10.885355211822151</v>
      </c>
      <c r="X14" s="153">
        <f ca="1">'Input 1 (7)'!$E$44</f>
        <v>9.743251295019915</v>
      </c>
      <c r="Y14" s="155">
        <f>'Output FS&amp;R'!S16</f>
        <v>0.14486871639609541</v>
      </c>
      <c r="Z14" s="152"/>
      <c r="AA14" s="154">
        <f>'Input 1 (7)'!$E$59</f>
        <v>2.2709665795874248</v>
      </c>
      <c r="AB14" s="153">
        <f ca="1">'Input 1 (7)'!$C$46</f>
        <v>14.355941025085786</v>
      </c>
      <c r="AC14" s="153">
        <f ca="1">'Input 1 (7)'!$D$46</f>
        <v>13.25938951240952</v>
      </c>
      <c r="AD14" s="154">
        <f ca="1">'Input 1 (7)'!$E$46</f>
        <v>12.246596021436703</v>
      </c>
      <c r="AE14" s="151">
        <v>0.1</v>
      </c>
    </row>
    <row r="15" spans="2:44" x14ac:dyDescent="0.35">
      <c r="B15" t="e" vm="3">
        <v>#VALUE!</v>
      </c>
      <c r="C15" s="317" t="str" cm="1">
        <f t="array" aca="1" ref="C15" ca="1">_FV(B15,"Official name",TRUE)</f>
        <v>FLETCHER BUILDING LIMITED</v>
      </c>
      <c r="D15" s="317"/>
      <c r="E15" s="317"/>
      <c r="F15" s="317"/>
      <c r="G15" s="149" t="str" cm="1">
        <f t="array" aca="1" ref="G15" ca="1">_FV(B15,"Ticker symbol",TRUE)</f>
        <v>FBU</v>
      </c>
      <c r="H15" s="150" cm="1">
        <f t="array" aca="1" ref="H15" ca="1">_FV(B15,"Price")</f>
        <v>2.9950000000000001</v>
      </c>
      <c r="I15" s="151">
        <f ca="1">'Input 1 (3)'!$E$22</f>
        <v>0.83870064407728928</v>
      </c>
      <c r="J15" s="152"/>
      <c r="K15" s="150" cm="1">
        <f t="array" aca="1" ref="K15" ca="1">_FV(B15,"Market cap",TRUE)/1000000</f>
        <v>3407.4250000000002</v>
      </c>
      <c r="L15" s="150">
        <f ca="1">'Output FS&amp;R'!L17</f>
        <v>3830.2655000000004</v>
      </c>
      <c r="M15" s="152"/>
      <c r="N15" s="153">
        <f ca="1">'Input 1 (3)'!$C$40</f>
        <v>0.55521643315128433</v>
      </c>
      <c r="O15" s="153">
        <f ca="1">'Input 1 (3)'!$D$40</f>
        <v>0.54616587898996116</v>
      </c>
      <c r="P15" s="154">
        <f ca="1">'Input 1 (3)'!$E$40</f>
        <v>0.55735761999955213</v>
      </c>
      <c r="Q15" s="152"/>
      <c r="R15" s="153">
        <f ca="1">'Input 1 (3)'!$C$42</f>
        <v>6.8191258771449617</v>
      </c>
      <c r="S15" s="153">
        <f ca="1">'Input 1 (3)'!$D$42</f>
        <v>5.5579807741528615</v>
      </c>
      <c r="T15" s="154">
        <f ca="1">'Input 1 (3)'!$E$42</f>
        <v>5.3489440410294309</v>
      </c>
      <c r="U15" s="153"/>
      <c r="V15" s="153">
        <f ca="1">'Input 1 (3)'!$C$44</f>
        <v>9.303015619724917</v>
      </c>
      <c r="W15" s="153">
        <f ca="1">'Input 1 (3)'!$D$44</f>
        <v>5.4748876889661426</v>
      </c>
      <c r="X15" s="153">
        <f ca="1">'Input 1 (3)'!$E$44</f>
        <v>3.9291008374834173</v>
      </c>
      <c r="Y15" s="155">
        <f ca="1">'Output FS&amp;R'!S17</f>
        <v>7.1323551391257151E-2</v>
      </c>
      <c r="Z15" s="152"/>
      <c r="AA15" s="154">
        <f ca="1">'Input 1 (3)'!$E$59</f>
        <v>2.5538971807628528</v>
      </c>
      <c r="AB15" s="153">
        <f ca="1">'Input 1 (3)'!$C$46</f>
        <v>-12.049028514714495</v>
      </c>
      <c r="AC15" s="153">
        <f ca="1">'Input 1 (3)'!$D$46</f>
        <v>-16.34521189450281</v>
      </c>
      <c r="AD15" s="154">
        <f ca="1">'Input 1 (3)'!$E$46</f>
        <v>-24.011652213102028</v>
      </c>
      <c r="AE15" s="151">
        <v>0.57599999999999996</v>
      </c>
    </row>
    <row r="16" spans="2:44" ht="15.5" customHeight="1" x14ac:dyDescent="0.35">
      <c r="B16" t="e" vm="2">
        <v>#VALUE!</v>
      </c>
      <c r="C16" s="317" t="str" cm="1">
        <f t="array" aca="1" ref="C16" ca="1">_FV(B16,"Official name",TRUE)</f>
        <v>MAAS Group Holdings Ltd</v>
      </c>
      <c r="D16" s="317"/>
      <c r="E16" s="317"/>
      <c r="F16" s="317"/>
      <c r="G16" s="149" t="str" cm="1">
        <f t="array" aca="1" ref="G16" ca="1">_FV(B16,"Ticker symbol",TRUE)</f>
        <v>MGH</v>
      </c>
      <c r="H16" s="150" cm="1">
        <f t="array" aca="1" ref="H16" ca="1">_FV(B16,"Price")</f>
        <v>3.7650000000000001</v>
      </c>
      <c r="I16" s="151">
        <f ca="1">'Input 1 (4)'!$E$22</f>
        <v>0.74554455445544554</v>
      </c>
      <c r="J16" s="152"/>
      <c r="K16" s="150" cm="1">
        <f t="array" aca="1" ref="K16" ca="1">_FV(B16,"Market cap",TRUE)/1000000</f>
        <v>1371.2750000000001</v>
      </c>
      <c r="L16" s="150">
        <f ca="1">'Output FS&amp;R'!L18</f>
        <v>1713.5065539450002</v>
      </c>
      <c r="M16" s="152"/>
      <c r="N16" s="153">
        <f ca="1">'Input 1 (4)'!$C$40</f>
        <v>1.8833757459777141</v>
      </c>
      <c r="O16" s="153">
        <f ca="1">'Input 1 (4)'!$D$40</f>
        <v>1.2692704651551128</v>
      </c>
      <c r="P16" s="154">
        <f ca="1">'Input 1 (4)'!$E$40</f>
        <v>0.85419509122426274</v>
      </c>
      <c r="Q16" s="152"/>
      <c r="R16" s="153">
        <f ca="1">'Input 1 (4)'!$C$42</f>
        <v>11.101579249131838</v>
      </c>
      <c r="S16" s="153">
        <f ca="1">'Input 1 (4)'!$D$42</f>
        <v>7.3768881016463386</v>
      </c>
      <c r="T16" s="154">
        <f ca="1">'Input 1 (4)'!$E$42</f>
        <v>5.1401843146562234</v>
      </c>
      <c r="U16" s="153"/>
      <c r="V16" s="153">
        <f ca="1">'Input 1 (4)'!$C$44</f>
        <v>16.699216001802956</v>
      </c>
      <c r="W16" s="153">
        <f ca="1">'Input 1 (4)'!$D$44</f>
        <v>10.611254196611911</v>
      </c>
      <c r="X16" s="153">
        <f ca="1">'Input 1 (4)'!$E$44</f>
        <v>7.5037705028585977</v>
      </c>
      <c r="Y16" s="155">
        <f>'Output FS&amp;R'!S18</f>
        <v>0.16183427873183995</v>
      </c>
      <c r="Z16" s="152"/>
      <c r="AA16" s="154">
        <f>'Input 1 (4)'!$E$59</f>
        <v>3.4305012050690662</v>
      </c>
      <c r="AB16" s="153">
        <f ca="1">'Input 1 (4)'!$C$46</f>
        <v>17.993176844451739</v>
      </c>
      <c r="AC16" s="153">
        <f ca="1">'Input 1 (4)'!$D$46</f>
        <v>14.894267858387494</v>
      </c>
      <c r="AD16" s="154">
        <f ca="1">'Input 1 (4)'!$E$46</f>
        <v>12.911013338056339</v>
      </c>
      <c r="AE16" s="151">
        <v>0.189</v>
      </c>
      <c r="AH16" s="148"/>
    </row>
    <row r="17" spans="2:34" x14ac:dyDescent="0.35">
      <c r="B17" t="e" vm="8">
        <v>#VALUE!</v>
      </c>
      <c r="C17" s="317" t="str" cm="1">
        <f t="array" aca="1" ref="C17" ca="1">_FV(B17,"Official name",TRUE)</f>
        <v>NRW HOLDINGS LIMITED</v>
      </c>
      <c r="D17" s="317"/>
      <c r="E17" s="317"/>
      <c r="F17" s="317"/>
      <c r="G17" s="149" t="str" cm="1">
        <f t="array" aca="1" ref="G17" ca="1">_FV(B17,"Ticker symbol",TRUE)</f>
        <v>NWH</v>
      </c>
      <c r="H17" s="150" cm="1">
        <f t="array" aca="1" ref="H17" ca="1">_FV(B17,"Price")</f>
        <v>2.42</v>
      </c>
      <c r="I17" s="151">
        <f ca="1">'Input 1 (1)'!$E$22</f>
        <v>0.60124223602484461</v>
      </c>
      <c r="J17" s="152"/>
      <c r="K17" s="150" cm="1">
        <f t="array" aca="1" ref="K17" ca="1">_FV(B17,"Market cap",TRUE)/1000000</f>
        <v>1092.6890000000001</v>
      </c>
      <c r="L17" s="150">
        <f ca="1">'Output FS&amp;R'!L19</f>
        <v>1313.6668658400001</v>
      </c>
      <c r="M17" s="152"/>
      <c r="N17" s="153">
        <f ca="1">'Input 1 (1)'!$C$40</f>
        <v>0.41818971076471723</v>
      </c>
      <c r="O17" s="153">
        <f ca="1">'Input 1 (1)'!$D$40</f>
        <v>0.39207251946606164</v>
      </c>
      <c r="P17" s="154">
        <f ca="1">'Input 1 (1)'!$E$40</f>
        <v>0.3412351000408344</v>
      </c>
      <c r="Q17" s="152"/>
      <c r="R17" s="153">
        <f ca="1">'Input 1 (1)'!$C$42</f>
        <v>4.0302463732083247</v>
      </c>
      <c r="S17" s="153">
        <f ca="1">'Input 1 (1)'!$D$42</f>
        <v>4.2480969688160224</v>
      </c>
      <c r="T17" s="154">
        <f ca="1">'Input 1 (1)'!$E$42</f>
        <v>4.0042098338395125</v>
      </c>
      <c r="U17" s="153"/>
      <c r="V17" s="153">
        <f ca="1">'Input 1 (1)'!$C$44</f>
        <v>7.2968520365268361</v>
      </c>
      <c r="W17" s="153">
        <f ca="1">'Input 1 (1)'!$D$44</f>
        <v>6.6648433435785606</v>
      </c>
      <c r="X17" s="153">
        <f ca="1">'Input 1 (1)'!$E$44</f>
        <v>5.5158845846052804</v>
      </c>
      <c r="Y17" s="155">
        <f>'Output FS&amp;R'!S19</f>
        <v>0.10781587299477306</v>
      </c>
      <c r="Z17" s="152"/>
      <c r="AA17" s="154">
        <f>'Input 1 (1)'!$E$59</f>
        <v>1.3609764627920673</v>
      </c>
      <c r="AB17" s="153">
        <f ca="1">'Input 1 (1)'!$C$46</f>
        <v>9.7004624780783164</v>
      </c>
      <c r="AC17" s="153">
        <f ca="1">'Input 1 (1)'!$D$46</f>
        <v>8.7409760935843828</v>
      </c>
      <c r="AD17" s="154">
        <f ca="1">'Input 1 (1)'!$E$46</f>
        <v>7.1818060090250437</v>
      </c>
      <c r="AE17" s="151">
        <v>0.13900000000000001</v>
      </c>
      <c r="AH17" s="156"/>
    </row>
    <row r="18" spans="2:34" x14ac:dyDescent="0.35">
      <c r="C18" s="317"/>
      <c r="D18" s="317"/>
      <c r="E18" s="317"/>
      <c r="F18" s="317"/>
      <c r="G18" s="149"/>
      <c r="H18" s="149"/>
      <c r="I18" s="149"/>
      <c r="J18" s="149"/>
      <c r="K18" s="149"/>
      <c r="L18" s="149"/>
      <c r="M18" s="149"/>
      <c r="N18" s="149"/>
      <c r="O18" s="149"/>
      <c r="P18" s="157"/>
      <c r="Q18" s="149"/>
      <c r="R18" s="158"/>
      <c r="S18" s="158"/>
      <c r="T18" s="159"/>
      <c r="U18" s="158"/>
      <c r="V18" s="158"/>
      <c r="W18" s="158"/>
      <c r="X18" s="158"/>
      <c r="Y18" s="149"/>
      <c r="Z18" s="149"/>
      <c r="AA18" s="157"/>
      <c r="AB18" s="149"/>
      <c r="AC18" s="149"/>
      <c r="AD18" s="157"/>
      <c r="AE18" s="160"/>
      <c r="AH18" s="156"/>
    </row>
    <row r="19" spans="2:34" ht="15" thickBot="1" x14ac:dyDescent="0.4">
      <c r="C19" s="318"/>
      <c r="D19" s="318"/>
      <c r="E19" s="318"/>
      <c r="F19" s="318"/>
      <c r="G19" s="149"/>
      <c r="H19" s="149"/>
      <c r="I19" s="149"/>
      <c r="J19" s="149"/>
      <c r="K19" s="149"/>
      <c r="L19" s="149"/>
      <c r="M19" s="149"/>
      <c r="N19" s="149"/>
      <c r="O19" s="149"/>
      <c r="P19" s="157"/>
      <c r="Q19" s="149"/>
      <c r="R19" s="158"/>
      <c r="S19" s="158"/>
      <c r="T19" s="159"/>
      <c r="U19" s="158"/>
      <c r="V19" s="158"/>
      <c r="W19" s="158"/>
      <c r="X19" s="158"/>
      <c r="Y19" s="149"/>
      <c r="Z19" s="149"/>
      <c r="AA19" s="157"/>
      <c r="AB19" s="149"/>
      <c r="AC19" s="149"/>
      <c r="AD19" s="157"/>
      <c r="AE19" s="149"/>
      <c r="AH19" s="156"/>
    </row>
    <row r="20" spans="2:34" s="62" customFormat="1" ht="15" thickTop="1" x14ac:dyDescent="0.35">
      <c r="C20" s="161" t="s">
        <v>271</v>
      </c>
      <c r="D20" s="162"/>
      <c r="E20" s="162"/>
      <c r="F20" s="162"/>
      <c r="G20" s="163"/>
      <c r="H20" s="164">
        <f ca="1">AVERAGE(H14:H17)</f>
        <v>6.2225000000000001</v>
      </c>
      <c r="I20" s="165">
        <f t="shared" ref="I20:AE20" ca="1" si="0">AVERAGE(I14:I17)</f>
        <v>0.75346387023971129</v>
      </c>
      <c r="J20" s="164" t="e">
        <f t="shared" si="0"/>
        <v>#DIV/0!</v>
      </c>
      <c r="K20" s="164">
        <f t="shared" ca="1" si="0"/>
        <v>3389.2660000000001</v>
      </c>
      <c r="L20" s="164">
        <f t="shared" ca="1" si="0"/>
        <v>4104.3663953862506</v>
      </c>
      <c r="M20" s="164" t="e">
        <f t="shared" si="0"/>
        <v>#DIV/0!</v>
      </c>
      <c r="N20" s="166">
        <f t="shared" ca="1" si="0"/>
        <v>1.02609277704095</v>
      </c>
      <c r="O20" s="166">
        <f t="shared" ca="1" si="0"/>
        <v>0.84420055001795313</v>
      </c>
      <c r="P20" s="167">
        <f t="shared" ca="1" si="0"/>
        <v>0.71217473465912673</v>
      </c>
      <c r="Q20" s="166" t="e">
        <f t="shared" si="0"/>
        <v>#DIV/0!</v>
      </c>
      <c r="R20" s="166">
        <f t="shared" ca="1" si="0"/>
        <v>7.6407030720967564</v>
      </c>
      <c r="S20" s="166">
        <f t="shared" ca="1" si="0"/>
        <v>6.2502462428462326</v>
      </c>
      <c r="T20" s="167">
        <f t="shared" ca="1" si="0"/>
        <v>5.3976730023556243</v>
      </c>
      <c r="U20" s="166" t="e">
        <f t="shared" si="0"/>
        <v>#DIV/0!</v>
      </c>
      <c r="V20" s="166">
        <f t="shared" ca="1" si="0"/>
        <v>11.365105051951664</v>
      </c>
      <c r="W20" s="166">
        <f t="shared" ca="1" si="0"/>
        <v>8.4090851102446909</v>
      </c>
      <c r="X20" s="166">
        <f t="shared" ca="1" si="0"/>
        <v>6.6730018049918032</v>
      </c>
      <c r="Y20" s="165">
        <f t="shared" ca="1" si="0"/>
        <v>0.1214606048784914</v>
      </c>
      <c r="Z20" s="164" t="e">
        <f t="shared" si="0"/>
        <v>#DIV/0!</v>
      </c>
      <c r="AA20" s="167">
        <f t="shared" ca="1" si="0"/>
        <v>2.4040853570528524</v>
      </c>
      <c r="AB20" s="166">
        <f t="shared" ca="1" si="0"/>
        <v>7.500137958225336</v>
      </c>
      <c r="AC20" s="166">
        <f t="shared" ca="1" si="0"/>
        <v>5.1373553924696465</v>
      </c>
      <c r="AD20" s="167">
        <f t="shared" ca="1" si="0"/>
        <v>2.0819407888540145</v>
      </c>
      <c r="AE20" s="168">
        <f t="shared" si="0"/>
        <v>0.251</v>
      </c>
      <c r="AH20" s="169"/>
    </row>
    <row r="21" spans="2:34" s="62" customFormat="1" ht="15" thickBot="1" x14ac:dyDescent="0.4">
      <c r="C21" s="170" t="s">
        <v>272</v>
      </c>
      <c r="D21" s="171"/>
      <c r="E21" s="171"/>
      <c r="F21" s="171"/>
      <c r="G21" s="172"/>
      <c r="H21" s="173">
        <f t="shared" ref="H21:AE21" ca="1" si="1">MEDIAN(H14:H17)</f>
        <v>3.38</v>
      </c>
      <c r="I21" s="174">
        <f t="shared" ca="1" si="1"/>
        <v>0.78695630042835552</v>
      </c>
      <c r="J21" s="173" t="e">
        <f t="shared" si="1"/>
        <v>#NUM!</v>
      </c>
      <c r="K21" s="173">
        <f t="shared" ca="1" si="1"/>
        <v>2389.3500000000004</v>
      </c>
      <c r="L21" s="173">
        <f t="shared" ca="1" si="1"/>
        <v>2771.8860269725001</v>
      </c>
      <c r="M21" s="173" t="e">
        <f t="shared" si="1"/>
        <v>#NUM!</v>
      </c>
      <c r="N21" s="175">
        <f t="shared" ca="1" si="1"/>
        <v>0.9014028257106842</v>
      </c>
      <c r="O21" s="175">
        <f t="shared" ca="1" si="1"/>
        <v>0.85772960772531914</v>
      </c>
      <c r="P21" s="176">
        <f t="shared" ca="1" si="1"/>
        <v>0.70577635561190744</v>
      </c>
      <c r="Q21" s="175" t="e">
        <f t="shared" si="1"/>
        <v>#NUM!</v>
      </c>
      <c r="R21" s="175">
        <f t="shared" ca="1" si="1"/>
        <v>7.7154933330234314</v>
      </c>
      <c r="S21" s="175">
        <f t="shared" ca="1" si="1"/>
        <v>6.4674344378996</v>
      </c>
      <c r="T21" s="176">
        <f t="shared" ca="1" si="1"/>
        <v>5.2445641778428271</v>
      </c>
      <c r="U21" s="175" t="e">
        <f t="shared" si="1"/>
        <v>#NUM!</v>
      </c>
      <c r="V21" s="175">
        <f t="shared" ca="1" si="1"/>
        <v>10.73217608473843</v>
      </c>
      <c r="W21" s="175">
        <f t="shared" ca="1" si="1"/>
        <v>8.6380487700952351</v>
      </c>
      <c r="X21" s="175">
        <f t="shared" ca="1" si="1"/>
        <v>6.5098275437319391</v>
      </c>
      <c r="Y21" s="174">
        <f t="shared" ca="1" si="1"/>
        <v>0.12634229469543423</v>
      </c>
      <c r="Z21" s="173" t="e">
        <f t="shared" si="1"/>
        <v>#NUM!</v>
      </c>
      <c r="AA21" s="176">
        <f t="shared" ca="1" si="1"/>
        <v>2.4124318801751388</v>
      </c>
      <c r="AB21" s="175">
        <f t="shared" ca="1" si="1"/>
        <v>12.028201751582051</v>
      </c>
      <c r="AC21" s="175">
        <f t="shared" ca="1" si="1"/>
        <v>11.000182802996951</v>
      </c>
      <c r="AD21" s="176">
        <f t="shared" ca="1" si="1"/>
        <v>9.7142010152308735</v>
      </c>
      <c r="AE21" s="177">
        <f t="shared" si="1"/>
        <v>0.16400000000000001</v>
      </c>
      <c r="AH21" s="169"/>
    </row>
    <row r="22" spans="2:34" ht="15.5" thickTop="1" thickBot="1" x14ac:dyDescent="0.4">
      <c r="G22" s="178"/>
      <c r="H22" s="178"/>
      <c r="I22" s="178"/>
      <c r="J22" s="178"/>
      <c r="K22" s="178"/>
      <c r="L22" s="178"/>
      <c r="M22" s="178"/>
      <c r="N22" s="178"/>
      <c r="O22" s="178"/>
      <c r="P22" s="179"/>
      <c r="Q22" s="178"/>
      <c r="R22" s="180"/>
      <c r="S22" s="180"/>
      <c r="T22" s="181"/>
      <c r="U22" s="180"/>
      <c r="V22" s="180"/>
      <c r="W22" s="180"/>
      <c r="X22" s="180"/>
      <c r="Y22" s="178"/>
      <c r="Z22" s="178"/>
      <c r="AA22" s="179"/>
      <c r="AB22" s="178"/>
      <c r="AC22" s="178"/>
      <c r="AD22" s="179"/>
      <c r="AE22" s="178"/>
      <c r="AH22" s="156"/>
    </row>
    <row r="23" spans="2:34" ht="19" thickTop="1" x14ac:dyDescent="0.35">
      <c r="C23" s="148" t="s">
        <v>273</v>
      </c>
      <c r="D23" s="148"/>
      <c r="E23" s="148"/>
      <c r="F23" s="148"/>
      <c r="G23" s="148"/>
      <c r="H23" s="148"/>
      <c r="I23" s="148"/>
      <c r="J23" s="148"/>
      <c r="K23" s="148"/>
      <c r="L23" s="148"/>
      <c r="M23" s="148"/>
      <c r="N23" s="148"/>
      <c r="O23" s="148"/>
      <c r="P23" s="148"/>
      <c r="Q23" s="148"/>
      <c r="R23" s="182"/>
      <c r="S23" s="182"/>
      <c r="T23" s="182"/>
      <c r="U23" s="182"/>
      <c r="V23" s="182"/>
      <c r="W23" s="182"/>
      <c r="X23" s="182"/>
      <c r="Y23" s="148"/>
      <c r="Z23" s="148"/>
      <c r="AA23" s="148"/>
      <c r="AB23" s="148"/>
      <c r="AC23" s="148"/>
      <c r="AD23" s="148"/>
      <c r="AE23" s="148"/>
      <c r="AH23" s="183"/>
    </row>
    <row r="24" spans="2:34" ht="15" thickBot="1" x14ac:dyDescent="0.4">
      <c r="B24" t="e" vm="10">
        <v>#VALUE!</v>
      </c>
      <c r="C24" s="317" t="str" cm="1">
        <f t="array" aca="1" ref="C24" ca="1">_FV(B24,"Official name",TRUE)</f>
        <v>EMECO HOLDINGS LIMITED</v>
      </c>
      <c r="D24" s="317"/>
      <c r="E24" s="317"/>
      <c r="F24" s="317"/>
      <c r="G24" s="149" t="str" cm="1">
        <f t="array" aca="1" ref="G24" ca="1">_FV(B24,"Ticker symbol",TRUE)</f>
        <v>EHL</v>
      </c>
      <c r="H24" s="150" cm="1">
        <f t="array" aca="1" ref="H24" ca="1">_FV(B24,"Price")</f>
        <v>0.73</v>
      </c>
      <c r="I24" s="323">
        <f ca="1">'Input 1 (5)'!$E$22</f>
        <v>0.73</v>
      </c>
      <c r="J24" s="152"/>
      <c r="K24" s="150" cm="1">
        <f t="array" aca="1" ref="K24" ca="1">_FV(B24,"Market cap",TRUE)/1000000</f>
        <v>383.59730000000002</v>
      </c>
      <c r="L24" s="150">
        <f ca="1">'Output FS&amp;R'!L26</f>
        <v>657.10158564000005</v>
      </c>
      <c r="M24" s="152"/>
      <c r="N24" s="153">
        <f ca="1">'Input 1 (5)'!$C$40</f>
        <v>0.84730887001686628</v>
      </c>
      <c r="O24" s="153">
        <f ca="1">'Input 1 (5)'!$D$40</f>
        <v>0.70962799124755538</v>
      </c>
      <c r="P24" s="154">
        <f ca="1">'Input 1 (5)'!$E$40</f>
        <v>0.6305002143470062</v>
      </c>
      <c r="Q24" s="152"/>
      <c r="R24" s="153">
        <f ca="1">'Input 1 (5)'!$C$42</f>
        <v>2.498238142388967</v>
      </c>
      <c r="S24" s="153">
        <f ca="1">'Input 1 (5)'!$D$42</f>
        <v>2.3869081840535293</v>
      </c>
      <c r="T24" s="154">
        <f ca="1">'Input 1 (5)'!$E$42</f>
        <v>2.200320966126041</v>
      </c>
      <c r="U24" s="153"/>
      <c r="V24" s="153">
        <f ca="1">'Input 1 (5)'!$C$44</f>
        <v>5.2879055698708441</v>
      </c>
      <c r="W24" s="153">
        <f ca="1">'Input 1 (5)'!$D$44</f>
        <v>5.2872659496111805</v>
      </c>
      <c r="X24" s="153">
        <f ca="1">'Input 1 (5)'!$E$44</f>
        <v>4.943217978320102</v>
      </c>
      <c r="Y24" s="155">
        <f>'Output FS&amp;R'!S26</f>
        <v>0.36916514120441435</v>
      </c>
      <c r="Z24" s="152"/>
      <c r="AA24" s="154">
        <f>'Input 1 (5)'!$E$59</f>
        <v>1.3397040596747098</v>
      </c>
      <c r="AB24" s="153">
        <f ca="1">'Input 1 (5)'!$C$46</f>
        <v>5.7402137627697645</v>
      </c>
      <c r="AC24" s="153">
        <f ca="1">'Input 1 (5)'!$D$46</f>
        <v>5.367435258141426</v>
      </c>
      <c r="AD24" s="154">
        <f ca="1">'Input 1 (5)'!$E$46</f>
        <v>3.961206832576698</v>
      </c>
      <c r="AE24" s="151">
        <v>0.107</v>
      </c>
      <c r="AH24" s="184"/>
    </row>
    <row r="25" spans="2:34" ht="15" thickTop="1" x14ac:dyDescent="0.35">
      <c r="B25" t="e" vm="5">
        <v>#VALUE!</v>
      </c>
      <c r="C25" s="317" t="str" cm="1">
        <f t="array" aca="1" ref="C25" ca="1">_FV(B25,"Official name",TRUE)</f>
        <v>WAGNERS HOLDING COMPANY LTD</v>
      </c>
      <c r="D25" s="317"/>
      <c r="E25" s="317"/>
      <c r="F25" s="317"/>
      <c r="G25" s="149" t="str" cm="1">
        <f t="array" aca="1" ref="G25" ca="1">_FV(B25,"Ticker symbol",TRUE)</f>
        <v>WGN</v>
      </c>
      <c r="H25" s="150" cm="1">
        <f t="array" aca="1" ref="H25" ca="1">_FV(B25,"Price")</f>
        <v>1.595</v>
      </c>
      <c r="I25" s="323">
        <f ca="1">'Input 1 (2)'!$E$22</f>
        <v>0.84840425531914898</v>
      </c>
      <c r="J25" s="152"/>
      <c r="K25" s="150" cm="1">
        <f t="array" aca="1" ref="K25" ca="1">_FV(B25,"Market cap",TRUE)/1000000</f>
        <v>316.14940000000001</v>
      </c>
      <c r="L25" s="150">
        <f ca="1">'Output FS&amp;R'!L27</f>
        <v>473.52675979000003</v>
      </c>
      <c r="M25" s="152"/>
      <c r="N25" s="153">
        <f ca="1">'Input 1 (2)'!$C$40</f>
        <v>1.0703032161302646</v>
      </c>
      <c r="O25" s="153">
        <f ca="1">'Input 1 (2)'!$D$40</f>
        <v>0.84561584418943558</v>
      </c>
      <c r="P25" s="154">
        <f ca="1">'Input 1 (2)'!$E$40</f>
        <v>0.72732388717869301</v>
      </c>
      <c r="Q25" s="152"/>
      <c r="R25" s="153">
        <f ca="1">'Input 1 (2)'!$C$42</f>
        <v>8.0051182491166966</v>
      </c>
      <c r="S25" s="153">
        <f ca="1">'Input 1 (2)'!$D$42</f>
        <v>7.2474315443709543</v>
      </c>
      <c r="T25" s="154">
        <f ca="1">'Input 1 (2)'!$E$42</f>
        <v>6.1985182808803758</v>
      </c>
      <c r="U25" s="153"/>
      <c r="V25" s="153">
        <f ca="1">'Input 1 (2)'!$C$44</f>
        <v>11.685382617032303</v>
      </c>
      <c r="W25" s="153">
        <f ca="1">'Input 1 (2)'!$D$44</f>
        <v>9.2516044147872822</v>
      </c>
      <c r="X25" s="153">
        <f ca="1">'Input 1 (2)'!$E$44</f>
        <v>6.5539844253239465</v>
      </c>
      <c r="Y25" s="155">
        <f>'Output FS&amp;R'!S27</f>
        <v>0.14829303619164053</v>
      </c>
      <c r="Z25" s="152"/>
      <c r="AA25" s="154">
        <f>'Input 1 (2)'!$E$59</f>
        <v>3.2033878247933325</v>
      </c>
      <c r="AB25" s="153">
        <f ca="1">'Input 1 (2)'!$C$46</f>
        <v>15.47586739436205</v>
      </c>
      <c r="AC25" s="153">
        <f ca="1">'Input 1 (2)'!$D$46</f>
        <v>12.616432084597758</v>
      </c>
      <c r="AD25" s="154">
        <f ca="1">'Input 1 (2)'!$E$46</f>
        <v>5.3555903999141492</v>
      </c>
      <c r="AE25" s="151">
        <v>0.246</v>
      </c>
    </row>
    <row r="26" spans="2:34" ht="15" customHeight="1" x14ac:dyDescent="0.35">
      <c r="B26" t="e" vm="9">
        <v>#VALUE!</v>
      </c>
      <c r="C26" s="317" t="str" cm="1">
        <f t="array" aca="1" ref="C26" ca="1">_FV(B26,"Official name",TRUE)</f>
        <v>MLG OZ LIMITED</v>
      </c>
      <c r="D26" s="317"/>
      <c r="E26" s="317"/>
      <c r="F26" s="317"/>
      <c r="G26" s="149" t="str" cm="1">
        <f t="array" aca="1" ref="G26" ca="1">_FV(B26,"Ticker symbol",TRUE)</f>
        <v>MLG</v>
      </c>
      <c r="H26" s="150" cm="1">
        <f t="array" aca="1" ref="H26" ca="1">_FV(B26,"Price")</f>
        <v>0.6</v>
      </c>
      <c r="I26" s="323">
        <f ca="1">'Input 1 (6)'!$E$22</f>
        <v>0.67039106145251393</v>
      </c>
      <c r="J26" s="152"/>
      <c r="K26" s="150" cm="1">
        <f t="array" aca="1" ref="K26" ca="1">_FV(B26,"Market cap",TRUE)/1000000</f>
        <v>88.5715</v>
      </c>
      <c r="L26" s="150">
        <f ca="1">'Output FS&amp;R'!L28</f>
        <v>181.11646539999998</v>
      </c>
      <c r="M26" s="152"/>
      <c r="N26" s="153">
        <f ca="1">'Input 1 (6)'!$C$40</f>
        <v>0.34739601589566499</v>
      </c>
      <c r="O26" s="153">
        <f ca="1">'Input 1 (6)'!$D$40</f>
        <v>0.31099218224182668</v>
      </c>
      <c r="P26" s="154">
        <f ca="1">'Input 1 (6)'!$E$40</f>
        <v>0.25356934914425255</v>
      </c>
      <c r="Q26" s="152"/>
      <c r="R26" s="153">
        <f ca="1">'Input 1 (6)'!$C$42</f>
        <v>3.403830485332326</v>
      </c>
      <c r="S26" s="153">
        <f ca="1">'Input 1 (6)'!$D$42</f>
        <v>3.1850358856032837</v>
      </c>
      <c r="T26" s="154">
        <f ca="1">'Input 1 (6)'!$E$42</f>
        <v>2.8813262039555472</v>
      </c>
      <c r="U26" s="153"/>
      <c r="V26" s="153">
        <f ca="1">'Input 1 (6)'!$C$44</f>
        <v>9.9568494422636942</v>
      </c>
      <c r="W26" s="153">
        <f ca="1">'Input 1 (6)'!$D$44</f>
        <v>9.0135306517550671</v>
      </c>
      <c r="X26" s="153">
        <f ca="1">'Input 1 (6)'!$E$44</f>
        <v>9.239894992102645</v>
      </c>
      <c r="Y26" s="155">
        <f>'Output FS&amp;R'!S28</f>
        <v>9.4086017985616902E-2</v>
      </c>
      <c r="Z26" s="152"/>
      <c r="AA26" s="154">
        <f>'Input 1 (6)'!$E$59</f>
        <v>1.563518028193482</v>
      </c>
      <c r="AB26" s="153">
        <f ca="1">'Input 1 (6)'!$C$46</f>
        <v>9.7182924235885473</v>
      </c>
      <c r="AC26" s="153">
        <f ca="1">'Input 1 (6)'!$D$46</f>
        <v>9.4098730080406945</v>
      </c>
      <c r="AD26" s="154">
        <f ca="1">'Input 1 (6)'!$E$46</f>
        <v>11.008309255923411</v>
      </c>
      <c r="AE26" s="151">
        <v>0.40600000000000003</v>
      </c>
      <c r="AH26" s="148"/>
    </row>
    <row r="27" spans="2:34" x14ac:dyDescent="0.35">
      <c r="B27" t="e" vm="6">
        <v>#VALUE!</v>
      </c>
      <c r="C27" s="317" t="str" cm="1">
        <f t="array" aca="1" ref="C27" ca="1">_FV(B27,"Official name",TRUE)</f>
        <v>MACMAHON HOLDINGS LIMITED</v>
      </c>
      <c r="D27" s="317"/>
      <c r="E27" s="317"/>
      <c r="F27" s="317"/>
      <c r="G27" s="149" t="str" cm="1">
        <f t="array" aca="1" ref="G27" ca="1">_FV(B27,"Ticker symbol",TRUE)</f>
        <v>MAH</v>
      </c>
      <c r="H27" s="150" cm="1">
        <f t="array" aca="1" ref="H27" ca="1">_FV(B27,"Price")</f>
        <v>0.26500000000000001</v>
      </c>
      <c r="I27" s="323">
        <f ca="1">'Input 1 (8)'!$E$22</f>
        <v>0.67430025445292618</v>
      </c>
      <c r="J27" s="152"/>
      <c r="K27" s="150" cm="1">
        <f t="array" aca="1" ref="K27" ca="1">_FV(B27,"Market cap",TRUE)/1000000</f>
        <v>549.52139999999997</v>
      </c>
      <c r="L27" s="150">
        <f ca="1">'Output FS&amp;R'!L29</f>
        <v>809.38787066500004</v>
      </c>
      <c r="M27" s="152"/>
      <c r="N27" s="153">
        <f ca="1">'Input 1 (8)'!$C$40</f>
        <v>0.36075055007706286</v>
      </c>
      <c r="O27" s="153">
        <f ca="1">'Input 1 (8)'!$D$40</f>
        <v>0.38524412422145932</v>
      </c>
      <c r="P27" s="154">
        <f ca="1">'Input 1 (8)'!$E$40</f>
        <v>0.37246124054403368</v>
      </c>
      <c r="Q27" s="152"/>
      <c r="R27" s="153">
        <f ca="1">'Input 1 (8)'!$C$42</f>
        <v>3.7428513919833164</v>
      </c>
      <c r="S27" s="153">
        <f ca="1">'Input 1 (8)'!$D$42</f>
        <v>3.4530052050006983</v>
      </c>
      <c r="T27" s="154">
        <f ca="1">'Input 1 (8)'!$E$42</f>
        <v>3.1695035007661172</v>
      </c>
      <c r="U27" s="153"/>
      <c r="V27" s="153">
        <f ca="1">'Input 1 (8)'!$C$44</f>
        <v>7.9719870250371843</v>
      </c>
      <c r="W27" s="153">
        <f ca="1">'Input 1 (8)'!$D$44</f>
        <v>7.6062881015360926</v>
      </c>
      <c r="X27" s="153">
        <f ca="1">'Input 1 (8)'!$E$44</f>
        <v>7.0124719747170525</v>
      </c>
      <c r="Y27" s="155">
        <f>'Output FS&amp;R'!S29</f>
        <v>7.4271151284449166E-2</v>
      </c>
      <c r="Z27" s="152"/>
      <c r="AA27" s="154">
        <f>'Input 1 (8)'!$E$59</f>
        <v>2.1211889997179183</v>
      </c>
      <c r="AB27" s="153">
        <f ca="1">'Input 1 (8)'!$C$46</f>
        <v>12.301537599104979</v>
      </c>
      <c r="AC27" s="153">
        <f ca="1">'Input 1 (8)'!$D$46</f>
        <v>10.337237058708213</v>
      </c>
      <c r="AD27" s="154">
        <f ca="1">'Input 1 (8)'!$E$46</f>
        <v>10.017284976556983</v>
      </c>
      <c r="AE27" s="151">
        <v>0.10299999999999999</v>
      </c>
      <c r="AH27" s="156"/>
    </row>
    <row r="28" spans="2:34" x14ac:dyDescent="0.35">
      <c r="C28" s="317"/>
      <c r="D28" s="317"/>
      <c r="E28" s="317"/>
      <c r="F28" s="317"/>
      <c r="G28" s="149"/>
      <c r="H28" s="149"/>
      <c r="I28" s="149"/>
      <c r="J28" s="149"/>
      <c r="K28" s="149"/>
      <c r="L28" s="149"/>
      <c r="M28" s="149"/>
      <c r="N28" s="149"/>
      <c r="O28" s="149"/>
      <c r="P28" s="157"/>
      <c r="Q28" s="149"/>
      <c r="R28" s="158"/>
      <c r="S28" s="158"/>
      <c r="T28" s="159"/>
      <c r="U28" s="158"/>
      <c r="V28" s="158"/>
      <c r="W28" s="158"/>
      <c r="X28" s="158"/>
      <c r="Y28" s="149"/>
      <c r="Z28" s="149"/>
      <c r="AA28" s="157"/>
      <c r="AB28" s="149"/>
      <c r="AC28" s="149"/>
      <c r="AD28" s="157"/>
      <c r="AE28" s="149"/>
      <c r="AH28" s="156"/>
    </row>
    <row r="29" spans="2:34" ht="15" thickBot="1" x14ac:dyDescent="0.4">
      <c r="C29" s="318"/>
      <c r="D29" s="318"/>
      <c r="E29" s="318"/>
      <c r="F29" s="318"/>
      <c r="G29" s="149"/>
      <c r="H29" s="149"/>
      <c r="I29" s="149"/>
      <c r="J29" s="149"/>
      <c r="K29" s="149"/>
      <c r="L29" s="149"/>
      <c r="M29" s="149"/>
      <c r="N29" s="149"/>
      <c r="O29" s="149"/>
      <c r="P29" s="157"/>
      <c r="Q29" s="149"/>
      <c r="R29" s="149"/>
      <c r="S29" s="149"/>
      <c r="T29" s="157"/>
      <c r="U29" s="149"/>
      <c r="V29" s="149"/>
      <c r="W29" s="149"/>
      <c r="X29" s="149"/>
      <c r="Y29" s="149"/>
      <c r="Z29" s="149"/>
      <c r="AA29" s="157"/>
      <c r="AB29" s="149"/>
      <c r="AC29" s="149"/>
      <c r="AD29" s="157"/>
      <c r="AE29" s="149"/>
      <c r="AH29" s="156"/>
    </row>
    <row r="30" spans="2:34" s="62" customFormat="1" ht="15" thickTop="1" x14ac:dyDescent="0.35">
      <c r="B30"/>
      <c r="C30" s="161" t="s">
        <v>271</v>
      </c>
      <c r="D30" s="162"/>
      <c r="E30" s="162"/>
      <c r="F30" s="162"/>
      <c r="G30" s="163"/>
      <c r="H30" s="164">
        <f ca="1">AVERAGE(H24:H27)</f>
        <v>0.7975000000000001</v>
      </c>
      <c r="I30" s="165">
        <f t="shared" ref="I30:AE30" ca="1" si="2">AVERAGE(I24:I27)</f>
        <v>0.73077389280614713</v>
      </c>
      <c r="J30" s="164" t="e">
        <f t="shared" si="2"/>
        <v>#DIV/0!</v>
      </c>
      <c r="K30" s="164">
        <f t="shared" ca="1" si="2"/>
        <v>334.4599</v>
      </c>
      <c r="L30" s="164">
        <f t="shared" ca="1" si="2"/>
        <v>530.28317037374995</v>
      </c>
      <c r="M30" s="164" t="e">
        <f t="shared" si="2"/>
        <v>#DIV/0!</v>
      </c>
      <c r="N30" s="166">
        <f t="shared" ca="1" si="2"/>
        <v>0.6564396630299647</v>
      </c>
      <c r="O30" s="166">
        <f t="shared" ca="1" si="2"/>
        <v>0.56287003547506931</v>
      </c>
      <c r="P30" s="167">
        <f t="shared" ca="1" si="2"/>
        <v>0.4959636728034964</v>
      </c>
      <c r="Q30" s="166" t="e">
        <f t="shared" si="2"/>
        <v>#DIV/0!</v>
      </c>
      <c r="R30" s="166">
        <f t="shared" ca="1" si="2"/>
        <v>4.4125095672053263</v>
      </c>
      <c r="S30" s="166">
        <f t="shared" ca="1" si="2"/>
        <v>4.0680952047571166</v>
      </c>
      <c r="T30" s="167">
        <f t="shared" ca="1" si="2"/>
        <v>3.6124172379320205</v>
      </c>
      <c r="U30" s="166" t="e">
        <f t="shared" si="2"/>
        <v>#DIV/0!</v>
      </c>
      <c r="V30" s="166">
        <f t="shared" ca="1" si="2"/>
        <v>8.7255311635510076</v>
      </c>
      <c r="W30" s="166">
        <f t="shared" ca="1" si="2"/>
        <v>7.7896722794224065</v>
      </c>
      <c r="X30" s="166">
        <f t="shared" ca="1" si="2"/>
        <v>6.9373923426159365</v>
      </c>
      <c r="Y30" s="165">
        <f t="shared" si="2"/>
        <v>0.17145383666653025</v>
      </c>
      <c r="Z30" s="164" t="e">
        <f t="shared" si="2"/>
        <v>#DIV/0!</v>
      </c>
      <c r="AA30" s="167">
        <f t="shared" si="2"/>
        <v>2.0569497280948603</v>
      </c>
      <c r="AB30" s="166">
        <f t="shared" ca="1" si="2"/>
        <v>10.808977794956334</v>
      </c>
      <c r="AC30" s="166">
        <f t="shared" ca="1" si="2"/>
        <v>9.4327443523720227</v>
      </c>
      <c r="AD30" s="167">
        <f t="shared" ca="1" si="2"/>
        <v>7.5855978662428099</v>
      </c>
      <c r="AE30" s="168">
        <f t="shared" si="2"/>
        <v>0.2155</v>
      </c>
      <c r="AH30" s="169"/>
    </row>
    <row r="31" spans="2:34" s="62" customFormat="1" ht="15" thickBot="1" x14ac:dyDescent="0.4">
      <c r="B31"/>
      <c r="C31" s="170" t="s">
        <v>272</v>
      </c>
      <c r="D31" s="171"/>
      <c r="E31" s="171"/>
      <c r="F31" s="171"/>
      <c r="G31" s="172"/>
      <c r="H31" s="173">
        <f t="shared" ref="H31:AE31" ca="1" si="3">MEDIAN(H24:H27)</f>
        <v>0.66500000000000004</v>
      </c>
      <c r="I31" s="174">
        <f t="shared" ca="1" si="3"/>
        <v>0.70215012722646308</v>
      </c>
      <c r="J31" s="173" t="e">
        <f t="shared" si="3"/>
        <v>#NUM!</v>
      </c>
      <c r="K31" s="173">
        <f t="shared" ca="1" si="3"/>
        <v>349.87335000000002</v>
      </c>
      <c r="L31" s="173">
        <f t="shared" ca="1" si="3"/>
        <v>565.31417271500004</v>
      </c>
      <c r="M31" s="173" t="e">
        <f t="shared" si="3"/>
        <v>#NUM!</v>
      </c>
      <c r="N31" s="175">
        <f t="shared" ca="1" si="3"/>
        <v>0.6040297100469646</v>
      </c>
      <c r="O31" s="175">
        <f t="shared" ca="1" si="3"/>
        <v>0.54743605773450732</v>
      </c>
      <c r="P31" s="176">
        <f t="shared" ca="1" si="3"/>
        <v>0.50148072744551997</v>
      </c>
      <c r="Q31" s="175" t="e">
        <f t="shared" si="3"/>
        <v>#NUM!</v>
      </c>
      <c r="R31" s="175">
        <f t="shared" ca="1" si="3"/>
        <v>3.5733409386578212</v>
      </c>
      <c r="S31" s="175">
        <f t="shared" ca="1" si="3"/>
        <v>3.3190205453019912</v>
      </c>
      <c r="T31" s="176">
        <f t="shared" ca="1" si="3"/>
        <v>3.0254148523608322</v>
      </c>
      <c r="U31" s="175" t="e">
        <f t="shared" si="3"/>
        <v>#NUM!</v>
      </c>
      <c r="V31" s="175">
        <f t="shared" ca="1" si="3"/>
        <v>8.9644182336504397</v>
      </c>
      <c r="W31" s="175">
        <f t="shared" ca="1" si="3"/>
        <v>8.3099093766455798</v>
      </c>
      <c r="X31" s="175">
        <f t="shared" ca="1" si="3"/>
        <v>6.7832282000204991</v>
      </c>
      <c r="Y31" s="174">
        <f t="shared" si="3"/>
        <v>0.12118952708862871</v>
      </c>
      <c r="Z31" s="173" t="e">
        <f t="shared" si="3"/>
        <v>#NUM!</v>
      </c>
      <c r="AA31" s="176">
        <f t="shared" si="3"/>
        <v>1.8423535139557001</v>
      </c>
      <c r="AB31" s="175">
        <f t="shared" ca="1" si="3"/>
        <v>11.009915011346763</v>
      </c>
      <c r="AC31" s="175">
        <f t="shared" ca="1" si="3"/>
        <v>9.8735550333744548</v>
      </c>
      <c r="AD31" s="176">
        <f t="shared" ca="1" si="3"/>
        <v>7.6864376882355661</v>
      </c>
      <c r="AE31" s="177">
        <f t="shared" si="3"/>
        <v>0.17649999999999999</v>
      </c>
      <c r="AH31" s="169"/>
    </row>
    <row r="32" spans="2:34" ht="15" thickTop="1" x14ac:dyDescent="0.35">
      <c r="B32" s="62"/>
      <c r="G32" s="178"/>
      <c r="H32" s="178"/>
      <c r="I32" s="178"/>
      <c r="J32" s="178"/>
      <c r="K32" s="178"/>
      <c r="L32" s="178"/>
      <c r="M32" s="178"/>
      <c r="N32" s="178"/>
      <c r="O32" s="178"/>
      <c r="P32" s="179"/>
      <c r="Q32" s="178"/>
      <c r="R32" s="178"/>
      <c r="S32" s="178"/>
      <c r="T32" s="179"/>
      <c r="U32" s="178"/>
      <c r="V32" s="178"/>
      <c r="W32" s="178"/>
      <c r="X32" s="178"/>
      <c r="Y32" s="178"/>
      <c r="Z32" s="178"/>
      <c r="AA32" s="179"/>
      <c r="AB32" s="178"/>
      <c r="AC32" s="178"/>
      <c r="AD32" s="179"/>
      <c r="AE32" s="178"/>
      <c r="AH32" s="156"/>
    </row>
    <row r="33" spans="2:34" ht="15" thickBot="1" x14ac:dyDescent="0.4">
      <c r="B33" s="62"/>
      <c r="E33" s="185" t="s">
        <v>296</v>
      </c>
      <c r="H33" s="178" t="s">
        <v>297</v>
      </c>
      <c r="I33" s="178"/>
      <c r="J33" s="178"/>
      <c r="K33" s="178"/>
      <c r="L33" s="178" t="s">
        <v>298</v>
      </c>
      <c r="M33" s="178"/>
      <c r="N33" s="178"/>
      <c r="O33" s="178"/>
      <c r="P33" s="179"/>
      <c r="Q33" s="178"/>
      <c r="R33" s="178"/>
      <c r="S33" s="178"/>
      <c r="T33" s="179"/>
      <c r="U33" s="178"/>
      <c r="V33" s="178"/>
      <c r="W33" s="178"/>
      <c r="X33" s="178"/>
      <c r="Y33" s="178"/>
      <c r="Z33" s="178"/>
      <c r="AA33" s="179"/>
      <c r="AB33" s="178"/>
      <c r="AC33" s="178"/>
      <c r="AD33" s="179"/>
      <c r="AE33" s="178"/>
      <c r="AH33" s="156"/>
    </row>
    <row r="34" spans="2:34" ht="15" thickTop="1" x14ac:dyDescent="0.35">
      <c r="B34" s="62"/>
      <c r="G34" s="178"/>
      <c r="H34" s="178"/>
      <c r="I34" s="178"/>
      <c r="J34" s="178"/>
      <c r="K34" s="178"/>
      <c r="L34" s="178"/>
      <c r="M34" s="178"/>
      <c r="N34" s="178"/>
      <c r="O34" s="178"/>
      <c r="P34" s="179"/>
      <c r="Q34" s="178"/>
      <c r="R34" s="178"/>
      <c r="S34" s="178"/>
      <c r="T34" s="179"/>
      <c r="U34" s="178"/>
      <c r="V34" s="178"/>
      <c r="W34" s="178"/>
      <c r="X34" s="178"/>
      <c r="Y34" s="178"/>
      <c r="Z34" s="178"/>
      <c r="AA34" s="179"/>
      <c r="AB34" s="178"/>
      <c r="AC34" s="178"/>
      <c r="AD34" s="179"/>
      <c r="AE34" s="178"/>
      <c r="AH34" s="183"/>
    </row>
    <row r="35" spans="2:34" ht="19" thickBot="1" x14ac:dyDescent="0.4">
      <c r="C35" s="148" t="s">
        <v>277</v>
      </c>
      <c r="D35" s="148"/>
      <c r="E35" s="148"/>
      <c r="F35" s="148"/>
      <c r="G35" s="148"/>
      <c r="H35" s="148"/>
      <c r="I35" s="148"/>
      <c r="J35" s="148"/>
      <c r="K35" s="148"/>
      <c r="L35" s="148"/>
      <c r="M35" s="148"/>
      <c r="N35" s="148"/>
      <c r="O35" s="148"/>
      <c r="P35" s="148"/>
      <c r="Q35" s="148"/>
      <c r="R35" s="148"/>
      <c r="S35" s="148"/>
      <c r="T35" s="148"/>
      <c r="U35" s="148"/>
      <c r="V35" s="148"/>
      <c r="W35" s="148"/>
      <c r="X35" s="148"/>
      <c r="Y35" s="148"/>
      <c r="Z35" s="148"/>
      <c r="AA35" s="148"/>
      <c r="AB35" s="148"/>
      <c r="AC35" s="148"/>
      <c r="AD35" s="148"/>
      <c r="AE35" s="148"/>
      <c r="AH35" s="184"/>
    </row>
    <row r="36" spans="2:34" ht="15.5" thickTop="1" thickBot="1" x14ac:dyDescent="0.4">
      <c r="P36" s="186"/>
      <c r="T36" s="186"/>
      <c r="AA36" s="186"/>
      <c r="AD36" s="186"/>
    </row>
    <row r="37" spans="2:34" s="62" customFormat="1" ht="15" thickTop="1" x14ac:dyDescent="0.35">
      <c r="B37"/>
      <c r="C37" s="161" t="s">
        <v>271</v>
      </c>
      <c r="D37" s="162"/>
      <c r="E37" s="162"/>
      <c r="F37" s="162"/>
      <c r="G37" s="163"/>
      <c r="H37" s="164">
        <f ca="1">AVERAGE(H14:H17,H24:H27)</f>
        <v>3.5100000000000002</v>
      </c>
      <c r="I37" s="165">
        <f t="shared" ref="I37:AE37" ca="1" si="4">AVERAGE(I14:I17,I24:I27)</f>
        <v>0.74211888152292926</v>
      </c>
      <c r="J37" s="164" t="e">
        <f t="shared" si="4"/>
        <v>#DIV/0!</v>
      </c>
      <c r="K37" s="164">
        <f t="shared" ca="1" si="4"/>
        <v>1861.86295</v>
      </c>
      <c r="L37" s="164">
        <f t="shared" ca="1" si="4"/>
        <v>2317.3247828799999</v>
      </c>
      <c r="M37" s="164" t="e">
        <f t="shared" si="4"/>
        <v>#DIV/0!</v>
      </c>
      <c r="N37" s="166">
        <f t="shared" ca="1" si="4"/>
        <v>0.84126622003545737</v>
      </c>
      <c r="O37" s="166">
        <f t="shared" ca="1" si="4"/>
        <v>0.70353529274651105</v>
      </c>
      <c r="P37" s="167">
        <f t="shared" ca="1" si="4"/>
        <v>0.60406920373131168</v>
      </c>
      <c r="Q37" s="166" t="e">
        <f t="shared" si="4"/>
        <v>#DIV/0!</v>
      </c>
      <c r="R37" s="166">
        <f t="shared" ca="1" si="4"/>
        <v>6.0266063196510418</v>
      </c>
      <c r="S37" s="166">
        <f t="shared" ca="1" si="4"/>
        <v>5.1591707238016751</v>
      </c>
      <c r="T37" s="167">
        <f t="shared" ca="1" si="4"/>
        <v>4.5050451201438229</v>
      </c>
      <c r="U37" s="166" t="e">
        <f t="shared" si="4"/>
        <v>#DIV/0!</v>
      </c>
      <c r="V37" s="166">
        <f t="shared" ca="1" si="4"/>
        <v>10.045318107751335</v>
      </c>
      <c r="W37" s="166">
        <f t="shared" ca="1" si="4"/>
        <v>8.0993786948335487</v>
      </c>
      <c r="X37" s="166">
        <f t="shared" ca="1" si="4"/>
        <v>6.8051970738038703</v>
      </c>
      <c r="Y37" s="165">
        <f t="shared" ca="1" si="4"/>
        <v>0.14645722077251083</v>
      </c>
      <c r="Z37" s="164" t="e">
        <f t="shared" si="4"/>
        <v>#DIV/0!</v>
      </c>
      <c r="AA37" s="167">
        <f t="shared" ca="1" si="4"/>
        <v>2.2305175425738564</v>
      </c>
      <c r="AB37" s="166">
        <f t="shared" ca="1" si="4"/>
        <v>9.1545578765908342</v>
      </c>
      <c r="AC37" s="166">
        <f t="shared" ca="1" si="4"/>
        <v>7.285049872420835</v>
      </c>
      <c r="AD37" s="167">
        <f t="shared" ca="1" si="4"/>
        <v>4.8337693275484126</v>
      </c>
      <c r="AE37" s="168">
        <f t="shared" si="4"/>
        <v>0.23324999999999999</v>
      </c>
    </row>
    <row r="38" spans="2:34" s="62" customFormat="1" ht="19" thickBot="1" x14ac:dyDescent="0.4">
      <c r="C38" s="170" t="s">
        <v>272</v>
      </c>
      <c r="D38" s="171"/>
      <c r="E38" s="171"/>
      <c r="F38" s="171"/>
      <c r="G38" s="172"/>
      <c r="H38" s="173">
        <f ca="1">MEDIAN(H14:H17,H24:H27)</f>
        <v>2.0074999999999998</v>
      </c>
      <c r="I38" s="174">
        <f t="shared" ref="I38:AE38" ca="1" si="5">MEDIAN(I14:I17,I24:I27)</f>
        <v>0.73777227722772276</v>
      </c>
      <c r="J38" s="173" t="e">
        <f t="shared" si="5"/>
        <v>#NUM!</v>
      </c>
      <c r="K38" s="173">
        <f t="shared" ca="1" si="5"/>
        <v>821.10519999999997</v>
      </c>
      <c r="L38" s="173">
        <f t="shared" ca="1" si="5"/>
        <v>1061.5273682525001</v>
      </c>
      <c r="M38" s="173" t="e">
        <f t="shared" si="5"/>
        <v>#NUM!</v>
      </c>
      <c r="N38" s="175">
        <f t="shared" ca="1" si="5"/>
        <v>0.7012626515840753</v>
      </c>
      <c r="O38" s="175">
        <f t="shared" ca="1" si="5"/>
        <v>0.62789693511875821</v>
      </c>
      <c r="P38" s="176">
        <f t="shared" ca="1" si="5"/>
        <v>0.59392891717327911</v>
      </c>
      <c r="Q38" s="175" t="e">
        <f t="shared" si="5"/>
        <v>#NUM!</v>
      </c>
      <c r="R38" s="175">
        <f t="shared" ca="1" si="5"/>
        <v>5.4246861251766436</v>
      </c>
      <c r="S38" s="175">
        <f t="shared" ca="1" si="5"/>
        <v>4.9030388714844424</v>
      </c>
      <c r="T38" s="176">
        <f t="shared" ca="1" si="5"/>
        <v>4.5721970742478675</v>
      </c>
      <c r="U38" s="175" t="e">
        <f t="shared" si="5"/>
        <v>#NUM!</v>
      </c>
      <c r="V38" s="175">
        <f t="shared" ca="1" si="5"/>
        <v>9.6299325309943065</v>
      </c>
      <c r="W38" s="175">
        <f t="shared" ca="1" si="5"/>
        <v>8.3099093766455798</v>
      </c>
      <c r="X38" s="175">
        <f t="shared" ca="1" si="5"/>
        <v>6.7832282000204991</v>
      </c>
      <c r="Y38" s="174">
        <f t="shared" ca="1" si="5"/>
        <v>0.12634229469543423</v>
      </c>
      <c r="Z38" s="173" t="e">
        <f t="shared" si="5"/>
        <v>#NUM!</v>
      </c>
      <c r="AA38" s="176">
        <f t="shared" ca="1" si="5"/>
        <v>2.1960777896526715</v>
      </c>
      <c r="AB38" s="175">
        <f t="shared" ca="1" si="5"/>
        <v>11.009915011346763</v>
      </c>
      <c r="AC38" s="175">
        <f t="shared" ca="1" si="5"/>
        <v>9.8735550333744548</v>
      </c>
      <c r="AD38" s="176">
        <f t="shared" ca="1" si="5"/>
        <v>8.5995454927910124</v>
      </c>
      <c r="AE38" s="177">
        <f t="shared" si="5"/>
        <v>0.16400000000000001</v>
      </c>
      <c r="AH38" s="148"/>
    </row>
    <row r="39" spans="2:34" ht="15.5" thickTop="1" thickBot="1" x14ac:dyDescent="0.4">
      <c r="B39" s="62"/>
      <c r="G39" s="178"/>
      <c r="H39" s="178"/>
      <c r="I39" s="178"/>
      <c r="J39" s="178"/>
      <c r="K39" s="178"/>
      <c r="L39" s="178"/>
      <c r="M39" s="178"/>
      <c r="N39" s="178"/>
      <c r="O39" s="178"/>
      <c r="P39" s="179"/>
      <c r="Q39" s="178"/>
      <c r="R39" s="178"/>
      <c r="S39" s="178"/>
      <c r="T39" s="179"/>
      <c r="U39" s="178"/>
      <c r="V39" s="178"/>
      <c r="W39" s="178"/>
      <c r="X39" s="178"/>
      <c r="Y39" s="178"/>
      <c r="Z39" s="178"/>
      <c r="AA39" s="179"/>
      <c r="AB39" s="178"/>
      <c r="AC39" s="178"/>
      <c r="AD39" s="179"/>
      <c r="AE39" s="178"/>
    </row>
    <row r="40" spans="2:34" s="62" customFormat="1" ht="15" thickTop="1" x14ac:dyDescent="0.35">
      <c r="C40" s="161" t="s">
        <v>278</v>
      </c>
      <c r="D40" s="162"/>
      <c r="E40" s="162"/>
      <c r="F40" s="162"/>
      <c r="G40" s="162"/>
      <c r="H40" s="164">
        <f ca="1">MAX(H14:H17,H24:H27)</f>
        <v>15.71</v>
      </c>
      <c r="I40" s="165">
        <f t="shared" ref="I40:AE40" ca="1" si="6">MAX(I14:I17,I24:I27)</f>
        <v>0.84840425531914898</v>
      </c>
      <c r="J40" s="164">
        <f t="shared" si="6"/>
        <v>0</v>
      </c>
      <c r="K40" s="164">
        <f t="shared" ca="1" si="6"/>
        <v>7685.6750000000002</v>
      </c>
      <c r="L40" s="164">
        <f t="shared" ca="1" si="6"/>
        <v>9560.0266617600009</v>
      </c>
      <c r="M40" s="164">
        <f t="shared" si="6"/>
        <v>0</v>
      </c>
      <c r="N40" s="166">
        <f t="shared" ca="1" si="6"/>
        <v>1.8833757459777141</v>
      </c>
      <c r="O40" s="166">
        <f t="shared" ca="1" si="6"/>
        <v>1.2692704651551128</v>
      </c>
      <c r="P40" s="167">
        <f t="shared" ca="1" si="6"/>
        <v>1.0959111273718578</v>
      </c>
      <c r="Q40" s="166">
        <f t="shared" si="6"/>
        <v>0</v>
      </c>
      <c r="R40" s="166">
        <f t="shared" ca="1" si="6"/>
        <v>11.101579249131838</v>
      </c>
      <c r="S40" s="166">
        <f t="shared" ca="1" si="6"/>
        <v>7.8180191267697063</v>
      </c>
      <c r="T40" s="167">
        <f t="shared" ca="1" si="6"/>
        <v>7.0973538198973323</v>
      </c>
      <c r="U40" s="166">
        <f t="shared" si="6"/>
        <v>0</v>
      </c>
      <c r="V40" s="166">
        <f t="shared" ca="1" si="6"/>
        <v>16.699216001802956</v>
      </c>
      <c r="W40" s="166">
        <f t="shared" ca="1" si="6"/>
        <v>10.885355211822151</v>
      </c>
      <c r="X40" s="166">
        <f t="shared" ca="1" si="6"/>
        <v>9.743251295019915</v>
      </c>
      <c r="Y40" s="165">
        <f t="shared" ca="1" si="6"/>
        <v>0.36916514120441435</v>
      </c>
      <c r="Z40" s="164">
        <f t="shared" si="6"/>
        <v>0</v>
      </c>
      <c r="AA40" s="167">
        <f t="shared" ca="1" si="6"/>
        <v>3.4305012050690662</v>
      </c>
      <c r="AB40" s="166">
        <f t="shared" ca="1" si="6"/>
        <v>17.993176844451739</v>
      </c>
      <c r="AC40" s="166">
        <f t="shared" ca="1" si="6"/>
        <v>14.894267858387494</v>
      </c>
      <c r="AD40" s="167">
        <f t="shared" ca="1" si="6"/>
        <v>12.911013338056339</v>
      </c>
      <c r="AE40" s="168">
        <f t="shared" si="6"/>
        <v>0.57599999999999996</v>
      </c>
      <c r="AF40"/>
      <c r="AG40"/>
      <c r="AH40" s="187">
        <f t="shared" ref="AH40" si="7">IFERROR(MAX(AH15:AH18,AH25:AH28),"")</f>
        <v>0</v>
      </c>
    </row>
    <row r="41" spans="2:34" s="62" customFormat="1" x14ac:dyDescent="0.35">
      <c r="C41" s="188" t="s">
        <v>279</v>
      </c>
      <c r="D41" s="189"/>
      <c r="E41" s="189"/>
      <c r="F41" s="189"/>
      <c r="G41" s="189"/>
      <c r="H41" s="190">
        <f ca="1">IFERROR(_xlfn.QUARTILE.INC((H14:H17,H24:H27),3),"")</f>
        <v>3.1875</v>
      </c>
      <c r="I41" s="191">
        <f ca="1">IFERROR(_xlfn.QUARTILE.INC((I14:I17,I24:I27),3),"")</f>
        <v>0.83095119582027144</v>
      </c>
      <c r="J41" s="192" t="str">
        <f>IFERROR(_xlfn.QUARTILE.INC((J14:J17,J24:J27),3),"")</f>
        <v/>
      </c>
      <c r="K41" s="192">
        <f ca="1">IFERROR(_xlfn.QUARTILE.INC((K14:K17,K24:K27),3),"")</f>
        <v>1880.3125</v>
      </c>
      <c r="L41" s="192">
        <f ca="1">IFERROR(_xlfn.QUARTILE.INC((L14:L17,L24:L27),3),"")</f>
        <v>2242.6962904587504</v>
      </c>
      <c r="M41" s="192" t="str">
        <f>IFERROR(_xlfn.QUARTILE.INC((M14:M17,M24:M27),3),"")</f>
        <v/>
      </c>
      <c r="N41" s="193">
        <f ca="1">IFERROR(_xlfn.QUARTILE.INC((N14:N17,N24:N27),3),"")</f>
        <v>1.1146247166652195</v>
      </c>
      <c r="O41" s="193">
        <f ca="1">IFERROR(_xlfn.QUARTILE.INC((O14:O17,O24:O27),3),"")</f>
        <v>0.92653521725724597</v>
      </c>
      <c r="P41" s="194">
        <f ca="1">IFERROR(_xlfn.QUARTILE.INC((P14:P17,P24:P27),3),"")</f>
        <v>0.75904168819008544</v>
      </c>
      <c r="Q41" s="193" t="str">
        <f>IFERROR(_xlfn.QUARTILE.INC((Q14:Q17,Q24:Q27),3),"")</f>
        <v/>
      </c>
      <c r="R41" s="193">
        <f ca="1">IFERROR(_xlfn.QUARTILE.INC((R14:R17,R24:R27),3),"")</f>
        <v>8.1568038840629988</v>
      </c>
      <c r="S41" s="193">
        <f ca="1">IFERROR(_xlfn.QUARTILE.INC((S14:S17,S24:S27),3),"")</f>
        <v>7.2797956836897999</v>
      </c>
      <c r="T41" s="194">
        <f ca="1">IFERROR(_xlfn.QUARTILE.INC((T14:T17,T24:T27),3),"")</f>
        <v>5.5613376009921671</v>
      </c>
      <c r="U41" s="193" t="str">
        <f>IFERROR(_xlfn.QUARTILE.INC((U14:U17,U24:U27),3),"")</f>
        <v/>
      </c>
      <c r="V41" s="193">
        <f ca="1">IFERROR(_xlfn.QUARTILE.INC((V14:V17,V24:V27),3),"")</f>
        <v>11.804371100212213</v>
      </c>
      <c r="W41" s="193">
        <f ca="1">IFERROR(_xlfn.QUARTILE.INC((W14:W17,W24:W27),3),"")</f>
        <v>9.5915168602434395</v>
      </c>
      <c r="X41" s="193">
        <f ca="1">IFERROR(_xlfn.QUARTILE.INC((X14:X17,X24:X27),3),"")</f>
        <v>7.9378016251696097</v>
      </c>
      <c r="Y41" s="191">
        <f ca="1">IFERROR(_xlfn.QUARTILE.INC((Y14:Y17,Y24:Y27),3),"")</f>
        <v>0.15167834682669037</v>
      </c>
      <c r="Z41" s="192" t="str">
        <f>IFERROR(_xlfn.QUARTILE.INC((Z14:Z17,Z24:Z27),3),"")</f>
        <v/>
      </c>
      <c r="AA41" s="194">
        <f ca="1">IFERROR(_xlfn.QUARTILE.INC((AA14:AA17,AA24:AA27),3),"")</f>
        <v>2.7162698417704725</v>
      </c>
      <c r="AB41" s="193">
        <f ca="1">IFERROR(_xlfn.QUARTILE.INC((AB14:AB17,AB24:AB27),3),"")</f>
        <v>14.635922617404852</v>
      </c>
      <c r="AC41" s="193">
        <f ca="1">IFERROR(_xlfn.QUARTILE.INC((AC14:AC17,AC24:AC27),3),"")</f>
        <v>12.777171441550699</v>
      </c>
      <c r="AD41" s="194">
        <f ca="1">IFERROR(_xlfn.QUARTILE.INC((AD14:AD17,AD24:AD27),3),"")</f>
        <v>11.317880947301735</v>
      </c>
      <c r="AE41" s="195">
        <f>IFERROR(_xlfn.QUARTILE.INC((AE14:AE17,AE24:AE27),3),"")</f>
        <v>0.28600000000000003</v>
      </c>
      <c r="AF41"/>
      <c r="AG41"/>
      <c r="AH41" s="196" t="str">
        <f>IFERROR(_xlfn.QUARTILE.EXC((AH15:AH18,AH25:AH28),3),"")</f>
        <v/>
      </c>
    </row>
    <row r="42" spans="2:34" x14ac:dyDescent="0.35">
      <c r="B42" s="62"/>
      <c r="C42" s="188" t="s">
        <v>280</v>
      </c>
      <c r="D42" s="189"/>
      <c r="E42" s="189"/>
      <c r="F42" s="189"/>
      <c r="G42" s="189"/>
      <c r="H42" s="192">
        <f ca="1">IFERROR(_xlfn.QUARTILE.INC((H14:H17,H24:H27),1),"")</f>
        <v>0.69750000000000001</v>
      </c>
      <c r="I42" s="191">
        <f ca="1">IFERROR(_xlfn.QUARTILE.INC((I14:I17,I24:I27),1),"")</f>
        <v>0.67332295620282312</v>
      </c>
      <c r="J42" s="192" t="str">
        <f>IFERROR(_xlfn.QUARTILE.INC((J14:J17,J24:J27),1),"")</f>
        <v/>
      </c>
      <c r="K42" s="192">
        <f ca="1">IFERROR(_xlfn.QUARTILE.INC((K14:K17,K24:K27),1),"")</f>
        <v>366.73532499999999</v>
      </c>
      <c r="L42" s="192">
        <f ca="1">IFERROR(_xlfn.QUARTILE.INC((L14:L17,L24:L27),1),"")</f>
        <v>611.20787917749999</v>
      </c>
      <c r="M42" s="192" t="str">
        <f>IFERROR(_xlfn.QUARTILE.INC((M14:M17,M24:M27),1),"")</f>
        <v/>
      </c>
      <c r="N42" s="193">
        <f ca="1">IFERROR(_xlfn.QUARTILE.INC((N14:N17,N24:N27),1),"")</f>
        <v>0.40382992059280365</v>
      </c>
      <c r="O42" s="193">
        <f ca="1">IFERROR(_xlfn.QUARTILE.INC((O14:O17,O24:O27),1),"")</f>
        <v>0.39036542065491109</v>
      </c>
      <c r="P42" s="194">
        <f ca="1">IFERROR(_xlfn.QUARTILE.INC((P14:P17,P24:P27),1),"")</f>
        <v>0.36465470541823386</v>
      </c>
      <c r="Q42" s="193" t="str">
        <f>IFERROR(_xlfn.QUARTILE.INC((Q14:Q17,Q24:Q27),1),"")</f>
        <v/>
      </c>
      <c r="R42" s="193">
        <f ca="1">IFERROR(_xlfn.QUARTILE.INC((R14:R17,R24:R27),1),"")</f>
        <v>3.6580961653205688</v>
      </c>
      <c r="S42" s="193">
        <f ca="1">IFERROR(_xlfn.QUARTILE.INC((S14:S17,S24:S27),1),"")</f>
        <v>3.3860128751513447</v>
      </c>
      <c r="T42" s="194">
        <f ca="1">IFERROR(_xlfn.QUARTILE.INC((T14:T17,T24:T27),1),"")</f>
        <v>3.0974591765634747</v>
      </c>
      <c r="U42" s="193" t="str">
        <f>IFERROR(_xlfn.QUARTILE.INC((U14:U17,U24:U27),1),"")</f>
        <v/>
      </c>
      <c r="V42" s="193">
        <f ca="1">IFERROR(_xlfn.QUARTILE.INC((V14:V17,V24:V27),1),"")</f>
        <v>7.8032032779095974</v>
      </c>
      <c r="W42" s="193">
        <f ca="1">IFERROR(_xlfn.QUARTILE.INC((W14:W17,W24:W27),1),"")</f>
        <v>6.3673544299254559</v>
      </c>
      <c r="X42" s="193">
        <f ca="1">IFERROR(_xlfn.QUARTILE.INC((X14:X17,X24:X27),1),"")</f>
        <v>5.3727179330339858</v>
      </c>
      <c r="Y42" s="191">
        <f ca="1">IFERROR(_xlfn.QUARTILE.INC((Y14:Y17,Y24:Y27),1),"")</f>
        <v>8.9132301310324971E-2</v>
      </c>
      <c r="Z42" s="192" t="str">
        <f>IFERROR(_xlfn.QUARTILE.INC((Z14:Z17,Z24:Z27),1),"")</f>
        <v/>
      </c>
      <c r="AA42" s="194">
        <f ca="1">IFERROR(_xlfn.QUARTILE.INC((AA14:AA17,AA24:AA27),1),"")</f>
        <v>1.5128826368431283</v>
      </c>
      <c r="AB42" s="193">
        <f ca="1">IFERROR(_xlfn.QUARTILE.INC((AB14:AB17,AB24:AB27),1),"")</f>
        <v>8.7104002992511784</v>
      </c>
      <c r="AC42" s="193">
        <f ca="1">IFERROR(_xlfn.QUARTILE.INC((AC14:AC17,AC24:AC27),1),"")</f>
        <v>7.8975908847236438</v>
      </c>
      <c r="AD42" s="194">
        <f ca="1">IFERROR(_xlfn.QUARTILE.INC((AD14:AD17,AD24:AD27),1),"")</f>
        <v>5.0069945080797869</v>
      </c>
      <c r="AE42" s="195">
        <f>IFERROR(_xlfn.QUARTILE.INC((AE14:AE17,AE24:AE27),1),"")</f>
        <v>0.106</v>
      </c>
      <c r="AH42" s="196" t="str">
        <f>IFERROR(_xlfn.QUARTILE.EXC((AH15:AH18,AH25:AH28),1),"")</f>
        <v/>
      </c>
    </row>
    <row r="43" spans="2:34" ht="15" thickBot="1" x14ac:dyDescent="0.4">
      <c r="B43" s="62"/>
      <c r="C43" s="170" t="s">
        <v>281</v>
      </c>
      <c r="D43" s="171"/>
      <c r="E43" s="171"/>
      <c r="F43" s="171"/>
      <c r="G43" s="171"/>
      <c r="H43" s="173">
        <f ca="1">MIN(H14:H17,H24:H27)</f>
        <v>0.26500000000000001</v>
      </c>
      <c r="I43" s="174">
        <f t="shared" ref="I43:AE43" ca="1" si="8">MIN(I14:I17,I24:I27)</f>
        <v>0.60124223602484461</v>
      </c>
      <c r="J43" s="173">
        <f t="shared" si="8"/>
        <v>0</v>
      </c>
      <c r="K43" s="173">
        <f t="shared" ca="1" si="8"/>
        <v>88.5715</v>
      </c>
      <c r="L43" s="173">
        <f t="shared" ca="1" si="8"/>
        <v>181.11646539999998</v>
      </c>
      <c r="M43" s="173">
        <f t="shared" si="8"/>
        <v>0</v>
      </c>
      <c r="N43" s="175">
        <f t="shared" ca="1" si="8"/>
        <v>0.34739601589566499</v>
      </c>
      <c r="O43" s="175">
        <f t="shared" ca="1" si="8"/>
        <v>0.31099218224182668</v>
      </c>
      <c r="P43" s="176">
        <f t="shared" ca="1" si="8"/>
        <v>0.25356934914425255</v>
      </c>
      <c r="Q43" s="175">
        <f t="shared" si="8"/>
        <v>0</v>
      </c>
      <c r="R43" s="175">
        <f t="shared" ca="1" si="8"/>
        <v>2.498238142388967</v>
      </c>
      <c r="S43" s="175">
        <f t="shared" ca="1" si="8"/>
        <v>2.3869081840535293</v>
      </c>
      <c r="T43" s="176">
        <f t="shared" ca="1" si="8"/>
        <v>2.200320966126041</v>
      </c>
      <c r="U43" s="175">
        <f t="shared" si="8"/>
        <v>0</v>
      </c>
      <c r="V43" s="175">
        <f t="shared" ca="1" si="8"/>
        <v>5.2879055698708441</v>
      </c>
      <c r="W43" s="175">
        <f t="shared" ca="1" si="8"/>
        <v>5.2872659496111805</v>
      </c>
      <c r="X43" s="175">
        <f t="shared" ca="1" si="8"/>
        <v>3.9291008374834173</v>
      </c>
      <c r="Y43" s="174">
        <f t="shared" ca="1" si="8"/>
        <v>7.1323551391257151E-2</v>
      </c>
      <c r="Z43" s="173">
        <f t="shared" si="8"/>
        <v>0</v>
      </c>
      <c r="AA43" s="176">
        <f t="shared" ca="1" si="8"/>
        <v>1.3397040596747098</v>
      </c>
      <c r="AB43" s="175">
        <f t="shared" ca="1" si="8"/>
        <v>-12.049028514714495</v>
      </c>
      <c r="AC43" s="175">
        <f t="shared" ca="1" si="8"/>
        <v>-16.34521189450281</v>
      </c>
      <c r="AD43" s="176">
        <f t="shared" ca="1" si="8"/>
        <v>-24.011652213102028</v>
      </c>
      <c r="AE43" s="177">
        <f t="shared" si="8"/>
        <v>0.1</v>
      </c>
      <c r="AH43" s="197">
        <f t="shared" ref="AH43" si="9">IFERROR(MIN(AH15:AH18,AH25:AH28),"")</f>
        <v>0</v>
      </c>
    </row>
    <row r="44" spans="2:34" ht="15.5" thickTop="1" thickBot="1" x14ac:dyDescent="0.4">
      <c r="B44" s="62"/>
      <c r="AH44" s="184"/>
    </row>
    <row r="45" spans="2:34" ht="15" thickTop="1" x14ac:dyDescent="0.35">
      <c r="C45" s="62" t="s">
        <v>299</v>
      </c>
    </row>
    <row r="46" spans="2:34" x14ac:dyDescent="0.35"/>
  </sheetData>
  <mergeCells count="17">
    <mergeCell ref="C24:F24"/>
    <mergeCell ref="C2:O3"/>
    <mergeCell ref="C4:O4"/>
    <mergeCell ref="N9:X9"/>
    <mergeCell ref="AB9:AD9"/>
    <mergeCell ref="C11:F11"/>
    <mergeCell ref="C14:F14"/>
    <mergeCell ref="C15:F15"/>
    <mergeCell ref="C16:F16"/>
    <mergeCell ref="C17:F17"/>
    <mergeCell ref="C18:F18"/>
    <mergeCell ref="C19:F19"/>
    <mergeCell ref="C25:F25"/>
    <mergeCell ref="C26:F26"/>
    <mergeCell ref="C27:F27"/>
    <mergeCell ref="C28:F28"/>
    <mergeCell ref="C29:F29"/>
  </mergeCells>
  <conditionalFormatting sqref="E33">
    <cfRule type="iconSet" priority="35">
      <iconSet>
        <cfvo type="percent" val="0"/>
        <cfvo type="percent" val="33"/>
        <cfvo type="percent" val="67"/>
      </iconSet>
    </cfRule>
  </conditionalFormatting>
  <conditionalFormatting sqref="H14:H17 H24:H27">
    <cfRule type="iconSet" priority="54">
      <iconSet>
        <cfvo type="percent" val="0"/>
        <cfvo type="num" val="$H$42"/>
        <cfvo type="num" val="$H$41"/>
      </iconSet>
    </cfRule>
  </conditionalFormatting>
  <conditionalFormatting sqref="K24:K27 K14:K17">
    <cfRule type="iconSet" priority="52">
      <iconSet>
        <cfvo type="percent" val="0"/>
        <cfvo type="num" val="$K$42"/>
        <cfvo type="num" val="$K$41"/>
      </iconSet>
    </cfRule>
  </conditionalFormatting>
  <conditionalFormatting sqref="L14:L17 L24:L27">
    <cfRule type="iconSet" priority="51">
      <iconSet>
        <cfvo type="percent" val="0"/>
        <cfvo type="num" val="$L$42"/>
        <cfvo type="num" val="$L$41"/>
      </iconSet>
    </cfRule>
  </conditionalFormatting>
  <conditionalFormatting sqref="N14:N17 N24:N27">
    <cfRule type="iconSet" priority="50">
      <iconSet reverse="1">
        <cfvo type="percent" val="0"/>
        <cfvo type="num" val="$N$42"/>
        <cfvo type="num" val="$N$41"/>
      </iconSet>
    </cfRule>
  </conditionalFormatting>
  <conditionalFormatting sqref="O14:O17">
    <cfRule type="iconSet" priority="34">
      <iconSet reverse="1">
        <cfvo type="percent" val="0"/>
        <cfvo type="num" val="$N$42"/>
        <cfvo type="num" val="$N$41"/>
      </iconSet>
    </cfRule>
  </conditionalFormatting>
  <conditionalFormatting sqref="O24:O27">
    <cfRule type="iconSet" priority="33">
      <iconSet reverse="1">
        <cfvo type="percent" val="0"/>
        <cfvo type="num" val="$N$42"/>
        <cfvo type="num" val="$N$41"/>
      </iconSet>
    </cfRule>
  </conditionalFormatting>
  <conditionalFormatting sqref="P14:P17">
    <cfRule type="iconSet" priority="32">
      <iconSet reverse="1">
        <cfvo type="percent" val="0"/>
        <cfvo type="num" val="$N$42"/>
        <cfvo type="num" val="$N$41"/>
      </iconSet>
    </cfRule>
  </conditionalFormatting>
  <conditionalFormatting sqref="P24:P27">
    <cfRule type="iconSet" priority="31">
      <iconSet reverse="1">
        <cfvo type="percent" val="0"/>
        <cfvo type="num" val="$N$42"/>
        <cfvo type="num" val="$N$41"/>
      </iconSet>
    </cfRule>
  </conditionalFormatting>
  <conditionalFormatting sqref="R14:R17 R24:R27">
    <cfRule type="iconSet" priority="47">
      <iconSet reverse="1">
        <cfvo type="percent" val="0"/>
        <cfvo type="num" val="$R$42"/>
        <cfvo type="num" val="$R$41"/>
      </iconSet>
    </cfRule>
  </conditionalFormatting>
  <conditionalFormatting sqref="S14:S17 S24:S27">
    <cfRule type="iconSet" priority="21">
      <iconSet reverse="1">
        <cfvo type="percent" val="0"/>
        <cfvo type="num" val="$S$42"/>
        <cfvo type="num" val="$S$41"/>
      </iconSet>
    </cfRule>
  </conditionalFormatting>
  <conditionalFormatting sqref="T14:T17 T24:T27">
    <cfRule type="iconSet" priority="20">
      <iconSet reverse="1">
        <cfvo type="percent" val="0"/>
        <cfvo type="num" val="$T$42"/>
        <cfvo type="num" val="$T$41"/>
      </iconSet>
    </cfRule>
  </conditionalFormatting>
  <conditionalFormatting sqref="V14:V17 V24:V27">
    <cfRule type="iconSet" priority="13">
      <iconSet reverse="1">
        <cfvo type="percent" val="0"/>
        <cfvo type="num" val="$V$42"/>
        <cfvo type="num" val="$V$41"/>
      </iconSet>
    </cfRule>
  </conditionalFormatting>
  <conditionalFormatting sqref="W14:W17 W24:W27">
    <cfRule type="iconSet" priority="12">
      <iconSet reverse="1">
        <cfvo type="percent" val="0"/>
        <cfvo type="num" val="$W$42"/>
        <cfvo type="num" val="$W$41"/>
      </iconSet>
    </cfRule>
  </conditionalFormatting>
  <conditionalFormatting sqref="X14:X17 X24:X27">
    <cfRule type="iconSet" priority="11">
      <iconSet reverse="1">
        <cfvo type="percent" val="0"/>
        <cfvo type="num" val="$X$42"/>
        <cfvo type="num" val="$X$41"/>
      </iconSet>
    </cfRule>
  </conditionalFormatting>
  <conditionalFormatting sqref="Y14:Y17 Y24:Y27">
    <cfRule type="iconSet" priority="41">
      <iconSet>
        <cfvo type="percent" val="0"/>
        <cfvo type="num" val="$Y$42"/>
        <cfvo type="num" val="$Y$41"/>
      </iconSet>
    </cfRule>
  </conditionalFormatting>
  <conditionalFormatting sqref="AA14:AA17 AA24:AA27">
    <cfRule type="iconSet" priority="40">
      <iconSet reverse="1">
        <cfvo type="percent" val="0"/>
        <cfvo type="num" val="$AA$42"/>
        <cfvo type="num" val="$AA$41"/>
      </iconSet>
    </cfRule>
  </conditionalFormatting>
  <conditionalFormatting sqref="AB14:AB17 AB24:AB27">
    <cfRule type="iconSet" priority="39">
      <iconSet reverse="1">
        <cfvo type="percent" val="0"/>
        <cfvo type="num" val="$AB$42"/>
        <cfvo type="num" val="$AB$41"/>
      </iconSet>
    </cfRule>
  </conditionalFormatting>
  <conditionalFormatting sqref="AC14:AC17">
    <cfRule type="iconSet" priority="10">
      <iconSet reverse="1">
        <cfvo type="percent" val="0"/>
        <cfvo type="num" val="$AB$42"/>
        <cfvo type="num" val="$AB$41"/>
      </iconSet>
    </cfRule>
  </conditionalFormatting>
  <conditionalFormatting sqref="AC24:AC27">
    <cfRule type="iconSet" priority="9">
      <iconSet reverse="1">
        <cfvo type="percent" val="0"/>
        <cfvo type="num" val="$AB$42"/>
        <cfvo type="num" val="$AB$41"/>
      </iconSet>
    </cfRule>
  </conditionalFormatting>
  <conditionalFormatting sqref="AD14:AD17 AD24:AD27">
    <cfRule type="iconSet" priority="6">
      <iconSet reverse="1">
        <cfvo type="percent" val="0"/>
        <cfvo type="num" val="$AD$42"/>
        <cfvo type="num" val="$AD$41"/>
      </iconSet>
    </cfRule>
  </conditionalFormatting>
  <conditionalFormatting sqref="AE14:AE17 AE24:AE27">
    <cfRule type="iconSet" priority="36">
      <iconSet>
        <cfvo type="percent" val="0"/>
        <cfvo type="num" val="$AE$42"/>
        <cfvo type="num" val="$AE$41"/>
      </iconSet>
    </cfRule>
  </conditionalFormatting>
  <conditionalFormatting sqref="I14:I17 I24:I27">
    <cfRule type="iconSet" priority="1">
      <iconSet>
        <cfvo type="percent" val="0"/>
        <cfvo type="num" val="$I$42"/>
        <cfvo type="num" val="$I$41"/>
      </iconSet>
    </cfRule>
  </conditionalFormatting>
  <pageMargins left="0.7" right="0.7" top="0.75" bottom="0.75" header="0.3" footer="0.3"/>
  <drawing r:id="rId1"/>
  <picture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75B9F9-BA68-4AD5-BECB-07C239F0A2BF}">
  <sheetPr>
    <tabColor rgb="FFD2B48C"/>
  </sheetPr>
  <dimension ref="B1:P37"/>
  <sheetViews>
    <sheetView tabSelected="1" zoomScale="63" zoomScaleNormal="85" workbookViewId="0">
      <selection activeCell="Q9" sqref="Q9"/>
    </sheetView>
  </sheetViews>
  <sheetFormatPr defaultColWidth="0" defaultRowHeight="14.5" zeroHeight="1" x14ac:dyDescent="0.35"/>
  <cols>
    <col min="1" max="2" width="8.7265625" customWidth="1"/>
    <col min="3" max="3" width="17.7265625" customWidth="1"/>
    <col min="4" max="4" width="37.1796875" customWidth="1"/>
    <col min="5" max="6" width="8.7265625" customWidth="1"/>
    <col min="7" max="7" width="9.08984375" customWidth="1"/>
    <col min="8" max="8" width="31.1796875" customWidth="1"/>
    <col min="9" max="9" width="20" customWidth="1"/>
    <col min="10" max="10" width="24.453125" customWidth="1"/>
    <col min="11" max="14" width="8.7265625" customWidth="1"/>
    <col min="15" max="15" width="31.1796875" customWidth="1"/>
    <col min="16" max="16" width="29.90625" customWidth="1"/>
    <col min="17" max="17" width="8.7265625" customWidth="1"/>
    <col min="18" max="16384" width="8.7265625" hidden="1"/>
  </cols>
  <sheetData>
    <row r="1" spans="2:16" x14ac:dyDescent="0.35"/>
    <row r="2" spans="2:16" x14ac:dyDescent="0.35">
      <c r="B2" s="258" t="e" vm="1">
        <v>#VALUE!</v>
      </c>
      <c r="C2" s="259"/>
      <c r="D2" s="259"/>
      <c r="E2" s="259"/>
      <c r="F2" s="259"/>
      <c r="G2" s="259"/>
      <c r="H2" s="259"/>
      <c r="I2" s="259"/>
      <c r="J2" s="259"/>
      <c r="K2" s="5"/>
      <c r="L2" s="5"/>
      <c r="M2" s="5"/>
      <c r="N2" s="5"/>
      <c r="O2" s="5"/>
      <c r="P2" s="5"/>
    </row>
    <row r="3" spans="2:16" x14ac:dyDescent="0.35">
      <c r="B3" s="259"/>
      <c r="C3" s="259"/>
      <c r="D3" s="259"/>
      <c r="E3" s="259"/>
      <c r="F3" s="259"/>
      <c r="G3" s="259"/>
      <c r="H3" s="259"/>
      <c r="I3" s="259"/>
      <c r="J3" s="259"/>
      <c r="K3" s="5"/>
      <c r="L3" s="5"/>
      <c r="M3" s="5"/>
      <c r="N3" s="5"/>
      <c r="O3" s="5"/>
      <c r="P3" s="5"/>
    </row>
    <row r="4" spans="2:16" ht="15.5" x14ac:dyDescent="0.35">
      <c r="B4" s="261" t="s">
        <v>304</v>
      </c>
      <c r="C4" s="262"/>
      <c r="D4" s="262"/>
      <c r="E4" s="262"/>
      <c r="F4" s="262"/>
      <c r="G4" s="262"/>
      <c r="H4" s="262"/>
      <c r="I4" s="262"/>
      <c r="J4" s="262"/>
      <c r="K4" s="5"/>
      <c r="L4" s="5"/>
      <c r="M4" s="5"/>
      <c r="N4" s="5"/>
      <c r="O4" s="5"/>
      <c r="P4" s="5"/>
    </row>
    <row r="5" spans="2:16" x14ac:dyDescent="0.35">
      <c r="B5" s="7" t="s">
        <v>38</v>
      </c>
      <c r="C5" s="5"/>
      <c r="D5" s="5"/>
      <c r="E5" s="5"/>
      <c r="F5" s="5"/>
      <c r="G5" s="5"/>
      <c r="H5" s="5"/>
      <c r="I5" s="5"/>
      <c r="J5" s="5"/>
      <c r="K5" s="5"/>
      <c r="L5" s="5"/>
      <c r="M5" s="5"/>
      <c r="N5" s="5"/>
      <c r="O5" s="5"/>
      <c r="P5" s="5"/>
    </row>
    <row r="6" spans="2:16" x14ac:dyDescent="0.35"/>
    <row r="7" spans="2:16" x14ac:dyDescent="0.35"/>
    <row r="8" spans="2:16" x14ac:dyDescent="0.35"/>
    <row r="9" spans="2:16" x14ac:dyDescent="0.35"/>
    <row r="10" spans="2:16" ht="15" thickBot="1" x14ac:dyDescent="0.4"/>
    <row r="11" spans="2:16" x14ac:dyDescent="0.35">
      <c r="O11" s="321" t="s">
        <v>305</v>
      </c>
      <c r="P11" s="322"/>
    </row>
    <row r="12" spans="2:16" ht="15" thickBot="1" x14ac:dyDescent="0.4">
      <c r="O12" s="320">
        <v>8</v>
      </c>
      <c r="P12" s="319" t="str" cm="1">
        <f t="array" ref="P12">INDEX(Data!D8:D41,Summary!O12)</f>
        <v>LTM Gross Profit Margin</v>
      </c>
    </row>
    <row r="13" spans="2:16" x14ac:dyDescent="0.35"/>
    <row r="14" spans="2:16" x14ac:dyDescent="0.35"/>
    <row r="15" spans="2:16" ht="15" thickBot="1" x14ac:dyDescent="0.4"/>
    <row r="16" spans="2:16" x14ac:dyDescent="0.35">
      <c r="O16" s="321" t="s">
        <v>305</v>
      </c>
      <c r="P16" s="322"/>
    </row>
    <row r="17" spans="14:16" x14ac:dyDescent="0.35">
      <c r="N17" cm="1">
        <f t="array" aca="1" ref="N17:N24" ca="1">ROW(_xlfn.ANCHORARRAY(O17))-16</f>
        <v>1</v>
      </c>
      <c r="O17" s="327" t="str" cm="1">
        <f t="array" aca="1" ref="O17:O24" ca="1">Data!K8:K15</f>
        <v>ORICA LIMITED</v>
      </c>
      <c r="P17" s="328" cm="1">
        <f t="array" aca="1" ref="P17" ca="1">INDEX(Data!$K$7:$AS$15,Summary!N17+1,Summary!$O$12+1)</f>
        <v>0.40523046406013463</v>
      </c>
    </row>
    <row r="18" spans="14:16" x14ac:dyDescent="0.35">
      <c r="N18">
        <f ca="1"/>
        <v>2</v>
      </c>
      <c r="O18" s="327" t="str">
        <f ca="1"/>
        <v>FLETCHER BUILDING LIMITED</v>
      </c>
      <c r="P18" s="328" cm="1">
        <f t="array" aca="1" ref="P18" ca="1">INDEX(Data!$K$7:$AS$15,Summary!N18+1,Summary!$O$12+1)</f>
        <v>0.27265236186458408</v>
      </c>
    </row>
    <row r="19" spans="14:16" x14ac:dyDescent="0.35">
      <c r="N19">
        <f ca="1"/>
        <v>3</v>
      </c>
      <c r="O19" s="327" t="str">
        <f ca="1"/>
        <v>MAAS Group Holdings Ltd</v>
      </c>
      <c r="P19" s="328" cm="1">
        <f t="array" aca="1" ref="P19" ca="1">INDEX(Data!$K$7:$AS$15,Summary!N19+1,Summary!$O$12+1)</f>
        <v>0.51303254219003125</v>
      </c>
    </row>
    <row r="20" spans="14:16" x14ac:dyDescent="0.35">
      <c r="N20">
        <f ca="1"/>
        <v>4</v>
      </c>
      <c r="O20" s="327" t="str">
        <f ca="1"/>
        <v>NRW HOLDINGS LIMITED</v>
      </c>
      <c r="P20" s="328" cm="1">
        <f t="array" aca="1" ref="P20" ca="1">INDEX(Data!$K$7:$AS$15,Summary!N20+1,Summary!$O$12+1)</f>
        <v>0.48246643242465959</v>
      </c>
    </row>
    <row r="21" spans="14:16" x14ac:dyDescent="0.35">
      <c r="N21">
        <f ca="1"/>
        <v>5</v>
      </c>
      <c r="O21" s="327" t="str">
        <f ca="1"/>
        <v>EMECO HOLDINGS LIMITED</v>
      </c>
      <c r="P21" s="328" cm="1">
        <f t="array" aca="1" ref="P21" ca="1">INDEX(Data!$K$7:$AS$15,Summary!N21+1,Summary!$O$12+1)</f>
        <v>0.577004355205054</v>
      </c>
    </row>
    <row r="22" spans="14:16" x14ac:dyDescent="0.35">
      <c r="N22">
        <f ca="1"/>
        <v>6</v>
      </c>
      <c r="O22" s="327" t="str">
        <f ca="1"/>
        <v>WAGNERS HOLDING COMPANY LTD</v>
      </c>
      <c r="P22" s="328" cm="1">
        <f t="array" aca="1" ref="P22" ca="1">INDEX(Data!$K$7:$AS$15,Summary!N22+1,Summary!$O$12+1)</f>
        <v>0.36909363932810763</v>
      </c>
    </row>
    <row r="23" spans="14:16" x14ac:dyDescent="0.35">
      <c r="N23">
        <f ca="1"/>
        <v>7</v>
      </c>
      <c r="O23" s="327" t="str">
        <f ca="1"/>
        <v>MLG OZ LIMITED</v>
      </c>
      <c r="P23" s="328" cm="1">
        <f t="array" aca="1" ref="P23" ca="1">INDEX(Data!$K$7:$AS$15,Summary!N23+1,Summary!$O$12+1)</f>
        <v>0.34388771747014008</v>
      </c>
    </row>
    <row r="24" spans="14:16" ht="15" thickBot="1" x14ac:dyDescent="0.4">
      <c r="N24">
        <f ca="1"/>
        <v>8</v>
      </c>
      <c r="O24" s="320" t="str">
        <f ca="1"/>
        <v>MACMAHON HOLDINGS LIMITED</v>
      </c>
      <c r="P24" s="329" cm="1">
        <f t="array" aca="1" ref="P24" ca="1">INDEX(Data!$K$7:$AS$15,Summary!N24+1,Summary!$O$12+1)</f>
        <v>0.73436241699706828</v>
      </c>
    </row>
    <row r="25" spans="14:16" x14ac:dyDescent="0.35"/>
    <row r="26" spans="14:16" ht="15" thickBot="1" x14ac:dyDescent="0.4"/>
    <row r="27" spans="14:16" ht="15" thickTop="1" x14ac:dyDescent="0.35">
      <c r="O27" s="331" t="s">
        <v>336</v>
      </c>
      <c r="P27" s="332">
        <f ca="1">MAX(P17:P24)</f>
        <v>0.73436241699706828</v>
      </c>
    </row>
    <row r="28" spans="14:16" x14ac:dyDescent="0.35">
      <c r="O28" s="333" t="s">
        <v>337</v>
      </c>
      <c r="P28" s="334">
        <f ca="1">_xlfn.QUARTILE.INC(P17:P24,3)</f>
        <v>0.52902549544378696</v>
      </c>
    </row>
    <row r="29" spans="14:16" x14ac:dyDescent="0.35">
      <c r="O29" s="333" t="s">
        <v>271</v>
      </c>
      <c r="P29" s="334">
        <f ca="1">AVERAGE(P17:P24)</f>
        <v>0.46221624119247245</v>
      </c>
    </row>
    <row r="30" spans="14:16" x14ac:dyDescent="0.35">
      <c r="O30" s="333" t="s">
        <v>272</v>
      </c>
      <c r="P30" s="334">
        <f ca="1">MEDIAN(P17:P24)</f>
        <v>0.44384844824239711</v>
      </c>
    </row>
    <row r="31" spans="14:16" x14ac:dyDescent="0.35">
      <c r="O31" s="333" t="s">
        <v>338</v>
      </c>
      <c r="P31" s="334">
        <f ca="1">_xlfn.QUARTILE.INC(P17:P24,1)</f>
        <v>0.36279215886361571</v>
      </c>
    </row>
    <row r="32" spans="14:16" x14ac:dyDescent="0.35">
      <c r="O32" s="333" t="s">
        <v>339</v>
      </c>
      <c r="P32" s="334">
        <f ca="1">MIN(P16:P23)</f>
        <v>0.27265236186458408</v>
      </c>
    </row>
    <row r="33" spans="15:16" ht="15" thickBot="1" x14ac:dyDescent="0.4">
      <c r="O33" s="335" t="s">
        <v>340</v>
      </c>
      <c r="P33" s="336">
        <f ca="1">_xlfn.STDEV.S(P17:P24)</f>
        <v>0.14740009714144708</v>
      </c>
    </row>
    <row r="34" spans="15:16" ht="15" thickTop="1" x14ac:dyDescent="0.35"/>
    <row r="35" spans="15:16" x14ac:dyDescent="0.35"/>
    <row r="36" spans="15:16" x14ac:dyDescent="0.35"/>
    <row r="37" spans="15:16" x14ac:dyDescent="0.35"/>
  </sheetData>
  <mergeCells count="4">
    <mergeCell ref="O11:P11"/>
    <mergeCell ref="O16:P16"/>
    <mergeCell ref="B2:J3"/>
    <mergeCell ref="B4:J4"/>
  </mergeCells>
  <conditionalFormatting sqref="P17:P24 P27:P33">
    <cfRule type="expression" dxfId="2" priority="1">
      <formula>OR($O$12=17,$O$12=19,$O$12=20,$O$12=21,$O$12=22,$O$12=23,$O$12=24,$O$12=25,$O$12=26,$O$12=27,$O$12=28,$O$12=29,$O$12=30,$O$12=31,$O$12=32,$O$12=33)</formula>
    </cfRule>
    <cfRule type="expression" dxfId="1" priority="3">
      <formula>OR($O$12=2, $O$12=8, $O$12=9, $O$12=10,$O$12=11,$O$12=12,$O$12=13,$O$12=14,$O$12=15,$O$12=16,$O$12=18,$O$12=34)</formula>
    </cfRule>
    <cfRule type="expression" dxfId="0" priority="4">
      <formula>OR($O$12=1, $O$12=3, $O$12=4, $O$12=5, $O$12=6, $O$12=7)</formula>
    </cfRule>
  </conditionalFormatting>
  <pageMargins left="0.7" right="0.7" top="0.75" bottom="0.75" header="0.3" footer="0.3"/>
  <drawing r:id="rId1"/>
  <legacyDrawing r:id="rId2"/>
  <picture r:id="rId3"/>
  <mc:AlternateContent xmlns:mc="http://schemas.openxmlformats.org/markup-compatibility/2006">
    <mc:Choice Requires="x14">
      <controls>
        <mc:AlternateContent xmlns:mc="http://schemas.openxmlformats.org/markup-compatibility/2006">
          <mc:Choice Requires="x14">
            <control shapeId="13314" r:id="rId4" name="Drop Down 2">
              <controlPr defaultSize="0" autoLine="0" autoPict="0">
                <anchor moveWithCells="1">
                  <from>
                    <xdr:col>13</xdr:col>
                    <xdr:colOff>609600</xdr:colOff>
                    <xdr:row>13</xdr:row>
                    <xdr:rowOff>12700</xdr:rowOff>
                  </from>
                  <to>
                    <xdr:col>16</xdr:col>
                    <xdr:colOff>12700</xdr:colOff>
                    <xdr:row>14</xdr:row>
                    <xdr:rowOff>44450</xdr:rowOff>
                  </to>
                </anchor>
              </controlPr>
            </control>
          </mc:Choice>
        </mc:AlternateContent>
      </controls>
    </mc:Choice>
  </mc:AlternateConten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CBF6DD-1888-4768-9269-F96A799355AE}">
  <dimension ref="D6:AS41"/>
  <sheetViews>
    <sheetView topLeftCell="Y1" zoomScale="120" zoomScaleNormal="100" workbookViewId="0">
      <selection activeCell="AS6" sqref="AS6"/>
    </sheetView>
  </sheetViews>
  <sheetFormatPr defaultRowHeight="14.5" x14ac:dyDescent="0.35"/>
  <cols>
    <col min="12" max="13" width="8.81640625" bestFit="1" customWidth="1"/>
    <col min="14" max="17" width="10.36328125" bestFit="1" customWidth="1"/>
    <col min="18" max="23" width="8.81640625" bestFit="1" customWidth="1"/>
    <col min="24" max="24" width="9" bestFit="1" customWidth="1"/>
    <col min="25" max="25" width="8.81640625" bestFit="1" customWidth="1"/>
  </cols>
  <sheetData>
    <row r="6" spans="4:45" x14ac:dyDescent="0.35">
      <c r="L6" s="330">
        <v>1</v>
      </c>
      <c r="M6" s="330">
        <v>2</v>
      </c>
      <c r="N6" s="330">
        <v>3</v>
      </c>
      <c r="O6" s="330">
        <v>4</v>
      </c>
      <c r="P6" s="330">
        <v>5</v>
      </c>
      <c r="Q6" s="330">
        <v>6</v>
      </c>
      <c r="R6" s="330">
        <v>7</v>
      </c>
      <c r="S6" s="330">
        <v>8</v>
      </c>
      <c r="T6" s="330">
        <v>9</v>
      </c>
      <c r="U6" s="330">
        <v>10</v>
      </c>
      <c r="V6" s="330">
        <v>11</v>
      </c>
      <c r="W6" s="330">
        <v>12</v>
      </c>
      <c r="X6" s="330">
        <v>13</v>
      </c>
      <c r="Y6" s="330">
        <v>14</v>
      </c>
      <c r="Z6" s="330">
        <v>15</v>
      </c>
      <c r="AA6" s="330">
        <v>16</v>
      </c>
      <c r="AB6">
        <v>17</v>
      </c>
      <c r="AC6" s="330">
        <v>18</v>
      </c>
      <c r="AD6">
        <v>19</v>
      </c>
      <c r="AE6">
        <v>20</v>
      </c>
      <c r="AF6">
        <v>21</v>
      </c>
      <c r="AG6">
        <v>22</v>
      </c>
      <c r="AH6">
        <v>23</v>
      </c>
      <c r="AI6">
        <v>24</v>
      </c>
      <c r="AJ6">
        <v>25</v>
      </c>
      <c r="AK6">
        <v>26</v>
      </c>
      <c r="AL6">
        <v>27</v>
      </c>
      <c r="AM6">
        <v>28</v>
      </c>
      <c r="AN6">
        <v>29</v>
      </c>
      <c r="AO6">
        <v>30</v>
      </c>
      <c r="AP6">
        <v>31</v>
      </c>
      <c r="AQ6">
        <v>32</v>
      </c>
      <c r="AR6">
        <v>33</v>
      </c>
      <c r="AS6" s="330">
        <v>34</v>
      </c>
    </row>
    <row r="7" spans="4:45" x14ac:dyDescent="0.35">
      <c r="D7" t="s">
        <v>310</v>
      </c>
      <c r="L7" t="s">
        <v>321</v>
      </c>
      <c r="M7" t="s">
        <v>322</v>
      </c>
      <c r="N7" t="s">
        <v>306</v>
      </c>
      <c r="O7" t="s">
        <v>307</v>
      </c>
      <c r="P7" t="s">
        <v>308</v>
      </c>
      <c r="Q7" t="s">
        <v>309</v>
      </c>
      <c r="R7" t="s">
        <v>311</v>
      </c>
      <c r="S7" t="s">
        <v>312</v>
      </c>
      <c r="T7" t="s">
        <v>313</v>
      </c>
      <c r="U7" t="s">
        <v>314</v>
      </c>
      <c r="V7" t="s">
        <v>315</v>
      </c>
      <c r="W7" t="s">
        <v>316</v>
      </c>
      <c r="X7" t="s">
        <v>317</v>
      </c>
      <c r="Y7" t="s">
        <v>318</v>
      </c>
      <c r="Z7" t="s">
        <v>261</v>
      </c>
      <c r="AA7" t="s">
        <v>262</v>
      </c>
      <c r="AB7" t="s">
        <v>165</v>
      </c>
      <c r="AC7" t="s">
        <v>319</v>
      </c>
      <c r="AD7" t="s">
        <v>168</v>
      </c>
      <c r="AE7" t="s">
        <v>320</v>
      </c>
      <c r="AF7" t="s">
        <v>323</v>
      </c>
      <c r="AG7" t="s">
        <v>324</v>
      </c>
      <c r="AH7" t="s">
        <v>325</v>
      </c>
      <c r="AI7" t="s">
        <v>326</v>
      </c>
      <c r="AJ7" t="s">
        <v>327</v>
      </c>
      <c r="AK7" t="s">
        <v>328</v>
      </c>
      <c r="AL7" t="s">
        <v>331</v>
      </c>
      <c r="AM7" t="s">
        <v>329</v>
      </c>
      <c r="AN7" t="s">
        <v>330</v>
      </c>
      <c r="AO7" t="s">
        <v>161</v>
      </c>
      <c r="AP7" t="s">
        <v>332</v>
      </c>
      <c r="AQ7" t="s">
        <v>333</v>
      </c>
      <c r="AR7" t="s">
        <v>334</v>
      </c>
      <c r="AS7" t="s">
        <v>335</v>
      </c>
    </row>
    <row r="8" spans="4:45" x14ac:dyDescent="0.35">
      <c r="D8" t="s">
        <v>321</v>
      </c>
      <c r="K8" t="str">
        <f ca="1">'Output FS&amp;R'!C16</f>
        <v>ORICA LIMITED</v>
      </c>
      <c r="L8" s="324">
        <f ca="1">'Output TM'!H14</f>
        <v>15.71</v>
      </c>
      <c r="M8" s="325">
        <f ca="1">'Output TM'!I14</f>
        <v>0.82836804640126549</v>
      </c>
      <c r="N8" s="324" cm="1">
        <f t="array" aca="1" ref="N8:N11" ca="1">'Output FS&amp;R'!K16:K19</f>
        <v>7685.6750000000002</v>
      </c>
      <c r="O8" s="324" cm="1">
        <f t="array" aca="1" ref="O8:O11" ca="1">'Output FS&amp;R'!L16:L19</f>
        <v>9560.0266617600009</v>
      </c>
      <c r="P8" s="324" cm="1">
        <f t="array" aca="1" ref="P8:P11" ca="1">'Output FS&amp;R'!N16:N19</f>
        <v>7662.8</v>
      </c>
      <c r="Q8" s="324" cm="1">
        <f t="array" aca="1" ref="Q8:Q11" ca="1">'Output FS&amp;R'!O16:O19</f>
        <v>1110.0999999999999</v>
      </c>
      <c r="R8" s="324" cm="1">
        <f t="array" aca="1" ref="R8:R11" ca="1">'Output FS&amp;R'!P16:P19</f>
        <v>524.5999999999998</v>
      </c>
      <c r="S8" s="325" cm="1">
        <f t="array" aca="1" ref="S8:S11" ca="1">'Output FS&amp;R'!R16:R19</f>
        <v>0.40523046406013463</v>
      </c>
      <c r="T8" s="325" cm="1">
        <f t="array" aca="1" ref="T8:T11" ca="1">'Output FS&amp;R'!S16:S19</f>
        <v>0.14486871639609541</v>
      </c>
      <c r="U8" s="325" cm="1">
        <f t="array" aca="1" ref="U8:U11" ca="1">'Output FS&amp;R'!T16:T19</f>
        <v>6.84606149188286E-2</v>
      </c>
      <c r="V8" s="325" cm="1">
        <f t="array" aca="1" ref="V8:V11" ca="1">'Output FS&amp;R'!V16:V19</f>
        <v>-3.5555611493587436E-2</v>
      </c>
      <c r="W8" s="325" cm="1">
        <f t="array" aca="1" ref="W8:W11" ca="1">'Output FS&amp;R'!W16:W19</f>
        <v>6.6959999999999908E-2</v>
      </c>
      <c r="X8" s="325" cm="1">
        <f t="array" aca="1" ref="X8:X11" ca="1">'Output FS&amp;R'!X16:X19</f>
        <v>0.13275510204081575</v>
      </c>
      <c r="Y8" s="325" cm="1">
        <f t="array" aca="1" ref="Y8:Y11" ca="1">'Output FS&amp;R'!Y16:Y19</f>
        <v>0.10153999999999996</v>
      </c>
      <c r="Z8" s="325" cm="1">
        <f t="array" aca="1" ref="Z8:Z11" ca="1">'Output FS&amp;R'!AA16:AA19</f>
        <v>7.5485363106386955E-2</v>
      </c>
      <c r="AA8" s="325" cm="1">
        <f t="array" aca="1" ref="AA8:AA11" ca="1">'Output FS&amp;R'!AB16:AB19</f>
        <v>0.11764969724153393</v>
      </c>
      <c r="AB8" s="326" cm="1">
        <f t="array" aca="1" ref="AB8:AB11" ca="1">'Output FS&amp;R'!AD16:AD19</f>
        <v>1.7478605531033242</v>
      </c>
      <c r="AC8" s="325" cm="1">
        <f t="array" aca="1" ref="AC8:AC11" ca="1">'Output FS&amp;R'!AE16:AE19</f>
        <v>0.31226403506675521</v>
      </c>
      <c r="AD8" s="326" cm="1">
        <f t="array" aca="1" ref="AD8:AD11" ca="1">'Output FS&amp;R'!AG16:AG19</f>
        <v>5.8059623430962342</v>
      </c>
      <c r="AE8" s="326" cm="1">
        <f t="array" aca="1" ref="AE8:AE11" ca="1">'Output FS&amp;R'!AH16:AH19</f>
        <v>3.5292887029288704</v>
      </c>
      <c r="AF8" s="326" cm="1">
        <f t="array" aca="1" ref="AF8:AF11" ca="1">'Output TM'!N14:N17</f>
        <v>1.2475892182700841</v>
      </c>
      <c r="AG8" s="326" cm="1">
        <f t="array" aca="1" ref="AG8:AG11" ca="1">'Output TM'!O14:O17</f>
        <v>1.1692933364606772</v>
      </c>
      <c r="AH8" s="326" cm="1">
        <f t="array" aca="1" ref="AH8:AH11" ca="1">'Output TM'!P14:P17</f>
        <v>1.0959111273718578</v>
      </c>
      <c r="AI8" s="326" cm="1">
        <f t="array" aca="1" ref="AI8:AI11" ca="1">'Output TM'!R14:R17</f>
        <v>8.6118607889019021</v>
      </c>
      <c r="AJ8" s="326" cm="1">
        <f t="array" aca="1" ref="AJ8:AJ11" ca="1">'Output TM'!S14:S17</f>
        <v>7.8180191267697063</v>
      </c>
      <c r="AK8" s="326" cm="1">
        <f t="array" aca="1" ref="AK8:AK11" ca="1">'Output TM'!T14:T17</f>
        <v>7.0973538198973323</v>
      </c>
      <c r="AL8" s="326" cm="1">
        <f t="array" aca="1" ref="AL8:AL11" ca="1">'Output TM'!V14:V17</f>
        <v>12.161336549751944</v>
      </c>
      <c r="AM8" s="326" cm="1">
        <f t="array" aca="1" ref="AM8:AM11" ca="1">'Output TM'!W14:W17</f>
        <v>10.885355211822151</v>
      </c>
      <c r="AN8" s="326" cm="1">
        <f t="array" aca="1" ref="AN8:AN11" ca="1">'Output TM'!X14:X17</f>
        <v>9.743251295019915</v>
      </c>
      <c r="AO8" s="326" cm="1">
        <f t="array" aca="1" ref="AO8:AO11" ca="1">'Output TM'!AA14:AA17</f>
        <v>2.2709665795874248</v>
      </c>
      <c r="AP8" s="326" cm="1">
        <f t="array" aca="1" ref="AP8:AP11" ca="1">'Output TM'!AB14:AB17</f>
        <v>14.355941025085786</v>
      </c>
      <c r="AQ8" s="326" cm="1">
        <f t="array" aca="1" ref="AQ8:AQ11" ca="1">'Output TM'!AC14:AC17</f>
        <v>13.25938951240952</v>
      </c>
      <c r="AR8" s="326" cm="1">
        <f t="array" aca="1" ref="AR8:AR11" ca="1">'Output TM'!AD14:AD17</f>
        <v>12.246596021436703</v>
      </c>
      <c r="AS8" s="325" cm="1">
        <f t="array" ref="AS8:AS11">'Output TM'!AE14:AE17</f>
        <v>0.1</v>
      </c>
    </row>
    <row r="9" spans="4:45" x14ac:dyDescent="0.35">
      <c r="D9" t="s">
        <v>322</v>
      </c>
      <c r="K9" t="str">
        <f ca="1">'Output FS&amp;R'!C17</f>
        <v>FLETCHER BUILDING LIMITED</v>
      </c>
      <c r="L9" s="324">
        <f ca="1">'Output TM'!H15</f>
        <v>2.9950000000000001</v>
      </c>
      <c r="M9" s="325">
        <f ca="1">'Output TM'!I15</f>
        <v>0.83870064407728928</v>
      </c>
      <c r="N9" s="324">
        <f ca="1"/>
        <v>3407.4250000000002</v>
      </c>
      <c r="O9" s="324">
        <f ca="1"/>
        <v>3830.2655000000004</v>
      </c>
      <c r="P9" s="324">
        <f ca="1"/>
        <v>6898.6890000000003</v>
      </c>
      <c r="Q9" s="324">
        <f ca="1"/>
        <v>561.69449999999995</v>
      </c>
      <c r="R9" s="324">
        <f ca="1"/>
        <v>-213.60000000000019</v>
      </c>
      <c r="S9" s="325">
        <f ca="1"/>
        <v>0.27265236186458408</v>
      </c>
      <c r="T9" s="325">
        <f ca="1"/>
        <v>7.1323551391257151E-2</v>
      </c>
      <c r="U9" s="325">
        <f ca="1"/>
        <v>-3.2680620213882322E-2</v>
      </c>
      <c r="V9" s="325">
        <f ca="1"/>
        <v>5.2090115900504941E-4</v>
      </c>
      <c r="W9" s="325">
        <f ca="1"/>
        <v>-2.0079999999999987E-2</v>
      </c>
      <c r="X9" s="325">
        <f ca="1"/>
        <v>-0.2583333333333333</v>
      </c>
      <c r="Y9" s="325">
        <f ca="1"/>
        <v>3.9080000000000004E-2</v>
      </c>
      <c r="Z9" s="325">
        <f ca="1"/>
        <v>1.5230732845832349E-2</v>
      </c>
      <c r="AA9" s="325">
        <f ca="1"/>
        <v>-5.8511755151314987E-2</v>
      </c>
      <c r="AB9" s="326">
        <f ca="1"/>
        <v>2.2189054726368163</v>
      </c>
      <c r="AC9" s="325">
        <f ca="1"/>
        <v>0.46499321271571786</v>
      </c>
      <c r="AD9" s="326">
        <f ca="1"/>
        <v>2.5230125523012545</v>
      </c>
      <c r="AE9" s="326">
        <f ca="1"/>
        <v>0.9330543933054386</v>
      </c>
      <c r="AF9" s="326">
        <f ca="1"/>
        <v>0.55521643315128433</v>
      </c>
      <c r="AG9" s="326">
        <f ca="1"/>
        <v>0.54616587898996116</v>
      </c>
      <c r="AH9" s="326">
        <f ca="1"/>
        <v>0.55735761999955213</v>
      </c>
      <c r="AI9" s="326">
        <f ca="1"/>
        <v>6.8191258771449617</v>
      </c>
      <c r="AJ9" s="326">
        <f ca="1"/>
        <v>5.5579807741528615</v>
      </c>
      <c r="AK9" s="326">
        <f ca="1"/>
        <v>5.3489440410294309</v>
      </c>
      <c r="AL9" s="326">
        <f ca="1"/>
        <v>9.303015619724917</v>
      </c>
      <c r="AM9" s="326">
        <f ca="1"/>
        <v>5.4748876889661426</v>
      </c>
      <c r="AN9" s="326">
        <f ca="1"/>
        <v>3.9291008374834173</v>
      </c>
      <c r="AO9" s="326">
        <f ca="1"/>
        <v>2.5538971807628528</v>
      </c>
      <c r="AP9" s="326">
        <f ca="1"/>
        <v>-12.049028514714495</v>
      </c>
      <c r="AQ9" s="326">
        <f ca="1"/>
        <v>-16.34521189450281</v>
      </c>
      <c r="AR9" s="326">
        <f ca="1"/>
        <v>-24.011652213102028</v>
      </c>
      <c r="AS9" s="325">
        <v>0.57599999999999996</v>
      </c>
    </row>
    <row r="10" spans="4:45" x14ac:dyDescent="0.35">
      <c r="D10" t="s">
        <v>306</v>
      </c>
      <c r="K10" t="str">
        <f ca="1">'Output FS&amp;R'!C18</f>
        <v>MAAS Group Holdings Ltd</v>
      </c>
      <c r="L10" s="324">
        <f ca="1">'Output TM'!H16</f>
        <v>3.7650000000000001</v>
      </c>
      <c r="M10" s="325">
        <f ca="1">'Output TM'!I16</f>
        <v>0.74554455445544554</v>
      </c>
      <c r="N10" s="324">
        <f ca="1"/>
        <v>1371.2750000000001</v>
      </c>
      <c r="O10" s="324">
        <f ca="1"/>
        <v>1713.5065539450002</v>
      </c>
      <c r="P10" s="324">
        <f ca="1"/>
        <v>909.80600000000004</v>
      </c>
      <c r="Q10" s="324">
        <f ca="1"/>
        <v>154.34799999999993</v>
      </c>
      <c r="R10" s="324">
        <f ca="1"/>
        <v>69.946999999999917</v>
      </c>
      <c r="S10" s="325">
        <f ca="1"/>
        <v>0.51303254219003125</v>
      </c>
      <c r="T10" s="325">
        <f ca="1"/>
        <v>0.16183427873183995</v>
      </c>
      <c r="U10" s="325">
        <f ca="1"/>
        <v>7.3905177311390388E-2</v>
      </c>
      <c r="V10" s="325">
        <f ca="1"/>
        <v>0.13616127257265775</v>
      </c>
      <c r="W10" s="325">
        <f ca="1"/>
        <v>0.48592573077884293</v>
      </c>
      <c r="X10" s="325">
        <f ca="1"/>
        <v>0.37274392726285743</v>
      </c>
      <c r="Y10" s="325">
        <f ca="1"/>
        <v>0.43514077512991012</v>
      </c>
      <c r="Z10" s="325">
        <f ca="1"/>
        <v>3.2183727794836144E-2</v>
      </c>
      <c r="AA10" s="325">
        <f ca="1"/>
        <v>8.4399686760566001E-2</v>
      </c>
      <c r="AB10" s="326">
        <f ca="1"/>
        <v>2.8768043641640979</v>
      </c>
      <c r="AC10" s="325">
        <f ca="1"/>
        <v>0.37343963833193022</v>
      </c>
      <c r="AD10" s="326">
        <f ca="1"/>
        <v>3.9947202236140562</v>
      </c>
      <c r="AE10" s="326">
        <f ca="1"/>
        <v>2.9898804285936103</v>
      </c>
      <c r="AF10" s="326">
        <f ca="1"/>
        <v>1.8833757459777141</v>
      </c>
      <c r="AG10" s="326">
        <f ca="1"/>
        <v>1.2692704651551128</v>
      </c>
      <c r="AH10" s="326">
        <f ca="1"/>
        <v>0.85419509122426274</v>
      </c>
      <c r="AI10" s="326">
        <f ca="1"/>
        <v>11.101579249131838</v>
      </c>
      <c r="AJ10" s="326">
        <f ca="1"/>
        <v>7.3768881016463386</v>
      </c>
      <c r="AK10" s="326">
        <f ca="1"/>
        <v>5.1401843146562234</v>
      </c>
      <c r="AL10" s="326">
        <f ca="1"/>
        <v>16.699216001802956</v>
      </c>
      <c r="AM10" s="326">
        <f ca="1"/>
        <v>10.611254196611911</v>
      </c>
      <c r="AN10" s="326">
        <f ca="1"/>
        <v>7.5037705028585977</v>
      </c>
      <c r="AO10" s="326">
        <f ca="1"/>
        <v>3.4305012050690662</v>
      </c>
      <c r="AP10" s="326">
        <f ca="1"/>
        <v>17.993176844451739</v>
      </c>
      <c r="AQ10" s="326">
        <f ca="1"/>
        <v>14.894267858387494</v>
      </c>
      <c r="AR10" s="326">
        <f ca="1"/>
        <v>12.911013338056339</v>
      </c>
      <c r="AS10" s="325">
        <v>0.189</v>
      </c>
    </row>
    <row r="11" spans="4:45" x14ac:dyDescent="0.35">
      <c r="D11" t="s">
        <v>307</v>
      </c>
      <c r="K11" t="str">
        <f ca="1">'Output FS&amp;R'!C19</f>
        <v>NRW HOLDINGS LIMITED</v>
      </c>
      <c r="L11" s="324">
        <f ca="1">'Output TM'!H17</f>
        <v>2.42</v>
      </c>
      <c r="M11" s="325">
        <f ca="1">'Output TM'!I17</f>
        <v>0.60124223602484461</v>
      </c>
      <c r="N11" s="324">
        <f ca="1"/>
        <v>1092.6890000000001</v>
      </c>
      <c r="O11" s="324">
        <f ca="1"/>
        <v>1313.6668658400001</v>
      </c>
      <c r="P11" s="324">
        <f ca="1"/>
        <v>3141.3180000000002</v>
      </c>
      <c r="Q11" s="324">
        <f ca="1"/>
        <v>325.95200000000006</v>
      </c>
      <c r="R11" s="324">
        <f ca="1"/>
        <v>115.14600000000013</v>
      </c>
      <c r="S11" s="325">
        <f ca="1"/>
        <v>0.48246643242465959</v>
      </c>
      <c r="T11" s="325">
        <f ca="1"/>
        <v>0.10781587299477306</v>
      </c>
      <c r="U11" s="325">
        <f ca="1"/>
        <v>3.8145056070721425E-2</v>
      </c>
      <c r="V11" s="325">
        <f ca="1"/>
        <v>9.2531094215153376E-2</v>
      </c>
      <c r="W11" s="325">
        <f ca="1"/>
        <v>0.14898062778167809</v>
      </c>
      <c r="X11" s="325">
        <f ca="1"/>
        <v>0.14074882885421358</v>
      </c>
      <c r="Y11" s="325">
        <f ca="1"/>
        <v>6.090768094005039E-2</v>
      </c>
      <c r="Z11" s="325">
        <f ca="1"/>
        <v>0.1443340088416068</v>
      </c>
      <c r="AA11" s="325">
        <f ca="1"/>
        <v>0.17286204334086475</v>
      </c>
      <c r="AB11" s="326">
        <f ca="1"/>
        <v>0.48840933634400141</v>
      </c>
      <c r="AC11" s="325">
        <f ca="1"/>
        <v>0.29593664173867323</v>
      </c>
      <c r="AD11" s="326">
        <f ca="1"/>
        <v>12.669646674699734</v>
      </c>
      <c r="AE11" s="326">
        <f ca="1"/>
        <v>5.1414078594472743</v>
      </c>
      <c r="AF11" s="326">
        <f ca="1"/>
        <v>0.41818971076471723</v>
      </c>
      <c r="AG11" s="326">
        <f ca="1"/>
        <v>0.39207251946606164</v>
      </c>
      <c r="AH11" s="326">
        <f ca="1"/>
        <v>0.3412351000408344</v>
      </c>
      <c r="AI11" s="326">
        <f ca="1"/>
        <v>4.0302463732083247</v>
      </c>
      <c r="AJ11" s="326">
        <f ca="1"/>
        <v>4.2480969688160224</v>
      </c>
      <c r="AK11" s="326">
        <f ca="1"/>
        <v>4.0042098338395125</v>
      </c>
      <c r="AL11" s="326">
        <f ca="1"/>
        <v>7.2968520365268361</v>
      </c>
      <c r="AM11" s="326">
        <f ca="1"/>
        <v>6.6648433435785606</v>
      </c>
      <c r="AN11" s="326">
        <f ca="1"/>
        <v>5.5158845846052804</v>
      </c>
      <c r="AO11" s="326">
        <f ca="1"/>
        <v>1.3609764627920673</v>
      </c>
      <c r="AP11" s="326">
        <f ca="1"/>
        <v>9.7004624780783164</v>
      </c>
      <c r="AQ11" s="326">
        <f ca="1"/>
        <v>8.7409760935843828</v>
      </c>
      <c r="AR11" s="326">
        <f ca="1"/>
        <v>7.1818060090250437</v>
      </c>
      <c r="AS11" s="325">
        <v>0.13900000000000001</v>
      </c>
    </row>
    <row r="12" spans="4:45" x14ac:dyDescent="0.35">
      <c r="D12" t="s">
        <v>308</v>
      </c>
      <c r="K12" t="str">
        <f ca="1">'Output FS&amp;R'!C26</f>
        <v>EMECO HOLDINGS LIMITED</v>
      </c>
      <c r="L12" s="324">
        <f ca="1">+'Output TM'!H24</f>
        <v>0.73</v>
      </c>
      <c r="M12" s="325">
        <f ca="1">+'Output TM'!I24</f>
        <v>0.73</v>
      </c>
      <c r="N12" s="324" cm="1">
        <f t="array" aca="1" ref="N12:N15" ca="1">'Output FS&amp;R'!K26:K29</f>
        <v>383.59730000000002</v>
      </c>
      <c r="O12" s="324" cm="1">
        <f t="array" aca="1" ref="O12:O15" ca="1">'Output FS&amp;R'!L26:L29</f>
        <v>657.10158564000005</v>
      </c>
      <c r="P12" s="324" cm="1">
        <f t="array" ref="P12:P15">'Output FS&amp;R'!N26:N29</f>
        <v>775.51599999999996</v>
      </c>
      <c r="Q12" s="324" cm="1">
        <f t="array" ref="Q12:Q15">'Output FS&amp;R'!O26:O29</f>
        <v>263.02599999999984</v>
      </c>
      <c r="R12" s="324" cm="1">
        <f t="array" ref="R12:R15">'Output FS&amp;R'!P26:P29</f>
        <v>66.836999999999932</v>
      </c>
      <c r="S12" s="325" cm="1">
        <f t="array" ref="S12:S15">'Output FS&amp;R'!R26:R29</f>
        <v>0.577004355205054</v>
      </c>
      <c r="T12" s="325" cm="1">
        <f t="array" ref="T12:T15">'Output FS&amp;R'!S26:S29</f>
        <v>0.36916514120441435</v>
      </c>
      <c r="U12" s="325" cm="1">
        <f t="array" ref="U12:U15">'Output FS&amp;R'!T26:T29</f>
        <v>0.10605340087918079</v>
      </c>
      <c r="V12" s="325" cm="1">
        <f t="array" ref="V12:V15">'Output FS&amp;R'!V26:V29</f>
        <v>-5.9650229678929634E-2</v>
      </c>
      <c r="W12" s="325" cm="1">
        <f t="array" ref="W12:W15">'Output FS&amp;R'!W26:W29</f>
        <v>0.12549999999999994</v>
      </c>
      <c r="X12" s="325" cm="1">
        <f t="array" ref="X12:X15">'Output FS&amp;R'!X26:X29</f>
        <v>0.23743301427240837</v>
      </c>
      <c r="Y12" s="325" cm="1">
        <f t="array" ref="Y12:Y15">'Output FS&amp;R'!Y26:Y29</f>
        <v>8.4799999999999986E-2</v>
      </c>
      <c r="Z12" s="325" cm="1">
        <f t="array" ref="Z12:Z15">'Output FS&amp;R'!AA26:AA29</f>
        <v>7.7303106573808386E-2</v>
      </c>
      <c r="AA12" s="325" cm="1">
        <f t="array" ref="AA12:AA15">'Output FS&amp;R'!AB26:AB29</f>
        <v>9.9445171023911552E-2</v>
      </c>
      <c r="AB12" s="326" cm="1">
        <f t="array" ref="AB12:AB15">'Output FS&amp;R'!AD26:AD29</f>
        <v>0.92075688334993555</v>
      </c>
      <c r="AC12" s="325" cm="1">
        <f t="array" aca="1" ref="AC12:AC15" ca="1">'Output FS&amp;R'!AE26:AE29</f>
        <v>0.7779558796673498</v>
      </c>
      <c r="AD12" s="326" cm="1">
        <f t="array" ref="AD12:AD15">'Output FS&amp;R'!AG26:AG29</f>
        <v>9.6124693929759104</v>
      </c>
      <c r="AE12" s="326" cm="1">
        <f t="array" ref="AE12:AE15">'Output FS&amp;R'!AH26:AH29</f>
        <v>2.8186602346233909</v>
      </c>
      <c r="AF12" s="326" cm="1">
        <f t="array" aca="1" ref="AF12:AF15" ca="1">'Output TM'!N24:N27</f>
        <v>0.84730887001686628</v>
      </c>
      <c r="AG12" s="326" cm="1">
        <f t="array" aca="1" ref="AG12:AG15" ca="1">'Output TM'!O24:O27</f>
        <v>0.70962799124755538</v>
      </c>
      <c r="AH12" s="326" cm="1">
        <f t="array" aca="1" ref="AH12:AH15" ca="1">'Output TM'!P24:P27</f>
        <v>0.6305002143470062</v>
      </c>
      <c r="AI12" s="326" cm="1">
        <f t="array" aca="1" ref="AI12:AI15" ca="1">'Output TM'!R24:R27</f>
        <v>2.498238142388967</v>
      </c>
      <c r="AJ12" s="326" cm="1">
        <f t="array" aca="1" ref="AJ12:AJ15" ca="1">'Output TM'!S24:S27</f>
        <v>2.3869081840535293</v>
      </c>
      <c r="AK12" s="326" cm="1">
        <f t="array" aca="1" ref="AK12:AK15" ca="1">'Output TM'!T24:T27</f>
        <v>2.200320966126041</v>
      </c>
      <c r="AL12" s="326" cm="1">
        <f t="array" aca="1" ref="AL12:AL15" ca="1">'Output TM'!V24:V27</f>
        <v>5.2879055698708441</v>
      </c>
      <c r="AM12" s="326" cm="1">
        <f t="array" aca="1" ref="AM12:AM15" ca="1">'Output TM'!W24:W27</f>
        <v>5.2872659496111805</v>
      </c>
      <c r="AN12" s="326" cm="1">
        <f t="array" aca="1" ref="AN12:AN15" ca="1">'Output TM'!X24:X27</f>
        <v>4.943217978320102</v>
      </c>
      <c r="AO12" s="326" cm="1">
        <f t="array" ref="AO12:AO15">'Output TM'!AA24:AA27</f>
        <v>1.3397040596747098</v>
      </c>
      <c r="AP12" s="326" cm="1">
        <f t="array" aca="1" ref="AP12:AP15" ca="1">'Output TM'!AB24:AB27</f>
        <v>5.7402137627697645</v>
      </c>
      <c r="AQ12" s="326" cm="1">
        <f t="array" aca="1" ref="AQ12:AQ15" ca="1">'Output TM'!AC24:AC27</f>
        <v>5.367435258141426</v>
      </c>
      <c r="AR12" s="326" cm="1">
        <f t="array" aca="1" ref="AR12:AR15" ca="1">'Output TM'!AD24:AD27</f>
        <v>3.961206832576698</v>
      </c>
      <c r="AS12" s="325" cm="1">
        <f t="array" ref="AS12:AS15">'Output TM'!AE24:AE27</f>
        <v>0.107</v>
      </c>
    </row>
    <row r="13" spans="4:45" x14ac:dyDescent="0.35">
      <c r="D13" t="s">
        <v>309</v>
      </c>
      <c r="K13" t="str">
        <f ca="1">'Output FS&amp;R'!C27</f>
        <v>WAGNERS HOLDING COMPANY LTD</v>
      </c>
      <c r="L13" s="324">
        <f ca="1">+'Output TM'!H25</f>
        <v>1.595</v>
      </c>
      <c r="M13" s="325">
        <f ca="1">+'Output TM'!I25</f>
        <v>0.84840425531914898</v>
      </c>
      <c r="N13" s="324">
        <f ca="1"/>
        <v>316.14940000000001</v>
      </c>
      <c r="O13" s="324">
        <f ca="1"/>
        <v>473.52675979000003</v>
      </c>
      <c r="P13" s="324">
        <v>442.423</v>
      </c>
      <c r="Q13" s="324">
        <v>59.153000000000006</v>
      </c>
      <c r="R13" s="324">
        <v>19.810999999999996</v>
      </c>
      <c r="S13" s="325">
        <v>0.36909363932810763</v>
      </c>
      <c r="T13" s="325">
        <v>0.14829303619164053</v>
      </c>
      <c r="U13" s="325">
        <v>6.5476806903116538E-2</v>
      </c>
      <c r="V13" s="325">
        <v>1.3023396683576882E-2</v>
      </c>
      <c r="W13" s="325">
        <v>0.16264000000000012</v>
      </c>
      <c r="X13" s="325">
        <v>0.52646962412587373</v>
      </c>
      <c r="Y13" s="325">
        <v>0.16921999999999993</v>
      </c>
      <c r="Z13" s="325">
        <v>7.5020014168824589E-2</v>
      </c>
      <c r="AA13" s="325">
        <v>0.13679456992328565</v>
      </c>
      <c r="AB13" s="326">
        <v>2.8253850185113176</v>
      </c>
      <c r="AC13" s="325">
        <f ca="1"/>
        <v>0.55971544907178594</v>
      </c>
      <c r="AD13" s="326">
        <v>4.9750210260723309</v>
      </c>
      <c r="AE13" s="326">
        <v>2.9173254835996643</v>
      </c>
      <c r="AF13" s="326">
        <f ca="1"/>
        <v>1.0703032161302646</v>
      </c>
      <c r="AG13" s="326">
        <f ca="1"/>
        <v>0.84561584418943558</v>
      </c>
      <c r="AH13" s="326">
        <f ca="1"/>
        <v>0.72732388717869301</v>
      </c>
      <c r="AI13" s="326">
        <f ca="1"/>
        <v>8.0051182491166966</v>
      </c>
      <c r="AJ13" s="326">
        <f ca="1"/>
        <v>7.2474315443709543</v>
      </c>
      <c r="AK13" s="326">
        <f ca="1"/>
        <v>6.1985182808803758</v>
      </c>
      <c r="AL13" s="326">
        <f ca="1"/>
        <v>11.685382617032303</v>
      </c>
      <c r="AM13" s="326">
        <f ca="1"/>
        <v>9.2516044147872822</v>
      </c>
      <c r="AN13" s="326">
        <f ca="1"/>
        <v>6.5539844253239465</v>
      </c>
      <c r="AO13" s="326">
        <v>3.2033878247933325</v>
      </c>
      <c r="AP13" s="326">
        <f ca="1"/>
        <v>15.47586739436205</v>
      </c>
      <c r="AQ13" s="326">
        <f ca="1"/>
        <v>12.616432084597758</v>
      </c>
      <c r="AR13" s="326">
        <f ca="1"/>
        <v>5.3555903999141492</v>
      </c>
      <c r="AS13" s="325">
        <v>0.246</v>
      </c>
    </row>
    <row r="14" spans="4:45" x14ac:dyDescent="0.35">
      <c r="D14" t="s">
        <v>311</v>
      </c>
      <c r="K14" t="str">
        <f ca="1">'Output FS&amp;R'!C28</f>
        <v>MLG OZ LIMITED</v>
      </c>
      <c r="L14" s="324">
        <f ca="1">+'Output TM'!H26</f>
        <v>0.6</v>
      </c>
      <c r="M14" s="325">
        <f ca="1">+'Output TM'!I26</f>
        <v>0.67039106145251393</v>
      </c>
      <c r="N14" s="324">
        <f ca="1"/>
        <v>88.5715</v>
      </c>
      <c r="O14" s="324">
        <f ca="1"/>
        <v>181.11646539999998</v>
      </c>
      <c r="P14" s="324">
        <v>521.35446899999999</v>
      </c>
      <c r="Q14" s="324">
        <v>53.209602000000025</v>
      </c>
      <c r="R14" s="324">
        <v>10.804683000000036</v>
      </c>
      <c r="S14" s="325">
        <v>0.34388771747014008</v>
      </c>
      <c r="T14" s="325">
        <v>9.4086017985616902E-2</v>
      </c>
      <c r="U14" s="325">
        <v>1.4962932337336577E-2</v>
      </c>
      <c r="V14" s="325">
        <v>0.23708723551701416</v>
      </c>
      <c r="W14" s="325">
        <v>0.22645810028445901</v>
      </c>
      <c r="X14" s="325">
        <v>0.5557852258815752</v>
      </c>
      <c r="Y14" s="325">
        <v>0.10540621233055703</v>
      </c>
      <c r="Z14" s="325">
        <v>6.5501948728464265E-2</v>
      </c>
      <c r="AA14" s="325">
        <v>7.955603850993416E-2</v>
      </c>
      <c r="AB14" s="326">
        <v>1.5408412188461764</v>
      </c>
      <c r="AC14" s="325">
        <f ca="1"/>
        <v>0.45755266067405648</v>
      </c>
      <c r="AD14" s="326">
        <v>13.963004191294331</v>
      </c>
      <c r="AE14" s="326">
        <v>7.2882926642377583</v>
      </c>
      <c r="AF14" s="326">
        <f ca="1"/>
        <v>0.34739601589566499</v>
      </c>
      <c r="AG14" s="326">
        <f ca="1"/>
        <v>0.31099218224182668</v>
      </c>
      <c r="AH14" s="326">
        <f ca="1"/>
        <v>0.25356934914425255</v>
      </c>
      <c r="AI14" s="326">
        <f ca="1"/>
        <v>3.403830485332326</v>
      </c>
      <c r="AJ14" s="326">
        <f ca="1"/>
        <v>3.1850358856032837</v>
      </c>
      <c r="AK14" s="326">
        <f ca="1"/>
        <v>2.8813262039555472</v>
      </c>
      <c r="AL14" s="326">
        <f ca="1"/>
        <v>9.9568494422636942</v>
      </c>
      <c r="AM14" s="326">
        <f ca="1"/>
        <v>9.0135306517550671</v>
      </c>
      <c r="AN14" s="326">
        <f ca="1"/>
        <v>9.239894992102645</v>
      </c>
      <c r="AO14" s="326">
        <v>1.563518028193482</v>
      </c>
      <c r="AP14" s="326">
        <f ca="1"/>
        <v>9.7182924235885473</v>
      </c>
      <c r="AQ14" s="326">
        <f ca="1"/>
        <v>9.4098730080406945</v>
      </c>
      <c r="AR14" s="326">
        <f ca="1"/>
        <v>11.008309255923411</v>
      </c>
      <c r="AS14" s="325">
        <v>0.40600000000000003</v>
      </c>
    </row>
    <row r="15" spans="4:45" x14ac:dyDescent="0.35">
      <c r="D15" t="s">
        <v>312</v>
      </c>
      <c r="K15" t="str">
        <f ca="1">'Output FS&amp;R'!C29</f>
        <v>MACMAHON HOLDINGS LIMITED</v>
      </c>
      <c r="L15" s="324">
        <f ca="1">+'Output TM'!H27</f>
        <v>0.26500000000000001</v>
      </c>
      <c r="M15" s="325">
        <f ca="1">+'Output TM'!I27</f>
        <v>0.67430025445292618</v>
      </c>
      <c r="N15" s="324">
        <f ca="1"/>
        <v>549.52139999999997</v>
      </c>
      <c r="O15" s="324">
        <f ca="1"/>
        <v>809.38787066500004</v>
      </c>
      <c r="P15" s="324">
        <v>2243.6220000000003</v>
      </c>
      <c r="Q15" s="324">
        <v>216.24899999999997</v>
      </c>
      <c r="R15" s="324">
        <v>46.709999999999958</v>
      </c>
      <c r="S15" s="325">
        <v>0.73436241699706828</v>
      </c>
      <c r="T15" s="325">
        <v>7.4271151284449166E-2</v>
      </c>
      <c r="U15" s="325">
        <v>1.3863304722450759E-2</v>
      </c>
      <c r="V15" s="325">
        <v>6.5635443170789287E-2</v>
      </c>
      <c r="W15" s="325">
        <v>3.4320037324566677E-2</v>
      </c>
      <c r="X15" s="325">
        <v>-1.114981937844195E-2</v>
      </c>
      <c r="Y15" s="325">
        <v>8.9446723805812089E-2</v>
      </c>
      <c r="Z15" s="325">
        <v>8.6085600791715927E-2</v>
      </c>
      <c r="AA15" s="325">
        <v>6.983743471896818E-2</v>
      </c>
      <c r="AB15" s="326">
        <v>1.0954917710602132</v>
      </c>
      <c r="AC15" s="325">
        <f ca="1"/>
        <v>0.61128000548464601</v>
      </c>
      <c r="AD15" s="326">
        <v>6.9288369112463943</v>
      </c>
      <c r="AE15" s="326">
        <v>2.3389298301826318</v>
      </c>
      <c r="AF15" s="326">
        <f ca="1"/>
        <v>0.36075055007706286</v>
      </c>
      <c r="AG15" s="326">
        <f ca="1"/>
        <v>0.38524412422145932</v>
      </c>
      <c r="AH15" s="326">
        <f ca="1"/>
        <v>0.37246124054403368</v>
      </c>
      <c r="AI15" s="326">
        <f ca="1"/>
        <v>3.7428513919833164</v>
      </c>
      <c r="AJ15" s="326">
        <f ca="1"/>
        <v>3.4530052050006983</v>
      </c>
      <c r="AK15" s="326">
        <f ca="1"/>
        <v>3.1695035007661172</v>
      </c>
      <c r="AL15" s="326">
        <f ca="1"/>
        <v>7.9719870250371843</v>
      </c>
      <c r="AM15" s="326">
        <f ca="1"/>
        <v>7.6062881015360926</v>
      </c>
      <c r="AN15" s="326">
        <f ca="1"/>
        <v>7.0124719747170525</v>
      </c>
      <c r="AO15" s="326">
        <v>2.1211889997179183</v>
      </c>
      <c r="AP15" s="326">
        <f ca="1"/>
        <v>12.301537599104979</v>
      </c>
      <c r="AQ15" s="326">
        <f ca="1"/>
        <v>10.337237058708213</v>
      </c>
      <c r="AR15" s="326">
        <f ca="1"/>
        <v>10.017284976556983</v>
      </c>
      <c r="AS15" s="325">
        <v>0.10299999999999999</v>
      </c>
    </row>
    <row r="16" spans="4:45" x14ac:dyDescent="0.35">
      <c r="D16" t="s">
        <v>313</v>
      </c>
    </row>
    <row r="17" spans="4:4" x14ac:dyDescent="0.35">
      <c r="D17" t="s">
        <v>314</v>
      </c>
    </row>
    <row r="18" spans="4:4" x14ac:dyDescent="0.35">
      <c r="D18" t="s">
        <v>315</v>
      </c>
    </row>
    <row r="19" spans="4:4" x14ac:dyDescent="0.35">
      <c r="D19" t="s">
        <v>316</v>
      </c>
    </row>
    <row r="20" spans="4:4" x14ac:dyDescent="0.35">
      <c r="D20" t="s">
        <v>317</v>
      </c>
    </row>
    <row r="21" spans="4:4" x14ac:dyDescent="0.35">
      <c r="D21" t="s">
        <v>318</v>
      </c>
    </row>
    <row r="22" spans="4:4" x14ac:dyDescent="0.35">
      <c r="D22" t="s">
        <v>261</v>
      </c>
    </row>
    <row r="23" spans="4:4" x14ac:dyDescent="0.35">
      <c r="D23" t="s">
        <v>262</v>
      </c>
    </row>
    <row r="24" spans="4:4" x14ac:dyDescent="0.35">
      <c r="D24" t="s">
        <v>165</v>
      </c>
    </row>
    <row r="25" spans="4:4" x14ac:dyDescent="0.35">
      <c r="D25" t="s">
        <v>319</v>
      </c>
    </row>
    <row r="26" spans="4:4" x14ac:dyDescent="0.35">
      <c r="D26" t="s">
        <v>168</v>
      </c>
    </row>
    <row r="27" spans="4:4" x14ac:dyDescent="0.35">
      <c r="D27" t="s">
        <v>320</v>
      </c>
    </row>
    <row r="28" spans="4:4" x14ac:dyDescent="0.35">
      <c r="D28" t="s">
        <v>323</v>
      </c>
    </row>
    <row r="29" spans="4:4" x14ac:dyDescent="0.35">
      <c r="D29" t="s">
        <v>324</v>
      </c>
    </row>
    <row r="30" spans="4:4" x14ac:dyDescent="0.35">
      <c r="D30" t="s">
        <v>325</v>
      </c>
    </row>
    <row r="31" spans="4:4" x14ac:dyDescent="0.35">
      <c r="D31" t="s">
        <v>326</v>
      </c>
    </row>
    <row r="32" spans="4:4" x14ac:dyDescent="0.35">
      <c r="D32" t="s">
        <v>327</v>
      </c>
    </row>
    <row r="33" spans="4:4" x14ac:dyDescent="0.35">
      <c r="D33" t="s">
        <v>328</v>
      </c>
    </row>
    <row r="34" spans="4:4" x14ac:dyDescent="0.35">
      <c r="D34" t="s">
        <v>331</v>
      </c>
    </row>
    <row r="35" spans="4:4" x14ac:dyDescent="0.35">
      <c r="D35" t="s">
        <v>329</v>
      </c>
    </row>
    <row r="36" spans="4:4" x14ac:dyDescent="0.35">
      <c r="D36" t="s">
        <v>330</v>
      </c>
    </row>
    <row r="37" spans="4:4" x14ac:dyDescent="0.35">
      <c r="D37" t="s">
        <v>161</v>
      </c>
    </row>
    <row r="38" spans="4:4" x14ac:dyDescent="0.35">
      <c r="D38" t="s">
        <v>332</v>
      </c>
    </row>
    <row r="39" spans="4:4" x14ac:dyDescent="0.35">
      <c r="D39" t="s">
        <v>333</v>
      </c>
    </row>
    <row r="40" spans="4:4" x14ac:dyDescent="0.35">
      <c r="D40" t="s">
        <v>334</v>
      </c>
    </row>
    <row r="41" spans="4:4" x14ac:dyDescent="0.35">
      <c r="D41" t="s">
        <v>335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2</vt:i4>
      </vt:variant>
    </vt:vector>
  </HeadingPairs>
  <TitlesOfParts>
    <vt:vector size="16" baseType="lpstr">
      <vt:lpstr>Business Infos</vt:lpstr>
      <vt:lpstr>Input 1</vt:lpstr>
      <vt:lpstr>Input 1 (4)</vt:lpstr>
      <vt:lpstr>Input 1 (3)</vt:lpstr>
      <vt:lpstr>Input 1 (2)</vt:lpstr>
      <vt:lpstr>Input 1 (8)</vt:lpstr>
      <vt:lpstr>Input 1 (7)</vt:lpstr>
      <vt:lpstr>Input 1 (1)</vt:lpstr>
      <vt:lpstr>Input 1 (6)</vt:lpstr>
      <vt:lpstr>Input 1 (5)</vt:lpstr>
      <vt:lpstr>Output FS&amp;R</vt:lpstr>
      <vt:lpstr>Output TM</vt:lpstr>
      <vt:lpstr>Summary</vt:lpstr>
      <vt:lpstr>Data</vt:lpstr>
      <vt:lpstr>'Input 1 (1)'!Base</vt:lpstr>
      <vt:lpstr>Base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Thai Nguyen</dc:creator>
  <cp:lastModifiedBy>Thai Nguyen</cp:lastModifiedBy>
  <dcterms:created xsi:type="dcterms:W3CDTF">2025-04-13T23:40:02Z</dcterms:created>
  <dcterms:modified xsi:type="dcterms:W3CDTF">2025-04-16T04:52:49Z</dcterms:modified>
</cp:coreProperties>
</file>