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dria\Downloads\"/>
    </mc:Choice>
  </mc:AlternateContent>
  <xr:revisionPtr revIDLastSave="0" documentId="13_ncr:1_{67E901D8-1C6E-4081-9890-165FAF1F26F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GroupNum_10 " sheetId="2" r:id="rId1"/>
    <sheet name="Executive summary" sheetId="3" r:id="rId2"/>
    <sheet name="DataTable_10 " sheetId="4" r:id="rId3"/>
    <sheet name="CashFlows_10" sheetId="5" r:id="rId4"/>
  </sheets>
  <definedNames>
    <definedName name="AirConDepn">'GroupNum_10 '!$C$15</definedName>
    <definedName name="AirConValPct">'GroupNum_10 '!$C$11</definedName>
    <definedName name="BuildAllow">'GroupNum_10 '!$C$13</definedName>
    <definedName name="BuildMaintenance">'GroupNum_10 '!$C$35</definedName>
    <definedName name="BuildValPct">'GroupNum_10 '!$C$9</definedName>
    <definedName name="Convention_RentIncrease">'GroupNum_10 '!$C$27</definedName>
    <definedName name="FixFitDepn">'GroupNum_10 '!$C$16</definedName>
    <definedName name="FixFitValPct">'GroupNum_10 '!$C$12</definedName>
    <definedName name="Inflation">'GroupNum_10 '!$C$23</definedName>
    <definedName name="InterestRate">'GroupNum_10 '!$C$20</definedName>
    <definedName name="landAppn">'GroupNum_10 '!$C$17</definedName>
    <definedName name="LiftDepn">'GroupNum_10 '!$C$14</definedName>
    <definedName name="LiftValPct">'GroupNum_10 '!$C$10</definedName>
    <definedName name="ManFeesConvention">'GroupNum_10 '!$C$32</definedName>
    <definedName name="ManFeesGeneralOffice">'GroupNum_10 '!$C$34</definedName>
    <definedName name="ManFeesGov">'GroupNum_10 '!$C$33</definedName>
    <definedName name="ManFeesRetail">'GroupNum_10 '!$C$31</definedName>
    <definedName name="MTR">'GroupNum_10 '!$C$30</definedName>
    <definedName name="Office_RentIncrease">'GroupNum_10 '!$C$29</definedName>
    <definedName name="OthBuyCosts">'GroupNum_10 '!$C$18</definedName>
    <definedName name="OtherIncome">'GroupNum_10 '!$C$24</definedName>
    <definedName name="OthManCosts">'GroupNum_10 '!$C$36</definedName>
    <definedName name="Pct_OtherIncomeChange">'GroupNum_10 '!$C$25</definedName>
    <definedName name="prPrice">'GroupNum_10 '!$C$8</definedName>
    <definedName name="ReinvestRate">'GroupNum_10 '!$C$22</definedName>
    <definedName name="RequiredReturn">'GroupNum_10 '!$C$21</definedName>
    <definedName name="Retail_RentIncrease">'GroupNum_10 '!$C$26</definedName>
    <definedName name="SelCosts">'GroupNum_10 '!$C$19</definedName>
    <definedName name="StateGov_RentIncrease">'GroupNum_10 '!$C$28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oxYGwjdJGCMVfX1tZO+/AfDF1iH4bLgg8HJFpnFvGys="/>
    </ext>
  </extLst>
</workbook>
</file>

<file path=xl/calcChain.xml><?xml version="1.0" encoding="utf-8"?>
<calcChain xmlns="http://schemas.openxmlformats.org/spreadsheetml/2006/main">
  <c r="S203" i="4" l="1"/>
  <c r="S185" i="4"/>
  <c r="S162" i="4"/>
  <c r="S158" i="4"/>
  <c r="S157" i="4"/>
  <c r="S151" i="4"/>
  <c r="F150" i="4"/>
  <c r="C39" i="5" s="1"/>
  <c r="S149" i="4"/>
  <c r="R137" i="4"/>
  <c r="R135" i="4"/>
  <c r="F134" i="4"/>
  <c r="R133" i="4"/>
  <c r="S112" i="4"/>
  <c r="S109" i="4"/>
  <c r="F108" i="4"/>
  <c r="S102" i="4"/>
  <c r="S100" i="4"/>
  <c r="S97" i="4"/>
  <c r="S96" i="4"/>
  <c r="S95" i="4"/>
  <c r="S88" i="4"/>
  <c r="T88" i="4" s="1"/>
  <c r="N88" i="4"/>
  <c r="M88" i="4"/>
  <c r="AA88" i="4" s="1"/>
  <c r="L88" i="4"/>
  <c r="K88" i="4"/>
  <c r="S87" i="4"/>
  <c r="T87" i="4" s="1"/>
  <c r="H87" i="4"/>
  <c r="F87" i="4"/>
  <c r="C87" i="4"/>
  <c r="F88" i="4" s="1"/>
  <c r="T86" i="4"/>
  <c r="S86" i="4"/>
  <c r="P86" i="4"/>
  <c r="N86" i="4"/>
  <c r="AB86" i="4" s="1"/>
  <c r="M86" i="4"/>
  <c r="C86" i="4"/>
  <c r="S85" i="4"/>
  <c r="T85" i="4" s="1"/>
  <c r="J85" i="4"/>
  <c r="F85" i="4"/>
  <c r="C85" i="4"/>
  <c r="F86" i="4" s="1"/>
  <c r="S84" i="4"/>
  <c r="T84" i="4" s="1"/>
  <c r="C84" i="4"/>
  <c r="S83" i="4"/>
  <c r="T83" i="4" s="1"/>
  <c r="P83" i="4"/>
  <c r="F83" i="4"/>
  <c r="C83" i="4"/>
  <c r="F84" i="4" s="1"/>
  <c r="S82" i="4"/>
  <c r="T82" i="4" s="1"/>
  <c r="P82" i="4"/>
  <c r="N82" i="4"/>
  <c r="AB82" i="4" s="1"/>
  <c r="C82" i="4"/>
  <c r="T81" i="4"/>
  <c r="S81" i="4"/>
  <c r="F81" i="4"/>
  <c r="C81" i="4"/>
  <c r="F82" i="4" s="1"/>
  <c r="S80" i="4"/>
  <c r="T80" i="4" s="1"/>
  <c r="H80" i="4"/>
  <c r="C80" i="4"/>
  <c r="S79" i="4"/>
  <c r="F79" i="4"/>
  <c r="C79" i="4"/>
  <c r="F80" i="4" s="1"/>
  <c r="S78" i="4"/>
  <c r="J78" i="4"/>
  <c r="C78" i="4"/>
  <c r="S77" i="4"/>
  <c r="J77" i="4"/>
  <c r="F77" i="4"/>
  <c r="C77" i="4"/>
  <c r="F78" i="4" s="1"/>
  <c r="S76" i="4"/>
  <c r="C76" i="4"/>
  <c r="S75" i="4"/>
  <c r="F75" i="4"/>
  <c r="P75" i="4" s="1"/>
  <c r="C75" i="4"/>
  <c r="F76" i="4" s="1"/>
  <c r="K76" i="4" s="1"/>
  <c r="S74" i="4"/>
  <c r="C74" i="4"/>
  <c r="C73" i="4"/>
  <c r="S72" i="4"/>
  <c r="T72" i="4" s="1"/>
  <c r="S71" i="4"/>
  <c r="T71" i="4" s="1"/>
  <c r="P71" i="4"/>
  <c r="O71" i="4"/>
  <c r="J71" i="4"/>
  <c r="I71" i="4"/>
  <c r="H71" i="4"/>
  <c r="G71" i="4"/>
  <c r="F71" i="4"/>
  <c r="C71" i="4"/>
  <c r="F72" i="4" s="1"/>
  <c r="S70" i="4"/>
  <c r="T70" i="4" s="1"/>
  <c r="O70" i="4"/>
  <c r="N70" i="4"/>
  <c r="M70" i="4"/>
  <c r="L70" i="4"/>
  <c r="K70" i="4"/>
  <c r="J70" i="4"/>
  <c r="C70" i="4"/>
  <c r="S69" i="4"/>
  <c r="T69" i="4" s="1"/>
  <c r="P69" i="4"/>
  <c r="O69" i="4"/>
  <c r="F69" i="4"/>
  <c r="C69" i="4"/>
  <c r="F70" i="4" s="1"/>
  <c r="I70" i="4" s="1"/>
  <c r="W70" i="4" s="1"/>
  <c r="S68" i="4"/>
  <c r="C68" i="4"/>
  <c r="X67" i="4"/>
  <c r="W67" i="4"/>
  <c r="S67" i="4"/>
  <c r="J67" i="4"/>
  <c r="I67" i="4"/>
  <c r="I103" i="4" s="1"/>
  <c r="H67" i="4"/>
  <c r="V67" i="4" s="1"/>
  <c r="G67" i="4"/>
  <c r="U67" i="4" s="1"/>
  <c r="F67" i="4"/>
  <c r="C67" i="4"/>
  <c r="F68" i="4" s="1"/>
  <c r="P68" i="4" s="1"/>
  <c r="S66" i="4"/>
  <c r="L66" i="4"/>
  <c r="K66" i="4"/>
  <c r="I66" i="4"/>
  <c r="G66" i="4"/>
  <c r="C66" i="4"/>
  <c r="S65" i="4"/>
  <c r="P65" i="4"/>
  <c r="AD65" i="4" s="1"/>
  <c r="F65" i="4"/>
  <c r="C65" i="4"/>
  <c r="F66" i="4" s="1"/>
  <c r="H66" i="4" s="1"/>
  <c r="S64" i="4"/>
  <c r="T64" i="4" s="1"/>
  <c r="P64" i="4"/>
  <c r="AD64" i="4" s="1"/>
  <c r="O64" i="4"/>
  <c r="N64" i="4"/>
  <c r="M64" i="4"/>
  <c r="AA64" i="4" s="1"/>
  <c r="L64" i="4"/>
  <c r="Z64" i="4" s="1"/>
  <c r="K64" i="4"/>
  <c r="Y64" i="4" s="1"/>
  <c r="J64" i="4"/>
  <c r="I64" i="4"/>
  <c r="C64" i="4"/>
  <c r="S63" i="4"/>
  <c r="U63" i="4" s="1"/>
  <c r="G99" i="4" s="1"/>
  <c r="P63" i="4"/>
  <c r="O63" i="4"/>
  <c r="J63" i="4"/>
  <c r="G63" i="4"/>
  <c r="F63" i="4"/>
  <c r="C63" i="4"/>
  <c r="F64" i="4" s="1"/>
  <c r="AC62" i="4"/>
  <c r="AB62" i="4"/>
  <c r="S62" i="4"/>
  <c r="T62" i="4" s="1"/>
  <c r="P62" i="4"/>
  <c r="O62" i="4"/>
  <c r="N62" i="4"/>
  <c r="H62" i="4"/>
  <c r="G62" i="4"/>
  <c r="C62" i="4"/>
  <c r="U61" i="4"/>
  <c r="S61" i="4"/>
  <c r="G61" i="4"/>
  <c r="F61" i="4"/>
  <c r="C61" i="4"/>
  <c r="F62" i="4" s="1"/>
  <c r="S60" i="4"/>
  <c r="L60" i="4"/>
  <c r="K60" i="4"/>
  <c r="Y60" i="4" s="1"/>
  <c r="J60" i="4"/>
  <c r="H60" i="4"/>
  <c r="C60" i="4"/>
  <c r="C59" i="4"/>
  <c r="F60" i="4" s="1"/>
  <c r="D54" i="4"/>
  <c r="C54" i="4"/>
  <c r="B54" i="4"/>
  <c r="D53" i="4"/>
  <c r="C53" i="4"/>
  <c r="C24" i="5" s="1"/>
  <c r="B53" i="4"/>
  <c r="D51" i="4"/>
  <c r="C51" i="4"/>
  <c r="B51" i="4"/>
  <c r="D50" i="4"/>
  <c r="C50" i="4"/>
  <c r="B50" i="4"/>
  <c r="D49" i="4"/>
  <c r="C49" i="4"/>
  <c r="B49" i="4"/>
  <c r="D48" i="4"/>
  <c r="C48" i="4"/>
  <c r="B48" i="4"/>
  <c r="D47" i="4"/>
  <c r="C47" i="4"/>
  <c r="B47" i="4"/>
  <c r="D46" i="4"/>
  <c r="C46" i="4"/>
  <c r="B46" i="4"/>
  <c r="R131" i="4" s="1"/>
  <c r="D45" i="4"/>
  <c r="C45" i="4"/>
  <c r="B45" i="4"/>
  <c r="D44" i="4"/>
  <c r="C44" i="4"/>
  <c r="B44" i="4"/>
  <c r="D43" i="4"/>
  <c r="C43" i="4"/>
  <c r="B43" i="4"/>
  <c r="D42" i="4"/>
  <c r="C42" i="4"/>
  <c r="B42" i="4"/>
  <c r="D39" i="4"/>
  <c r="C39" i="4"/>
  <c r="B39" i="4"/>
  <c r="D38" i="4"/>
  <c r="C38" i="4"/>
  <c r="S104" i="4" s="1"/>
  <c r="B38" i="4"/>
  <c r="D37" i="4"/>
  <c r="C37" i="4"/>
  <c r="B37" i="4"/>
  <c r="D36" i="4"/>
  <c r="C36" i="4"/>
  <c r="B36" i="4"/>
  <c r="D35" i="4"/>
  <c r="C35" i="4"/>
  <c r="B35" i="4"/>
  <c r="D34" i="4"/>
  <c r="C34" i="4"/>
  <c r="S146" i="4" s="1"/>
  <c r="B34" i="4"/>
  <c r="D33" i="4"/>
  <c r="C33" i="4"/>
  <c r="S145" i="4" s="1"/>
  <c r="B33" i="4"/>
  <c r="D32" i="4"/>
  <c r="C32" i="4"/>
  <c r="S144" i="4" s="1"/>
  <c r="B32" i="4"/>
  <c r="D29" i="4"/>
  <c r="C29" i="4"/>
  <c r="B29" i="4"/>
  <c r="D28" i="4"/>
  <c r="C28" i="4"/>
  <c r="M72" i="4" s="1"/>
  <c r="B28" i="4"/>
  <c r="D27" i="4"/>
  <c r="C27" i="4"/>
  <c r="B27" i="4"/>
  <c r="D26" i="4"/>
  <c r="C26" i="4"/>
  <c r="B26" i="4"/>
  <c r="D21" i="4"/>
  <c r="C21" i="4"/>
  <c r="B21" i="4"/>
  <c r="D20" i="4"/>
  <c r="C20" i="4"/>
  <c r="B20" i="4"/>
  <c r="D19" i="4"/>
  <c r="C19" i="4"/>
  <c r="B19" i="4"/>
  <c r="D18" i="4"/>
  <c r="C18" i="4"/>
  <c r="B18" i="4"/>
  <c r="D17" i="4"/>
  <c r="C17" i="4"/>
  <c r="B17" i="4"/>
  <c r="D9" i="4"/>
  <c r="C7" i="4"/>
  <c r="AD68" i="4" l="1"/>
  <c r="P104" i="4" s="1"/>
  <c r="Y76" i="4"/>
  <c r="K112" i="4" s="1"/>
  <c r="AD75" i="4"/>
  <c r="P111" i="4" s="1"/>
  <c r="V66" i="4"/>
  <c r="H102" i="4"/>
  <c r="X78" i="4"/>
  <c r="J114" i="4" s="1"/>
  <c r="X64" i="4"/>
  <c r="J100" i="4" s="1"/>
  <c r="Z88" i="4"/>
  <c r="L124" i="4" s="1"/>
  <c r="Y70" i="4"/>
  <c r="K106" i="4" s="1"/>
  <c r="V80" i="4"/>
  <c r="H116" i="4" s="1"/>
  <c r="T146" i="4"/>
  <c r="T97" i="4"/>
  <c r="S184" i="4"/>
  <c r="S174" i="4"/>
  <c r="S181" i="4"/>
  <c r="S186" i="4"/>
  <c r="S182" i="4"/>
  <c r="S170" i="4"/>
  <c r="T170" i="4" s="1"/>
  <c r="S177" i="4"/>
  <c r="S175" i="4"/>
  <c r="S168" i="4"/>
  <c r="S176" i="4"/>
  <c r="S169" i="4"/>
  <c r="S179" i="4"/>
  <c r="S173" i="4"/>
  <c r="S172" i="4"/>
  <c r="S183" i="4"/>
  <c r="S178" i="4"/>
  <c r="T60" i="4"/>
  <c r="T59" i="4" s="1"/>
  <c r="P60" i="4"/>
  <c r="O60" i="4"/>
  <c r="M60" i="4"/>
  <c r="N60" i="4"/>
  <c r="I60" i="4"/>
  <c r="Z70" i="4"/>
  <c r="L106" i="4" s="1"/>
  <c r="G72" i="4"/>
  <c r="K75" i="4"/>
  <c r="G78" i="4"/>
  <c r="O78" i="4"/>
  <c r="T78" i="4"/>
  <c r="F114" i="4" s="1"/>
  <c r="P78" i="4"/>
  <c r="K78" i="4"/>
  <c r="N78" i="4"/>
  <c r="M78" i="4"/>
  <c r="L78" i="4"/>
  <c r="H78" i="4"/>
  <c r="J121" i="4"/>
  <c r="J80" i="4"/>
  <c r="I80" i="4"/>
  <c r="N100" i="4"/>
  <c r="AB64" i="4"/>
  <c r="U66" i="4"/>
  <c r="G102" i="4"/>
  <c r="AA70" i="4"/>
  <c r="M106" i="4" s="1"/>
  <c r="H72" i="4"/>
  <c r="O77" i="4"/>
  <c r="N77" i="4"/>
  <c r="M77" i="4"/>
  <c r="L77" i="4"/>
  <c r="G77" i="4"/>
  <c r="T77" i="4"/>
  <c r="F113" i="4" s="1"/>
  <c r="P77" i="4"/>
  <c r="K77" i="4"/>
  <c r="H77" i="4"/>
  <c r="K85" i="4"/>
  <c r="A45" i="5"/>
  <c r="Z60" i="4"/>
  <c r="AB70" i="4"/>
  <c r="N106" i="4" s="1"/>
  <c r="I72" i="4"/>
  <c r="I77" i="4"/>
  <c r="P85" i="4"/>
  <c r="N118" i="4"/>
  <c r="V60" i="4"/>
  <c r="H96" i="4"/>
  <c r="AC71" i="4"/>
  <c r="O107" i="4" s="1"/>
  <c r="Y88" i="4"/>
  <c r="K124" i="4" s="1"/>
  <c r="O75" i="4"/>
  <c r="N75" i="4"/>
  <c r="M75" i="4"/>
  <c r="L75" i="4"/>
  <c r="G75" i="4"/>
  <c r="T75" i="4"/>
  <c r="F111" i="4" s="1"/>
  <c r="J75" i="4"/>
  <c r="AD86" i="4"/>
  <c r="P122" i="4"/>
  <c r="P101" i="4"/>
  <c r="W66" i="4"/>
  <c r="I102" i="4" s="1"/>
  <c r="J72" i="4"/>
  <c r="Y66" i="4"/>
  <c r="K102" i="4" s="1"/>
  <c r="AD82" i="4"/>
  <c r="P118" i="4" s="1"/>
  <c r="C9" i="4"/>
  <c r="L102" i="4"/>
  <c r="O79" i="4"/>
  <c r="N79" i="4"/>
  <c r="M79" i="4"/>
  <c r="L79" i="4"/>
  <c r="G79" i="4"/>
  <c r="I79" i="4"/>
  <c r="T79" i="4"/>
  <c r="F115" i="4" s="1"/>
  <c r="J79" i="4"/>
  <c r="P79" i="4"/>
  <c r="K79" i="4"/>
  <c r="I87" i="4"/>
  <c r="T66" i="4"/>
  <c r="F102" i="4" s="1"/>
  <c r="P66" i="4"/>
  <c r="M66" i="4"/>
  <c r="O66" i="4"/>
  <c r="N66" i="4"/>
  <c r="J66" i="4"/>
  <c r="O72" i="4"/>
  <c r="O98" i="4"/>
  <c r="N65" i="4"/>
  <c r="M65" i="4"/>
  <c r="L65" i="4"/>
  <c r="K65" i="4"/>
  <c r="T65" i="4"/>
  <c r="F101" i="4" s="1"/>
  <c r="O65" i="4"/>
  <c r="F107" i="4"/>
  <c r="P72" i="4"/>
  <c r="H76" i="4"/>
  <c r="G82" i="4"/>
  <c r="F118" i="4"/>
  <c r="O82" i="4"/>
  <c r="M82" i="4"/>
  <c r="L82" i="4"/>
  <c r="K82" i="4"/>
  <c r="J82" i="4"/>
  <c r="H82" i="4"/>
  <c r="I82" i="4"/>
  <c r="M84" i="4"/>
  <c r="X85" i="4"/>
  <c r="K87" i="4"/>
  <c r="K100" i="4"/>
  <c r="G103" i="4"/>
  <c r="I106" i="4"/>
  <c r="J138" i="4"/>
  <c r="J134" i="4" s="1"/>
  <c r="J150" i="4" s="1"/>
  <c r="G39" i="5" s="1"/>
  <c r="X102" i="4"/>
  <c r="J113" i="4"/>
  <c r="AC69" i="4"/>
  <c r="O105" i="4" s="1"/>
  <c r="X77" i="4"/>
  <c r="N98" i="4"/>
  <c r="AD69" i="4"/>
  <c r="P105" i="4" s="1"/>
  <c r="L84" i="4"/>
  <c r="Z66" i="4"/>
  <c r="N61" i="4"/>
  <c r="M61" i="4"/>
  <c r="L61" i="4"/>
  <c r="K61" i="4"/>
  <c r="K59" i="4" s="1"/>
  <c r="T61" i="4"/>
  <c r="F97" i="4" s="1"/>
  <c r="P61" i="4"/>
  <c r="I61" i="4"/>
  <c r="O61" i="4"/>
  <c r="J61" i="4"/>
  <c r="AD62" i="4"/>
  <c r="P98" i="4" s="1"/>
  <c r="G65" i="4"/>
  <c r="U71" i="4"/>
  <c r="G107" i="4" s="1"/>
  <c r="I76" i="4"/>
  <c r="J81" i="4"/>
  <c r="N84" i="4"/>
  <c r="P87" i="4"/>
  <c r="L100" i="4"/>
  <c r="H103" i="4"/>
  <c r="N122" i="4"/>
  <c r="W64" i="4"/>
  <c r="I100" i="4" s="1"/>
  <c r="X60" i="4"/>
  <c r="AD83" i="4"/>
  <c r="P119" i="4" s="1"/>
  <c r="AD108" i="4"/>
  <c r="M108" i="4"/>
  <c r="AA72" i="4"/>
  <c r="K96" i="4"/>
  <c r="X70" i="4"/>
  <c r="J106" i="4"/>
  <c r="C58" i="4"/>
  <c r="F59" i="4" s="1"/>
  <c r="F100" i="4"/>
  <c r="AC70" i="4"/>
  <c r="O106" i="4" s="1"/>
  <c r="U62" i="4"/>
  <c r="G98" i="4" s="1"/>
  <c r="T63" i="4"/>
  <c r="F99" i="4" s="1"/>
  <c r="J87" i="4"/>
  <c r="G97" i="4"/>
  <c r="X63" i="4"/>
  <c r="J99" i="4" s="1"/>
  <c r="H65" i="4"/>
  <c r="V71" i="4"/>
  <c r="H107" i="4" s="1"/>
  <c r="P84" i="4"/>
  <c r="J86" i="4"/>
  <c r="M100" i="4"/>
  <c r="S180" i="4"/>
  <c r="G76" i="4"/>
  <c r="O76" i="4"/>
  <c r="M76" i="4"/>
  <c r="N76" i="4"/>
  <c r="T76" i="4"/>
  <c r="F112" i="4" s="1"/>
  <c r="P76" i="4"/>
  <c r="J76" i="4"/>
  <c r="AA86" i="4"/>
  <c r="M122" i="4" s="1"/>
  <c r="M124" i="4"/>
  <c r="S209" i="4"/>
  <c r="S202" i="4"/>
  <c r="S207" i="4"/>
  <c r="S200" i="4"/>
  <c r="S193" i="4"/>
  <c r="S198" i="4"/>
  <c r="S210" i="4"/>
  <c r="S199" i="4"/>
  <c r="S194" i="4"/>
  <c r="T194" i="4" s="1"/>
  <c r="S208" i="4"/>
  <c r="S205" i="4"/>
  <c r="S196" i="4"/>
  <c r="S204" i="4"/>
  <c r="S201" i="4"/>
  <c r="S192" i="4"/>
  <c r="S197" i="4"/>
  <c r="S206" i="4"/>
  <c r="AD63" i="4"/>
  <c r="P99" i="4" s="1"/>
  <c r="K72" i="4"/>
  <c r="L72" i="4"/>
  <c r="W71" i="4"/>
  <c r="I107" i="4" s="1"/>
  <c r="F74" i="4"/>
  <c r="C72" i="4"/>
  <c r="F73" i="4" s="1"/>
  <c r="L76" i="4"/>
  <c r="K86" i="4"/>
  <c r="P100" i="4"/>
  <c r="F104" i="4"/>
  <c r="N68" i="4"/>
  <c r="H68" i="4"/>
  <c r="M68" i="4"/>
  <c r="I68" i="4"/>
  <c r="L68" i="4"/>
  <c r="K68" i="4"/>
  <c r="J68" i="4"/>
  <c r="T68" i="4"/>
  <c r="H75" i="4"/>
  <c r="I75" i="4"/>
  <c r="AB88" i="4"/>
  <c r="N124" i="4" s="1"/>
  <c r="AC63" i="4"/>
  <c r="O99" i="4" s="1"/>
  <c r="L96" i="4"/>
  <c r="S134" i="4"/>
  <c r="S132" i="4"/>
  <c r="C12" i="4"/>
  <c r="K21" i="5" s="1"/>
  <c r="S119" i="4"/>
  <c r="S136" i="4"/>
  <c r="C8" i="4"/>
  <c r="C10" i="4" s="1"/>
  <c r="H79" i="4"/>
  <c r="H61" i="4"/>
  <c r="I65" i="4"/>
  <c r="G68" i="4"/>
  <c r="G60" i="4"/>
  <c r="J65" i="4"/>
  <c r="J59" i="4" s="1"/>
  <c r="O68" i="4"/>
  <c r="X71" i="4"/>
  <c r="J107" i="4"/>
  <c r="I78" i="4"/>
  <c r="L86" i="4"/>
  <c r="V87" i="4"/>
  <c r="H123" i="4" s="1"/>
  <c r="F98" i="4"/>
  <c r="N67" i="4"/>
  <c r="M67" i="4"/>
  <c r="L67" i="4"/>
  <c r="K67" i="4"/>
  <c r="P70" i="4"/>
  <c r="AD71" i="4"/>
  <c r="P107" i="4" s="1"/>
  <c r="F116" i="4"/>
  <c r="G80" i="4"/>
  <c r="O80" i="4"/>
  <c r="V62" i="4"/>
  <c r="H98" i="4" s="1"/>
  <c r="F120" i="4"/>
  <c r="G84" i="4"/>
  <c r="O84" i="4"/>
  <c r="I62" i="4"/>
  <c r="O67" i="4"/>
  <c r="F105" i="4"/>
  <c r="N69" i="4"/>
  <c r="M69" i="4"/>
  <c r="L69" i="4"/>
  <c r="K69" i="4"/>
  <c r="K80" i="4"/>
  <c r="I81" i="4"/>
  <c r="O83" i="4"/>
  <c r="N83" i="4"/>
  <c r="M83" i="4"/>
  <c r="L83" i="4"/>
  <c r="F119" i="4"/>
  <c r="G83" i="4"/>
  <c r="D24" i="5"/>
  <c r="E24" i="5" s="1"/>
  <c r="F24" i="5" s="1"/>
  <c r="G24" i="5" s="1"/>
  <c r="H24" i="5" s="1"/>
  <c r="I24" i="5" s="1"/>
  <c r="J24" i="5" s="1"/>
  <c r="K24" i="5" s="1"/>
  <c r="L24" i="5" s="1"/>
  <c r="C42" i="5" a="1"/>
  <c r="J62" i="4"/>
  <c r="N63" i="4"/>
  <c r="M63" i="4"/>
  <c r="L63" i="4"/>
  <c r="K63" i="4"/>
  <c r="P67" i="4"/>
  <c r="G69" i="4"/>
  <c r="L80" i="4"/>
  <c r="H83" i="4"/>
  <c r="H84" i="4"/>
  <c r="F122" i="4"/>
  <c r="G86" i="4"/>
  <c r="O86" i="4"/>
  <c r="K62" i="4"/>
  <c r="M80" i="4"/>
  <c r="I83" i="4"/>
  <c r="I84" i="4"/>
  <c r="F121" i="4"/>
  <c r="O85" i="4"/>
  <c r="N85" i="4"/>
  <c r="M85" i="4"/>
  <c r="L85" i="4"/>
  <c r="G85" i="4"/>
  <c r="F117" i="4"/>
  <c r="O81" i="4"/>
  <c r="N81" i="4"/>
  <c r="M81" i="4"/>
  <c r="L81" i="4"/>
  <c r="G81" i="4"/>
  <c r="H81" i="4"/>
  <c r="G70" i="4"/>
  <c r="L62" i="4"/>
  <c r="H63" i="4"/>
  <c r="G64" i="4"/>
  <c r="AC64" i="4"/>
  <c r="O100" i="4" s="1"/>
  <c r="T67" i="4"/>
  <c r="I69" i="4"/>
  <c r="H70" i="4"/>
  <c r="N80" i="4"/>
  <c r="P81" i="4"/>
  <c r="J83" i="4"/>
  <c r="J84" i="4"/>
  <c r="H85" i="4"/>
  <c r="H86" i="4"/>
  <c r="H88" i="4"/>
  <c r="G88" i="4"/>
  <c r="F124" i="4"/>
  <c r="P88" i="4"/>
  <c r="O88" i="4"/>
  <c r="I88" i="4"/>
  <c r="F106" i="4"/>
  <c r="J103" i="4"/>
  <c r="H69" i="4"/>
  <c r="K81" i="4"/>
  <c r="S159" i="4"/>
  <c r="S153" i="4"/>
  <c r="S161" i="4"/>
  <c r="S154" i="4"/>
  <c r="S152" i="4"/>
  <c r="S155" i="4"/>
  <c r="S160" i="4"/>
  <c r="S150" i="4"/>
  <c r="S156" i="4"/>
  <c r="S148" i="4"/>
  <c r="M62" i="4"/>
  <c r="I63" i="4"/>
  <c r="H64" i="4"/>
  <c r="J69" i="4"/>
  <c r="N72" i="4"/>
  <c r="P80" i="4"/>
  <c r="K83" i="4"/>
  <c r="K84" i="4"/>
  <c r="I85" i="4"/>
  <c r="I86" i="4"/>
  <c r="O87" i="4"/>
  <c r="J88" i="4"/>
  <c r="F103" i="4"/>
  <c r="F123" i="4"/>
  <c r="G87" i="4"/>
  <c r="K71" i="4"/>
  <c r="L87" i="4"/>
  <c r="L71" i="4"/>
  <c r="M87" i="4"/>
  <c r="S103" i="4"/>
  <c r="M71" i="4"/>
  <c r="N87" i="4"/>
  <c r="S113" i="4"/>
  <c r="S99" i="4"/>
  <c r="S108" i="4"/>
  <c r="S111" i="4"/>
  <c r="S101" i="4"/>
  <c r="S107" i="4"/>
  <c r="N71" i="4"/>
  <c r="S105" i="4"/>
  <c r="S106" i="4"/>
  <c r="S110" i="4"/>
  <c r="Y162" i="4" l="1"/>
  <c r="Y186" i="4"/>
  <c r="Y210" i="4"/>
  <c r="Y113" i="4"/>
  <c r="W145" i="4"/>
  <c r="W96" i="4"/>
  <c r="W169" i="4"/>
  <c r="W193" i="4"/>
  <c r="V202" i="4"/>
  <c r="V178" i="4"/>
  <c r="V105" i="4"/>
  <c r="V154" i="4"/>
  <c r="J95" i="4"/>
  <c r="T152" i="4"/>
  <c r="T176" i="4"/>
  <c r="T103" i="4"/>
  <c r="T200" i="4"/>
  <c r="Z162" i="4"/>
  <c r="Z113" i="4"/>
  <c r="Z210" i="4"/>
  <c r="Z186" i="4"/>
  <c r="V96" i="4"/>
  <c r="V145" i="4"/>
  <c r="V169" i="4"/>
  <c r="V193" i="4"/>
  <c r="T199" i="4"/>
  <c r="T151" i="4"/>
  <c r="T175" i="4"/>
  <c r="T102" i="4"/>
  <c r="AB162" i="4"/>
  <c r="AB113" i="4"/>
  <c r="AB210" i="4"/>
  <c r="AB186" i="4"/>
  <c r="T149" i="4"/>
  <c r="T173" i="4"/>
  <c r="T100" i="4"/>
  <c r="T197" i="4"/>
  <c r="AD197" i="4"/>
  <c r="AD149" i="4"/>
  <c r="AD173" i="4"/>
  <c r="AD100" i="4"/>
  <c r="V161" i="4"/>
  <c r="V112" i="4"/>
  <c r="V209" i="4"/>
  <c r="V185" i="4"/>
  <c r="U193" i="4"/>
  <c r="U96" i="4"/>
  <c r="U169" i="4"/>
  <c r="U145" i="4"/>
  <c r="AD204" i="4"/>
  <c r="AD156" i="4"/>
  <c r="AD107" i="4"/>
  <c r="AD180" i="4"/>
  <c r="X103" i="4"/>
  <c r="X152" i="4"/>
  <c r="X200" i="4"/>
  <c r="X176" i="4"/>
  <c r="T177" i="4"/>
  <c r="T153" i="4"/>
  <c r="T104" i="4"/>
  <c r="T201" i="4"/>
  <c r="AA184" i="4"/>
  <c r="AA208" i="4"/>
  <c r="AA160" i="4"/>
  <c r="AA111" i="4"/>
  <c r="C13" i="4"/>
  <c r="B35" i="5"/>
  <c r="Y150" i="4"/>
  <c r="Y101" i="4"/>
  <c r="Y198" i="4"/>
  <c r="Y174" i="4"/>
  <c r="T150" i="4"/>
  <c r="T198" i="4"/>
  <c r="T101" i="4"/>
  <c r="T174" i="4"/>
  <c r="U88" i="4"/>
  <c r="G124" i="4" s="1"/>
  <c r="W62" i="4"/>
  <c r="I98" i="4" s="1"/>
  <c r="V65" i="4"/>
  <c r="H101" i="4" s="1"/>
  <c r="T133" i="4"/>
  <c r="W82" i="4"/>
  <c r="I118" i="4"/>
  <c r="H59" i="4"/>
  <c r="G21" i="5"/>
  <c r="X88" i="4"/>
  <c r="J124" i="4" s="1"/>
  <c r="V86" i="4"/>
  <c r="H122" i="4" s="1"/>
  <c r="Z81" i="4"/>
  <c r="L117" i="4" s="1"/>
  <c r="O122" i="4"/>
  <c r="AC86" i="4"/>
  <c r="U83" i="4"/>
  <c r="G119" i="4" s="1"/>
  <c r="U84" i="4"/>
  <c r="G120" i="4" s="1"/>
  <c r="Z86" i="4"/>
  <c r="L122" i="4" s="1"/>
  <c r="T134" i="4"/>
  <c r="T135" i="4"/>
  <c r="AB68" i="4"/>
  <c r="N104" i="4" s="1"/>
  <c r="U65" i="4"/>
  <c r="G101" i="4" s="1"/>
  <c r="V82" i="4"/>
  <c r="H118" i="4"/>
  <c r="M101" i="4"/>
  <c r="AA65" i="4"/>
  <c r="U79" i="4"/>
  <c r="G115" i="4" s="1"/>
  <c r="AD77" i="4"/>
  <c r="P113" i="4"/>
  <c r="X80" i="4"/>
  <c r="J116" i="4"/>
  <c r="W60" i="4"/>
  <c r="I59" i="4"/>
  <c r="I21" i="5"/>
  <c r="AC87" i="4"/>
  <c r="O123" i="4" s="1"/>
  <c r="V85" i="4"/>
  <c r="H121" i="4" s="1"/>
  <c r="M117" i="4"/>
  <c r="AA81" i="4"/>
  <c r="U86" i="4"/>
  <c r="G122" i="4" s="1"/>
  <c r="T108" i="4"/>
  <c r="T205" i="4"/>
  <c r="T157" i="4"/>
  <c r="T181" i="4"/>
  <c r="T206" i="4"/>
  <c r="T182" i="4"/>
  <c r="T158" i="4"/>
  <c r="T109" i="4"/>
  <c r="W78" i="4"/>
  <c r="I114" i="4"/>
  <c r="X76" i="4"/>
  <c r="J112" i="4" s="1"/>
  <c r="J123" i="4"/>
  <c r="X87" i="4"/>
  <c r="X82" i="4"/>
  <c r="J118" i="4"/>
  <c r="AB65" i="4"/>
  <c r="N101" i="4" s="1"/>
  <c r="L140" i="4"/>
  <c r="L134" i="4" s="1"/>
  <c r="L150" i="4" s="1"/>
  <c r="I39" i="5" s="1"/>
  <c r="L115" i="4"/>
  <c r="Z79" i="4"/>
  <c r="Z104" i="4"/>
  <c r="AD111" i="4"/>
  <c r="AD160" i="4"/>
  <c r="AD184" i="4"/>
  <c r="AD208" i="4"/>
  <c r="AB204" i="4"/>
  <c r="AB180" i="4"/>
  <c r="AB107" i="4"/>
  <c r="AB156" i="4"/>
  <c r="X110" i="4"/>
  <c r="X207" i="4"/>
  <c r="X183" i="4"/>
  <c r="X159" i="4"/>
  <c r="AB60" i="4"/>
  <c r="N96" i="4"/>
  <c r="N59" i="4"/>
  <c r="J21" i="5"/>
  <c r="W86" i="4"/>
  <c r="I122" i="4"/>
  <c r="X84" i="4"/>
  <c r="J120" i="4"/>
  <c r="N117" i="4"/>
  <c r="AB106" i="4"/>
  <c r="N142" i="4"/>
  <c r="N134" i="4" s="1"/>
  <c r="N150" i="4" s="1"/>
  <c r="K39" i="5" s="1"/>
  <c r="AB81" i="4"/>
  <c r="T160" i="4"/>
  <c r="T184" i="4"/>
  <c r="T111" i="4"/>
  <c r="T208" i="4"/>
  <c r="Z83" i="4"/>
  <c r="L119" i="4" s="1"/>
  <c r="X193" i="4"/>
  <c r="X145" i="4"/>
  <c r="X96" i="4"/>
  <c r="X169" i="4"/>
  <c r="AD76" i="4"/>
  <c r="P112" i="4" s="1"/>
  <c r="Y82" i="4"/>
  <c r="K118" i="4" s="1"/>
  <c r="M115" i="4"/>
  <c r="AA79" i="4"/>
  <c r="F96" i="4"/>
  <c r="U77" i="4"/>
  <c r="G113" i="4" s="1"/>
  <c r="V78" i="4"/>
  <c r="H114" i="4" s="1"/>
  <c r="M96" i="4"/>
  <c r="M59" i="4"/>
  <c r="AA60" i="4"/>
  <c r="E21" i="5"/>
  <c r="W85" i="4"/>
  <c r="I121" i="4" s="1"/>
  <c r="X83" i="4"/>
  <c r="J119" i="4" s="1"/>
  <c r="AC81" i="4"/>
  <c r="O117" i="4" s="1"/>
  <c r="V84" i="4"/>
  <c r="H120" i="4"/>
  <c r="AA83" i="4"/>
  <c r="M119" i="4" s="1"/>
  <c r="Y86" i="4"/>
  <c r="K122" i="4" s="1"/>
  <c r="X59" i="4"/>
  <c r="X61" i="4"/>
  <c r="J97" i="4"/>
  <c r="Z82" i="4"/>
  <c r="L118" i="4" s="1"/>
  <c r="AC72" i="4"/>
  <c r="O108" i="4" s="1"/>
  <c r="X75" i="4"/>
  <c r="J111" i="4" s="1"/>
  <c r="P121" i="4"/>
  <c r="AD85" i="4"/>
  <c r="Z77" i="4"/>
  <c r="L113" i="4" s="1"/>
  <c r="Z78" i="4"/>
  <c r="L114" i="4" s="1"/>
  <c r="O96" i="4"/>
  <c r="O59" i="4"/>
  <c r="AC60" i="4"/>
  <c r="F21" i="5"/>
  <c r="Y84" i="4"/>
  <c r="K120" i="4"/>
  <c r="AD81" i="4"/>
  <c r="P117" i="4" s="1"/>
  <c r="T179" i="4"/>
  <c r="T155" i="4"/>
  <c r="T106" i="4"/>
  <c r="T203" i="4"/>
  <c r="V83" i="4"/>
  <c r="H119" i="4" s="1"/>
  <c r="AB83" i="4"/>
  <c r="N119" i="4" s="1"/>
  <c r="AC80" i="4"/>
  <c r="O116" i="4"/>
  <c r="AC68" i="4"/>
  <c r="O104" i="4" s="1"/>
  <c r="Z76" i="4"/>
  <c r="L112" i="4" s="1"/>
  <c r="AB76" i="4"/>
  <c r="N112" i="4" s="1"/>
  <c r="J96" i="4"/>
  <c r="AC61" i="4"/>
  <c r="O97" i="4"/>
  <c r="AA82" i="4"/>
  <c r="M118" i="4" s="1"/>
  <c r="X66" i="4"/>
  <c r="J102" i="4" s="1"/>
  <c r="AB79" i="4"/>
  <c r="N115" i="4" s="1"/>
  <c r="I113" i="4"/>
  <c r="W77" i="4"/>
  <c r="AA77" i="4"/>
  <c r="M113" i="4" s="1"/>
  <c r="AA78" i="4"/>
  <c r="M114" i="4" s="1"/>
  <c r="P96" i="4"/>
  <c r="P59" i="4"/>
  <c r="AD60" i="4"/>
  <c r="H117" i="4"/>
  <c r="V81" i="4"/>
  <c r="AA68" i="4"/>
  <c r="M104" i="4" s="1"/>
  <c r="AA146" i="4"/>
  <c r="AA194" i="4"/>
  <c r="AA170" i="4"/>
  <c r="AA97" i="4"/>
  <c r="T185" i="4"/>
  <c r="T161" i="4"/>
  <c r="T209" i="4"/>
  <c r="T112" i="4"/>
  <c r="Z84" i="4"/>
  <c r="L120" i="4" s="1"/>
  <c r="D21" i="5"/>
  <c r="V88" i="4"/>
  <c r="H124" i="4" s="1"/>
  <c r="AC84" i="4"/>
  <c r="O120" i="4" s="1"/>
  <c r="Z65" i="4"/>
  <c r="L101" i="4" s="1"/>
  <c r="W80" i="4"/>
  <c r="I116" i="4" s="1"/>
  <c r="N116" i="4"/>
  <c r="AB80" i="4"/>
  <c r="AA76" i="4"/>
  <c r="M112" i="4" s="1"/>
  <c r="T89" i="4"/>
  <c r="C5" i="5" s="1"/>
  <c r="Z85" i="4"/>
  <c r="L121" i="4" s="1"/>
  <c r="W69" i="4"/>
  <c r="I105" i="4" s="1"/>
  <c r="AD169" i="4"/>
  <c r="AD145" i="4"/>
  <c r="AD193" i="4"/>
  <c r="AD96" i="4"/>
  <c r="X69" i="4"/>
  <c r="J105" i="4" s="1"/>
  <c r="AB85" i="4"/>
  <c r="N121" i="4" s="1"/>
  <c r="AD70" i="4"/>
  <c r="P106" i="4" s="1"/>
  <c r="V75" i="4"/>
  <c r="H111" i="4" s="1"/>
  <c r="H136" i="4"/>
  <c r="H134" i="4" s="1"/>
  <c r="H150" i="4" s="1"/>
  <c r="E39" i="5" s="1"/>
  <c r="V100" i="4"/>
  <c r="F95" i="4"/>
  <c r="F89" i="4"/>
  <c r="C4" i="5" s="1"/>
  <c r="P102" i="4"/>
  <c r="AD66" i="4"/>
  <c r="U78" i="4"/>
  <c r="G114" i="4" s="1"/>
  <c r="AA71" i="4"/>
  <c r="M107" i="4" s="1"/>
  <c r="Y62" i="4"/>
  <c r="K98" i="4" s="1"/>
  <c r="Y65" i="4"/>
  <c r="K101" i="4" s="1"/>
  <c r="AC169" i="4"/>
  <c r="AC145" i="4"/>
  <c r="AC193" i="4"/>
  <c r="AC96" i="4"/>
  <c r="I115" i="4"/>
  <c r="W79" i="4"/>
  <c r="Y77" i="4"/>
  <c r="K113" i="4" s="1"/>
  <c r="Y83" i="4"/>
  <c r="K119" i="4" s="1"/>
  <c r="U85" i="4"/>
  <c r="G121" i="4"/>
  <c r="U80" i="4"/>
  <c r="G116" i="4" s="1"/>
  <c r="W61" i="4"/>
  <c r="I97" i="4" s="1"/>
  <c r="O143" i="4"/>
  <c r="O134" i="4" s="1"/>
  <c r="O150" i="4" s="1"/>
  <c r="L39" i="5" s="1"/>
  <c r="AC107" i="4"/>
  <c r="AC82" i="4"/>
  <c r="O118" i="4" s="1"/>
  <c r="AB66" i="4"/>
  <c r="N102" i="4" s="1"/>
  <c r="W72" i="4"/>
  <c r="I108" i="4"/>
  <c r="AB78" i="4"/>
  <c r="N114" i="4" s="1"/>
  <c r="Y81" i="4"/>
  <c r="K117" i="4" s="1"/>
  <c r="G105" i="4"/>
  <c r="U69" i="4"/>
  <c r="U60" i="4"/>
  <c r="G96" i="4" s="1"/>
  <c r="G59" i="4"/>
  <c r="AC76" i="4"/>
  <c r="O112" i="4" s="1"/>
  <c r="O102" i="4"/>
  <c r="AC66" i="4"/>
  <c r="G111" i="4"/>
  <c r="U75" i="4"/>
  <c r="K139" i="4"/>
  <c r="K134" i="4" s="1"/>
  <c r="K150" i="4" s="1"/>
  <c r="H39" i="5" s="1"/>
  <c r="Y78" i="4"/>
  <c r="Y103" i="4"/>
  <c r="K114" i="4"/>
  <c r="AB72" i="4"/>
  <c r="N108" i="4" s="1"/>
  <c r="AA85" i="4"/>
  <c r="M121" i="4" s="1"/>
  <c r="Y80" i="4"/>
  <c r="K116" i="4"/>
  <c r="U68" i="4"/>
  <c r="G104" i="4"/>
  <c r="P114" i="4"/>
  <c r="AD78" i="4"/>
  <c r="AA75" i="4"/>
  <c r="M111" i="4" s="1"/>
  <c r="V64" i="4"/>
  <c r="H100" i="4" s="1"/>
  <c r="AC85" i="4"/>
  <c r="O121" i="4" s="1"/>
  <c r="L105" i="4"/>
  <c r="Z69" i="4"/>
  <c r="V61" i="4"/>
  <c r="V59" i="4" s="1"/>
  <c r="Z61" i="4"/>
  <c r="L97" i="4" s="1"/>
  <c r="Z59" i="4"/>
  <c r="O114" i="4"/>
  <c r="AC78" i="4"/>
  <c r="Z71" i="4"/>
  <c r="L107" i="4" s="1"/>
  <c r="W63" i="4"/>
  <c r="I99" i="4" s="1"/>
  <c r="W88" i="4"/>
  <c r="I124" i="4" s="1"/>
  <c r="U64" i="4"/>
  <c r="G100" i="4"/>
  <c r="T207" i="4"/>
  <c r="T159" i="4"/>
  <c r="T183" i="4"/>
  <c r="T110" i="4"/>
  <c r="AA63" i="4"/>
  <c r="M99" i="4" s="1"/>
  <c r="L103" i="4"/>
  <c r="Z67" i="4"/>
  <c r="H115" i="4"/>
  <c r="V79" i="4"/>
  <c r="X68" i="4"/>
  <c r="J104" i="4"/>
  <c r="Y72" i="4"/>
  <c r="K108" i="4" s="1"/>
  <c r="X86" i="4"/>
  <c r="J122" i="4"/>
  <c r="AD87" i="4"/>
  <c r="P123" i="4" s="1"/>
  <c r="AA61" i="4"/>
  <c r="M97" i="4" s="1"/>
  <c r="T169" i="4"/>
  <c r="T145" i="4"/>
  <c r="T96" i="4"/>
  <c r="T193" i="4"/>
  <c r="I123" i="4"/>
  <c r="W87" i="4"/>
  <c r="AC75" i="4"/>
  <c r="O111" i="4" s="1"/>
  <c r="Z87" i="4"/>
  <c r="L123" i="4" s="1"/>
  <c r="AC88" i="4"/>
  <c r="O124" i="4" s="1"/>
  <c r="W84" i="4"/>
  <c r="I120" i="4"/>
  <c r="AB69" i="4"/>
  <c r="N105" i="4" s="1"/>
  <c r="AB61" i="4"/>
  <c r="N97" i="4" s="1"/>
  <c r="K107" i="4"/>
  <c r="Y71" i="4"/>
  <c r="L98" i="4"/>
  <c r="Z62" i="4"/>
  <c r="AB67" i="4"/>
  <c r="N103" i="4"/>
  <c r="T137" i="4"/>
  <c r="T136" i="4" s="1"/>
  <c r="Z68" i="4"/>
  <c r="L104" i="4" s="1"/>
  <c r="X81" i="4"/>
  <c r="J117" i="4" s="1"/>
  <c r="Y87" i="4"/>
  <c r="K123" i="4" s="1"/>
  <c r="AD79" i="4"/>
  <c r="P115" i="4" s="1"/>
  <c r="J108" i="4"/>
  <c r="X72" i="4"/>
  <c r="Y75" i="4"/>
  <c r="K111" i="4" s="1"/>
  <c r="C42" i="5"/>
  <c r="L42" i="5"/>
  <c r="J42" i="5"/>
  <c r="I42" i="5"/>
  <c r="G42" i="5"/>
  <c r="F42" i="5"/>
  <c r="E42" i="5"/>
  <c r="D42" i="5"/>
  <c r="K42" i="5"/>
  <c r="H42" i="5"/>
  <c r="B36" i="5"/>
  <c r="L36" i="5" s="1"/>
  <c r="C21" i="5"/>
  <c r="L21" i="5"/>
  <c r="AA186" i="4"/>
  <c r="AA113" i="4"/>
  <c r="AA210" i="4"/>
  <c r="AA162" i="4"/>
  <c r="AA84" i="4"/>
  <c r="M120" i="4" s="1"/>
  <c r="V77" i="4"/>
  <c r="H113" i="4" s="1"/>
  <c r="U81" i="4"/>
  <c r="G117" i="4" s="1"/>
  <c r="V68" i="4"/>
  <c r="H104" i="4"/>
  <c r="H21" i="5"/>
  <c r="Z80" i="4"/>
  <c r="L116" i="4" s="1"/>
  <c r="O119" i="4"/>
  <c r="AC83" i="4"/>
  <c r="J101" i="4"/>
  <c r="X65" i="4"/>
  <c r="AC79" i="4"/>
  <c r="O115" i="4" s="1"/>
  <c r="AB77" i="4"/>
  <c r="N113" i="4" s="1"/>
  <c r="AB71" i="4"/>
  <c r="N107" i="4" s="1"/>
  <c r="AD80" i="4"/>
  <c r="P116" i="4" s="1"/>
  <c r="V70" i="4"/>
  <c r="H106" i="4" s="1"/>
  <c r="W81" i="4"/>
  <c r="I117" i="4" s="1"/>
  <c r="T178" i="4"/>
  <c r="T154" i="4"/>
  <c r="T202" i="4"/>
  <c r="T105" i="4"/>
  <c r="G74" i="4"/>
  <c r="O74" i="4"/>
  <c r="P74" i="4"/>
  <c r="T74" i="4"/>
  <c r="T73" i="4" s="1"/>
  <c r="F109" i="4" s="1"/>
  <c r="L74" i="4"/>
  <c r="J74" i="4"/>
  <c r="I74" i="4"/>
  <c r="N74" i="4"/>
  <c r="K74" i="4"/>
  <c r="M74" i="4"/>
  <c r="H74" i="4"/>
  <c r="AD61" i="4"/>
  <c r="P97" i="4" s="1"/>
  <c r="T156" i="4"/>
  <c r="T107" i="4"/>
  <c r="T204" i="4"/>
  <c r="T180" i="4"/>
  <c r="AC77" i="4"/>
  <c r="O113" i="4" s="1"/>
  <c r="V69" i="4"/>
  <c r="H105" i="4" s="1"/>
  <c r="AD67" i="4"/>
  <c r="P103" i="4"/>
  <c r="W75" i="4"/>
  <c r="I111" i="4" s="1"/>
  <c r="U76" i="4"/>
  <c r="G112" i="4"/>
  <c r="AB208" i="4"/>
  <c r="AB160" i="4"/>
  <c r="AB184" i="4"/>
  <c r="AB111" i="4"/>
  <c r="U82" i="4"/>
  <c r="G118" i="4" s="1"/>
  <c r="AA66" i="4"/>
  <c r="M102" i="4" s="1"/>
  <c r="Z75" i="4"/>
  <c r="L111" i="4" s="1"/>
  <c r="Y63" i="4"/>
  <c r="K99" i="4" s="1"/>
  <c r="Y69" i="4"/>
  <c r="K105" i="4" s="1"/>
  <c r="W65" i="4"/>
  <c r="I101" i="4" s="1"/>
  <c r="K97" i="4"/>
  <c r="Y61" i="4"/>
  <c r="H112" i="4"/>
  <c r="V76" i="4"/>
  <c r="V72" i="4"/>
  <c r="H108" i="4"/>
  <c r="AA87" i="4"/>
  <c r="M123" i="4" s="1"/>
  <c r="Z63" i="4"/>
  <c r="L99" i="4"/>
  <c r="Y67" i="4"/>
  <c r="K103" i="4" s="1"/>
  <c r="Z72" i="4"/>
  <c r="L108" i="4" s="1"/>
  <c r="AD72" i="4"/>
  <c r="P108" i="4" s="1"/>
  <c r="N111" i="4"/>
  <c r="AB75" i="4"/>
  <c r="M105" i="4"/>
  <c r="AA69" i="4"/>
  <c r="AA62" i="4"/>
  <c r="M98" i="4" s="1"/>
  <c r="V63" i="4"/>
  <c r="H99" i="4"/>
  <c r="AB63" i="4"/>
  <c r="N99" i="4" s="1"/>
  <c r="AA67" i="4"/>
  <c r="M103" i="4" s="1"/>
  <c r="Y68" i="4"/>
  <c r="K104" i="4" s="1"/>
  <c r="AD84" i="4"/>
  <c r="P120" i="4" s="1"/>
  <c r="N120" i="4"/>
  <c r="AB84" i="4"/>
  <c r="AC65" i="4"/>
  <c r="O101" i="4" s="1"/>
  <c r="Y79" i="4"/>
  <c r="K115" i="4" s="1"/>
  <c r="AD88" i="4"/>
  <c r="P124" i="4" s="1"/>
  <c r="W83" i="4"/>
  <c r="I119" i="4" s="1"/>
  <c r="AB87" i="4"/>
  <c r="N123" i="4" s="1"/>
  <c r="U87" i="4"/>
  <c r="G123" i="4" s="1"/>
  <c r="T210" i="4"/>
  <c r="T186" i="4"/>
  <c r="T113" i="4"/>
  <c r="T162" i="4"/>
  <c r="U70" i="4"/>
  <c r="G106" i="4" s="1"/>
  <c r="AA105" i="4"/>
  <c r="AA80" i="4"/>
  <c r="M116" i="4" s="1"/>
  <c r="M141" i="4"/>
  <c r="M134" i="4" s="1"/>
  <c r="M150" i="4" s="1"/>
  <c r="J39" i="5" s="1"/>
  <c r="X62" i="4"/>
  <c r="J98" i="4"/>
  <c r="AC67" i="4"/>
  <c r="O103" i="4"/>
  <c r="AB130" i="4"/>
  <c r="AB131" i="4" s="1"/>
  <c r="K19" i="5" s="1"/>
  <c r="Z119" i="4"/>
  <c r="I13" i="5" s="1"/>
  <c r="Y130" i="4"/>
  <c r="Y131" i="4" s="1"/>
  <c r="H19" i="5" s="1"/>
  <c r="W119" i="4"/>
  <c r="F13" i="5" s="1"/>
  <c r="AA130" i="4"/>
  <c r="AA131" i="4" s="1"/>
  <c r="J19" i="5" s="1"/>
  <c r="Z130" i="4"/>
  <c r="Z131" i="4" s="1"/>
  <c r="I19" i="5" s="1"/>
  <c r="X130" i="4"/>
  <c r="X131" i="4" s="1"/>
  <c r="G19" i="5" s="1"/>
  <c r="AD119" i="4"/>
  <c r="M13" i="5" s="1"/>
  <c r="W130" i="4"/>
  <c r="W131" i="4" s="1"/>
  <c r="F19" i="5" s="1"/>
  <c r="AC119" i="4"/>
  <c r="L13" i="5" s="1"/>
  <c r="V119" i="4"/>
  <c r="E13" i="5" s="1"/>
  <c r="U119" i="4"/>
  <c r="D13" i="5" s="1"/>
  <c r="X119" i="4"/>
  <c r="G13" i="5" s="1"/>
  <c r="T119" i="4"/>
  <c r="C13" i="5" s="1"/>
  <c r="AC130" i="4"/>
  <c r="AC131" i="4" s="1"/>
  <c r="L19" i="5" s="1"/>
  <c r="S130" i="4"/>
  <c r="S138" i="4" s="1"/>
  <c r="AB119" i="4"/>
  <c r="K13" i="5" s="1"/>
  <c r="AA119" i="4"/>
  <c r="J13" i="5" s="1"/>
  <c r="Y119" i="4"/>
  <c r="H13" i="5" s="1"/>
  <c r="V130" i="4"/>
  <c r="V131" i="4" s="1"/>
  <c r="E19" i="5" s="1"/>
  <c r="U130" i="4"/>
  <c r="U131" i="4" s="1"/>
  <c r="D19" i="5" s="1"/>
  <c r="T130" i="4"/>
  <c r="T131" i="4" s="1"/>
  <c r="C19" i="5" s="1"/>
  <c r="W68" i="4"/>
  <c r="I104" i="4" s="1"/>
  <c r="I137" i="4"/>
  <c r="I134" i="4" s="1"/>
  <c r="I150" i="4" s="1"/>
  <c r="F39" i="5" s="1"/>
  <c r="W76" i="4"/>
  <c r="W101" i="4"/>
  <c r="I112" i="4"/>
  <c r="X79" i="4"/>
  <c r="J115" i="4" s="1"/>
  <c r="Y85" i="4"/>
  <c r="K121" i="4" s="1"/>
  <c r="U72" i="4"/>
  <c r="G108" i="4"/>
  <c r="L59" i="4"/>
  <c r="U111" i="4" l="1"/>
  <c r="U160" i="4"/>
  <c r="U208" i="4"/>
  <c r="U184" i="4"/>
  <c r="U156" i="4"/>
  <c r="U204" i="4"/>
  <c r="U107" i="4"/>
  <c r="U180" i="4"/>
  <c r="V159" i="4"/>
  <c r="V110" i="4"/>
  <c r="V183" i="4"/>
  <c r="V207" i="4"/>
  <c r="AB169" i="4"/>
  <c r="AB193" i="4"/>
  <c r="AB96" i="4"/>
  <c r="AB145" i="4"/>
  <c r="AB176" i="4"/>
  <c r="AB152" i="4"/>
  <c r="AB103" i="4"/>
  <c r="AB200" i="4"/>
  <c r="AC170" i="4"/>
  <c r="AC146" i="4"/>
  <c r="AC97" i="4"/>
  <c r="AC194" i="4"/>
  <c r="X201" i="4"/>
  <c r="X104" i="4"/>
  <c r="X153" i="4"/>
  <c r="X177" i="4"/>
  <c r="AD109" i="4"/>
  <c r="AD206" i="4"/>
  <c r="AD182" i="4"/>
  <c r="AD158" i="4"/>
  <c r="AB199" i="4"/>
  <c r="AB102" i="4"/>
  <c r="AB175" i="4"/>
  <c r="AB151" i="4"/>
  <c r="AC113" i="4"/>
  <c r="AC186" i="4"/>
  <c r="AC162" i="4"/>
  <c r="AC210" i="4"/>
  <c r="Z204" i="4"/>
  <c r="Z180" i="4"/>
  <c r="Z107" i="4"/>
  <c r="Z156" i="4"/>
  <c r="Z208" i="4"/>
  <c r="Z184" i="4"/>
  <c r="Z160" i="4"/>
  <c r="Z111" i="4"/>
  <c r="AC201" i="4"/>
  <c r="AC153" i="4"/>
  <c r="AC177" i="4"/>
  <c r="AC104" i="4"/>
  <c r="AD153" i="4"/>
  <c r="AD104" i="4"/>
  <c r="AD177" i="4"/>
  <c r="AD201" i="4"/>
  <c r="Z112" i="4"/>
  <c r="Z185" i="4"/>
  <c r="Z209" i="4"/>
  <c r="Z161" i="4"/>
  <c r="U182" i="4"/>
  <c r="U109" i="4"/>
  <c r="U206" i="4"/>
  <c r="U158" i="4"/>
  <c r="W210" i="4"/>
  <c r="W162" i="4"/>
  <c r="W186" i="4"/>
  <c r="W113" i="4"/>
  <c r="Y173" i="4"/>
  <c r="Y149" i="4"/>
  <c r="Y100" i="4"/>
  <c r="Y197" i="4"/>
  <c r="AA207" i="4"/>
  <c r="AA159" i="4"/>
  <c r="AA183" i="4"/>
  <c r="AA110" i="4"/>
  <c r="AC161" i="4"/>
  <c r="AC209" i="4"/>
  <c r="AC185" i="4"/>
  <c r="AC112" i="4"/>
  <c r="AA161" i="4"/>
  <c r="AA209" i="4"/>
  <c r="AA185" i="4"/>
  <c r="AA112" i="4"/>
  <c r="AB194" i="4"/>
  <c r="AB170" i="4"/>
  <c r="AB97" i="4"/>
  <c r="AB146" i="4"/>
  <c r="U175" i="4"/>
  <c r="U199" i="4"/>
  <c r="U102" i="4"/>
  <c r="U151" i="4"/>
  <c r="X150" i="4"/>
  <c r="X198" i="4"/>
  <c r="X174" i="4"/>
  <c r="X101" i="4"/>
  <c r="Y185" i="4"/>
  <c r="Y209" i="4"/>
  <c r="Y112" i="4"/>
  <c r="Y161" i="4"/>
  <c r="AC149" i="4"/>
  <c r="AC100" i="4"/>
  <c r="AC173" i="4"/>
  <c r="AC197" i="4"/>
  <c r="AB201" i="4"/>
  <c r="AB153" i="4"/>
  <c r="AB177" i="4"/>
  <c r="AB104" i="4"/>
  <c r="U205" i="4"/>
  <c r="U157" i="4"/>
  <c r="U181" i="4"/>
  <c r="U108" i="4"/>
  <c r="AA182" i="4"/>
  <c r="AA109" i="4"/>
  <c r="AA158" i="4"/>
  <c r="AA206" i="4"/>
  <c r="AB183" i="4"/>
  <c r="AB207" i="4"/>
  <c r="AB159" i="4"/>
  <c r="AB110" i="4"/>
  <c r="Z109" i="4"/>
  <c r="Z158" i="4"/>
  <c r="Z206" i="4"/>
  <c r="Z182" i="4"/>
  <c r="V200" i="4"/>
  <c r="V152" i="4"/>
  <c r="V103" i="4"/>
  <c r="V176" i="4"/>
  <c r="W173" i="4"/>
  <c r="W149" i="4"/>
  <c r="W197" i="4"/>
  <c r="W100" i="4"/>
  <c r="AD155" i="4"/>
  <c r="AD203" i="4"/>
  <c r="AD179" i="4"/>
  <c r="AD106" i="4"/>
  <c r="Y208" i="4"/>
  <c r="Y111" i="4"/>
  <c r="Y184" i="4"/>
  <c r="Y160" i="4"/>
  <c r="V184" i="4"/>
  <c r="V111" i="4"/>
  <c r="V160" i="4"/>
  <c r="V208" i="4"/>
  <c r="AD146" i="4"/>
  <c r="AD97" i="4"/>
  <c r="AD194" i="4"/>
  <c r="AD170" i="4"/>
  <c r="Y175" i="4"/>
  <c r="Y199" i="4"/>
  <c r="Y151" i="4"/>
  <c r="Y102" i="4"/>
  <c r="W203" i="4"/>
  <c r="W155" i="4"/>
  <c r="W106" i="4"/>
  <c r="W179" i="4"/>
  <c r="Y194" i="4"/>
  <c r="Y170" i="4"/>
  <c r="Y146" i="4"/>
  <c r="Y97" i="4"/>
  <c r="V210" i="4"/>
  <c r="V162" i="4"/>
  <c r="V113" i="4"/>
  <c r="V186" i="4"/>
  <c r="Y179" i="4"/>
  <c r="Y203" i="4"/>
  <c r="Y155" i="4"/>
  <c r="Y106" i="4"/>
  <c r="Y110" i="4"/>
  <c r="Y207" i="4"/>
  <c r="Y183" i="4"/>
  <c r="Y159" i="4"/>
  <c r="AA169" i="4"/>
  <c r="AA193" i="4"/>
  <c r="AA96" i="4"/>
  <c r="AA145" i="4"/>
  <c r="Y180" i="4"/>
  <c r="Y107" i="4"/>
  <c r="Y204" i="4"/>
  <c r="Y156" i="4"/>
  <c r="Z110" i="4"/>
  <c r="Z207" i="4"/>
  <c r="Z159" i="4"/>
  <c r="Z183" i="4"/>
  <c r="Z203" i="4"/>
  <c r="Z155" i="4"/>
  <c r="Z106" i="4"/>
  <c r="Z179" i="4"/>
  <c r="U202" i="4"/>
  <c r="U178" i="4"/>
  <c r="U105" i="4"/>
  <c r="U154" i="4"/>
  <c r="AA174" i="4"/>
  <c r="AA150" i="4"/>
  <c r="AA101" i="4"/>
  <c r="AA198" i="4"/>
  <c r="U153" i="4"/>
  <c r="U104" i="4"/>
  <c r="U177" i="4"/>
  <c r="U201" i="4"/>
  <c r="X186" i="4"/>
  <c r="X210" i="4"/>
  <c r="X162" i="4"/>
  <c r="X113" i="4"/>
  <c r="Z194" i="4"/>
  <c r="Z170" i="4"/>
  <c r="Z146" i="4"/>
  <c r="Z97" i="4"/>
  <c r="X197" i="4"/>
  <c r="X173" i="4"/>
  <c r="X149" i="4"/>
  <c r="X100" i="4"/>
  <c r="AA107" i="4"/>
  <c r="AA156" i="4"/>
  <c r="AA204" i="4"/>
  <c r="AA180" i="4"/>
  <c r="U137" i="4"/>
  <c r="U136" i="4" s="1"/>
  <c r="AA157" i="4"/>
  <c r="AA181" i="4"/>
  <c r="AA108" i="4"/>
  <c r="AA205" i="4"/>
  <c r="Z178" i="4"/>
  <c r="Z202" i="4"/>
  <c r="Z154" i="4"/>
  <c r="Z105" i="4"/>
  <c r="AC183" i="4"/>
  <c r="AC207" i="4"/>
  <c r="AC159" i="4"/>
  <c r="AC110" i="4"/>
  <c r="AB174" i="4"/>
  <c r="AB198" i="4"/>
  <c r="AB150" i="4"/>
  <c r="AB101" i="4"/>
  <c r="AC179" i="4"/>
  <c r="AC155" i="4"/>
  <c r="AC106" i="4"/>
  <c r="AC203" i="4"/>
  <c r="AD186" i="4"/>
  <c r="AD113" i="4"/>
  <c r="AD210" i="4"/>
  <c r="AD162" i="4"/>
  <c r="Z151" i="4"/>
  <c r="Z199" i="4"/>
  <c r="Z102" i="4"/>
  <c r="Z175" i="4"/>
  <c r="Y201" i="4"/>
  <c r="Y177" i="4"/>
  <c r="Y153" i="4"/>
  <c r="Y104" i="4"/>
  <c r="AC109" i="4"/>
  <c r="AC206" i="4"/>
  <c r="AC182" i="4"/>
  <c r="AC158" i="4"/>
  <c r="AB108" i="4"/>
  <c r="AB181" i="4"/>
  <c r="AB205" i="4"/>
  <c r="AB157" i="4"/>
  <c r="V181" i="4"/>
  <c r="V205" i="4"/>
  <c r="V157" i="4"/>
  <c r="V108" i="4"/>
  <c r="AA199" i="4"/>
  <c r="AA151" i="4"/>
  <c r="AA102" i="4"/>
  <c r="AA175" i="4"/>
  <c r="U176" i="4"/>
  <c r="U152" i="4"/>
  <c r="U103" i="4"/>
  <c r="U200" i="4"/>
  <c r="AD174" i="4"/>
  <c r="AD198" i="4"/>
  <c r="AD150" i="4"/>
  <c r="AD101" i="4"/>
  <c r="AC151" i="4"/>
  <c r="AC199" i="4"/>
  <c r="AC102" i="4"/>
  <c r="AC175" i="4"/>
  <c r="U112" i="4"/>
  <c r="U161" i="4"/>
  <c r="U209" i="4"/>
  <c r="U185" i="4"/>
  <c r="AA197" i="4"/>
  <c r="AA149" i="4"/>
  <c r="AA100" i="4"/>
  <c r="AA173" i="4"/>
  <c r="AB161" i="4"/>
  <c r="AB112" i="4"/>
  <c r="AB185" i="4"/>
  <c r="AB209" i="4"/>
  <c r="AC198" i="4"/>
  <c r="AC101" i="4"/>
  <c r="AC174" i="4"/>
  <c r="AC150" i="4"/>
  <c r="Z150" i="4"/>
  <c r="Z101" i="4"/>
  <c r="Z198" i="4"/>
  <c r="Z174" i="4"/>
  <c r="X157" i="4"/>
  <c r="X181" i="4"/>
  <c r="X205" i="4"/>
  <c r="X108" i="4"/>
  <c r="V175" i="4"/>
  <c r="V102" i="4"/>
  <c r="V151" i="4"/>
  <c r="V199" i="4"/>
  <c r="AD154" i="4"/>
  <c r="AD178" i="4"/>
  <c r="AD105" i="4"/>
  <c r="AD202" i="4"/>
  <c r="AA176" i="4"/>
  <c r="AA152" i="4"/>
  <c r="AA200" i="4"/>
  <c r="AA103" i="4"/>
  <c r="U210" i="4"/>
  <c r="U113" i="4"/>
  <c r="U162" i="4"/>
  <c r="U186" i="4"/>
  <c r="X203" i="4"/>
  <c r="X155" i="4"/>
  <c r="X106" i="4"/>
  <c r="X179" i="4"/>
  <c r="W157" i="4"/>
  <c r="W205" i="4"/>
  <c r="W181" i="4"/>
  <c r="W108" i="4"/>
  <c r="Z149" i="4"/>
  <c r="Z100" i="4"/>
  <c r="Z173" i="4"/>
  <c r="Z197" i="4"/>
  <c r="U203" i="4"/>
  <c r="U155" i="4"/>
  <c r="U179" i="4"/>
  <c r="U106" i="4"/>
  <c r="AD209" i="4"/>
  <c r="AD185" i="4"/>
  <c r="AD112" i="4"/>
  <c r="AD161" i="4"/>
  <c r="Y157" i="4"/>
  <c r="Y181" i="4"/>
  <c r="Y205" i="4"/>
  <c r="Y108" i="4"/>
  <c r="W178" i="4"/>
  <c r="W105" i="4"/>
  <c r="W202" i="4"/>
  <c r="W154" i="4"/>
  <c r="Z200" i="4"/>
  <c r="Z152" i="4"/>
  <c r="Z176" i="4"/>
  <c r="Z103" i="4"/>
  <c r="W183" i="4"/>
  <c r="W159" i="4"/>
  <c r="W110" i="4"/>
  <c r="W207" i="4"/>
  <c r="Z157" i="4"/>
  <c r="Z205" i="4"/>
  <c r="Z181" i="4"/>
  <c r="Z108" i="4"/>
  <c r="X182" i="4"/>
  <c r="X158" i="4"/>
  <c r="X206" i="4"/>
  <c r="X109" i="4"/>
  <c r="V138" i="4"/>
  <c r="F14" i="5" s="1"/>
  <c r="U138" i="4"/>
  <c r="E14" i="5" s="1"/>
  <c r="T138" i="4"/>
  <c r="D14" i="5" s="1"/>
  <c r="C14" i="5"/>
  <c r="AC138" i="4"/>
  <c r="M14" i="5" s="1"/>
  <c r="X138" i="4"/>
  <c r="H14" i="5" s="1"/>
  <c r="W138" i="4"/>
  <c r="G14" i="5" s="1"/>
  <c r="AB138" i="4"/>
  <c r="L14" i="5" s="1"/>
  <c r="AA138" i="4"/>
  <c r="K14" i="5" s="1"/>
  <c r="Z138" i="4"/>
  <c r="J14" i="5" s="1"/>
  <c r="Y138" i="4"/>
  <c r="I14" i="5" s="1"/>
  <c r="W74" i="4"/>
  <c r="W73" i="4" s="1"/>
  <c r="I110" i="4"/>
  <c r="I73" i="4"/>
  <c r="W206" i="4"/>
  <c r="W158" i="4"/>
  <c r="W182" i="4"/>
  <c r="W109" i="4"/>
  <c r="H97" i="4"/>
  <c r="AA59" i="4"/>
  <c r="AA89" i="4" s="1"/>
  <c r="J5" i="5" s="1"/>
  <c r="W59" i="4"/>
  <c r="W89" i="4" s="1"/>
  <c r="F5" i="5" s="1"/>
  <c r="X74" i="4"/>
  <c r="X73" i="4" s="1"/>
  <c r="J73" i="4"/>
  <c r="J110" i="4"/>
  <c r="AC59" i="4"/>
  <c r="AC89" i="4" s="1"/>
  <c r="L5" i="5" s="1"/>
  <c r="I96" i="4"/>
  <c r="T192" i="4"/>
  <c r="F125" i="4"/>
  <c r="C6" i="5" s="1"/>
  <c r="T168" i="4"/>
  <c r="T144" i="4"/>
  <c r="T95" i="4"/>
  <c r="V180" i="4"/>
  <c r="V107" i="4"/>
  <c r="V204" i="4"/>
  <c r="V156" i="4"/>
  <c r="C41" i="5" a="1"/>
  <c r="I89" i="4"/>
  <c r="F4" i="5" s="1"/>
  <c r="X89" i="4"/>
  <c r="G5" i="5" s="1"/>
  <c r="C20" i="5"/>
  <c r="B44" i="5"/>
  <c r="X170" i="4"/>
  <c r="X194" i="4"/>
  <c r="X97" i="4"/>
  <c r="X146" i="4"/>
  <c r="AC176" i="4"/>
  <c r="AC200" i="4"/>
  <c r="AC152" i="4"/>
  <c r="AC103" i="4"/>
  <c r="W201" i="4"/>
  <c r="W177" i="4"/>
  <c r="W153" i="4"/>
  <c r="W104" i="4"/>
  <c r="U198" i="4"/>
  <c r="U101" i="4"/>
  <c r="U150" i="4"/>
  <c r="U174" i="4"/>
  <c r="U170" i="4"/>
  <c r="U97" i="4"/>
  <c r="U146" i="4"/>
  <c r="U194" i="4"/>
  <c r="Y74" i="4"/>
  <c r="Y73" i="4" s="1"/>
  <c r="K73" i="4"/>
  <c r="X168" i="4"/>
  <c r="X144" i="4"/>
  <c r="X95" i="4"/>
  <c r="X192" i="4"/>
  <c r="AC178" i="4"/>
  <c r="AC105" i="4"/>
  <c r="AC202" i="4"/>
  <c r="AC154" i="4"/>
  <c r="AD102" i="4"/>
  <c r="AD199" i="4"/>
  <c r="AD175" i="4"/>
  <c r="AD151" i="4"/>
  <c r="O110" i="4"/>
  <c r="O73" i="4"/>
  <c r="AC74" i="4"/>
  <c r="AC73" i="4" s="1"/>
  <c r="G135" i="4"/>
  <c r="G134" i="4" s="1"/>
  <c r="G150" i="4" s="1"/>
  <c r="D39" i="5" s="1"/>
  <c r="U74" i="4"/>
  <c r="U73" i="4" s="1"/>
  <c r="U99" i="4"/>
  <c r="G73" i="4"/>
  <c r="G109" i="4" s="1"/>
  <c r="X180" i="4"/>
  <c r="X107" i="4"/>
  <c r="X204" i="4"/>
  <c r="X156" i="4"/>
  <c r="T132" i="4"/>
  <c r="AB158" i="4"/>
  <c r="AB109" i="4"/>
  <c r="AB206" i="4"/>
  <c r="AB182" i="4"/>
  <c r="AC181" i="4"/>
  <c r="AC108" i="4"/>
  <c r="AC205" i="4"/>
  <c r="AC157" i="4"/>
  <c r="AD176" i="4"/>
  <c r="AD200" i="4"/>
  <c r="AD152" i="4"/>
  <c r="AD103" i="4"/>
  <c r="W103" i="4"/>
  <c r="W176" i="4"/>
  <c r="W152" i="4"/>
  <c r="W200" i="4"/>
  <c r="L95" i="4"/>
  <c r="X208" i="4"/>
  <c r="X111" i="4"/>
  <c r="X184" i="4"/>
  <c r="X160" i="4"/>
  <c r="AB154" i="4"/>
  <c r="AB202" i="4"/>
  <c r="AB178" i="4"/>
  <c r="AB105" i="4"/>
  <c r="O89" i="4"/>
  <c r="L4" i="5" s="1"/>
  <c r="O95" i="4"/>
  <c r="X154" i="4"/>
  <c r="X105" i="4"/>
  <c r="X202" i="4"/>
  <c r="X178" i="4"/>
  <c r="U135" i="4"/>
  <c r="U134" i="4" s="1"/>
  <c r="W180" i="4"/>
  <c r="W204" i="4"/>
  <c r="W107" i="4"/>
  <c r="W156" i="4"/>
  <c r="W194" i="4"/>
  <c r="W170" i="4"/>
  <c r="W146" i="4"/>
  <c r="W97" i="4"/>
  <c r="V182" i="4"/>
  <c r="V206" i="4"/>
  <c r="V158" i="4"/>
  <c r="V109" i="4"/>
  <c r="AB173" i="4"/>
  <c r="AB100" i="4"/>
  <c r="AB149" i="4"/>
  <c r="AB197" i="4"/>
  <c r="Y105" i="4"/>
  <c r="Y178" i="4"/>
  <c r="Y202" i="4"/>
  <c r="Y154" i="4"/>
  <c r="U59" i="4"/>
  <c r="U89" i="4" s="1"/>
  <c r="D5" i="5" s="1"/>
  <c r="L73" i="4"/>
  <c r="Z74" i="4"/>
  <c r="Z73" i="4" s="1"/>
  <c r="Z89" i="4" s="1"/>
  <c r="I5" i="5" s="1"/>
  <c r="AB59" i="4"/>
  <c r="AB89" i="4" s="1"/>
  <c r="K5" i="5" s="1"/>
  <c r="U110" i="4"/>
  <c r="U159" i="4"/>
  <c r="U183" i="4"/>
  <c r="U207" i="4"/>
  <c r="V146" i="4"/>
  <c r="V170" i="4"/>
  <c r="V97" i="4"/>
  <c r="V194" i="4"/>
  <c r="F110" i="4"/>
  <c r="Y169" i="4"/>
  <c r="Y145" i="4"/>
  <c r="Y193" i="4"/>
  <c r="Y96" i="4"/>
  <c r="V74" i="4"/>
  <c r="V73" i="4" s="1"/>
  <c r="V89" i="4" s="1"/>
  <c r="E5" i="5" s="1"/>
  <c r="H73" i="4"/>
  <c r="Y158" i="4"/>
  <c r="Y206" i="4"/>
  <c r="Y182" i="4"/>
  <c r="Y109" i="4"/>
  <c r="N73" i="4"/>
  <c r="AB74" i="4"/>
  <c r="AB73" i="4" s="1"/>
  <c r="H89" i="4"/>
  <c r="E4" i="5" s="1"/>
  <c r="H95" i="4"/>
  <c r="AD74" i="4"/>
  <c r="AD73" i="4" s="1"/>
  <c r="P73" i="4"/>
  <c r="P109" i="4" s="1"/>
  <c r="V150" i="4"/>
  <c r="V174" i="4"/>
  <c r="V198" i="4"/>
  <c r="V101" i="4"/>
  <c r="W185" i="4"/>
  <c r="W112" i="4"/>
  <c r="W161" i="4"/>
  <c r="W209" i="4"/>
  <c r="V153" i="4"/>
  <c r="V201" i="4"/>
  <c r="V104" i="4"/>
  <c r="V177" i="4"/>
  <c r="Z145" i="4"/>
  <c r="Z193" i="4"/>
  <c r="Z96" i="4"/>
  <c r="Z169" i="4"/>
  <c r="U173" i="4"/>
  <c r="U197" i="4"/>
  <c r="U149" i="4"/>
  <c r="U100" i="4"/>
  <c r="V203" i="4"/>
  <c r="V179" i="4"/>
  <c r="V155" i="4"/>
  <c r="V106" i="4"/>
  <c r="AD183" i="4"/>
  <c r="AD207" i="4"/>
  <c r="AD159" i="4"/>
  <c r="AD110" i="4"/>
  <c r="AA177" i="4"/>
  <c r="AA201" i="4"/>
  <c r="AA153" i="4"/>
  <c r="AA104" i="4"/>
  <c r="X161" i="4"/>
  <c r="X185" i="4"/>
  <c r="X209" i="4"/>
  <c r="X112" i="4"/>
  <c r="AA155" i="4"/>
  <c r="AA179" i="4"/>
  <c r="AA106" i="4"/>
  <c r="AA203" i="4"/>
  <c r="M73" i="4"/>
  <c r="AA74" i="4"/>
  <c r="AA73" i="4" s="1"/>
  <c r="G89" i="4"/>
  <c r="D4" i="5" s="1"/>
  <c r="G95" i="4"/>
  <c r="W160" i="4"/>
  <c r="W208" i="4"/>
  <c r="W111" i="4"/>
  <c r="W184" i="4"/>
  <c r="W151" i="4"/>
  <c r="W102" i="4"/>
  <c r="W199" i="4"/>
  <c r="W175" i="4"/>
  <c r="C22" i="5"/>
  <c r="Y59" i="4"/>
  <c r="AD59" i="4"/>
  <c r="AC160" i="4"/>
  <c r="AC184" i="4"/>
  <c r="AC111" i="4"/>
  <c r="AC208" i="4"/>
  <c r="V137" i="4" l="1"/>
  <c r="V136" i="4" s="1"/>
  <c r="V135" i="4"/>
  <c r="V134" i="4" s="1"/>
  <c r="L109" i="4"/>
  <c r="U133" i="4"/>
  <c r="D20" i="5" s="1"/>
  <c r="D22" i="5" s="1"/>
  <c r="AD89" i="4"/>
  <c r="M5" i="5" s="1"/>
  <c r="P89" i="4"/>
  <c r="M4" i="5" s="1"/>
  <c r="N109" i="4"/>
  <c r="N89" i="4"/>
  <c r="K4" i="5" s="1"/>
  <c r="I109" i="4"/>
  <c r="N110" i="4"/>
  <c r="W172" i="4"/>
  <c r="W171" i="4" s="1"/>
  <c r="W196" i="4"/>
  <c r="W195" i="4" s="1"/>
  <c r="W148" i="4"/>
  <c r="W147" i="4" s="1"/>
  <c r="W99" i="4"/>
  <c r="W98" i="4" s="1"/>
  <c r="U168" i="4"/>
  <c r="G125" i="4"/>
  <c r="D6" i="5" s="1"/>
  <c r="U144" i="4"/>
  <c r="U192" i="4"/>
  <c r="U211" i="4" s="1"/>
  <c r="D11" i="5" s="1"/>
  <c r="U95" i="4"/>
  <c r="U114" i="4" s="1"/>
  <c r="D12" i="5" s="1"/>
  <c r="M109" i="4"/>
  <c r="M95" i="4"/>
  <c r="T114" i="4"/>
  <c r="C12" i="5" s="1"/>
  <c r="T187" i="4"/>
  <c r="C10" i="5" s="1"/>
  <c r="M110" i="4"/>
  <c r="B45" i="5"/>
  <c r="X211" i="4"/>
  <c r="G11" i="5" s="1"/>
  <c r="U98" i="4"/>
  <c r="G110" i="4"/>
  <c r="J41" i="5"/>
  <c r="G41" i="5"/>
  <c r="E41" i="5"/>
  <c r="D41" i="5"/>
  <c r="C41" i="5"/>
  <c r="K41" i="5"/>
  <c r="I41" i="5"/>
  <c r="H41" i="5"/>
  <c r="L41" i="5"/>
  <c r="F41" i="5"/>
  <c r="U147" i="4"/>
  <c r="K110" i="4"/>
  <c r="J109" i="4"/>
  <c r="J125" i="4" s="1"/>
  <c r="G6" i="5" s="1"/>
  <c r="J89" i="4"/>
  <c r="G4" i="5" s="1"/>
  <c r="AC95" i="4"/>
  <c r="AC192" i="4"/>
  <c r="AC144" i="4"/>
  <c r="AC163" i="4" s="1"/>
  <c r="L9" i="5" s="1"/>
  <c r="AC168" i="4"/>
  <c r="P95" i="4"/>
  <c r="T211" i="4"/>
  <c r="C11" i="5" s="1"/>
  <c r="N95" i="4"/>
  <c r="M89" i="4"/>
  <c r="J4" i="5" s="1"/>
  <c r="I95" i="4"/>
  <c r="X187" i="4"/>
  <c r="G10" i="5" s="1"/>
  <c r="X148" i="4"/>
  <c r="X147" i="4" s="1"/>
  <c r="X163" i="4" s="1"/>
  <c r="G9" i="5" s="1"/>
  <c r="X196" i="4"/>
  <c r="X195" i="4" s="1"/>
  <c r="X99" i="4"/>
  <c r="X98" i="4" s="1"/>
  <c r="X172" i="4"/>
  <c r="X171" i="4" s="1"/>
  <c r="U195" i="4"/>
  <c r="H109" i="4"/>
  <c r="L89" i="4"/>
  <c r="I4" i="5" s="1"/>
  <c r="O109" i="4"/>
  <c r="O125" i="4" s="1"/>
  <c r="L6" i="5" s="1"/>
  <c r="K109" i="4"/>
  <c r="K89" i="4"/>
  <c r="H4" i="5" s="1"/>
  <c r="L110" i="4"/>
  <c r="T163" i="4"/>
  <c r="C9" i="5" s="1"/>
  <c r="C16" i="5" s="1"/>
  <c r="P110" i="4"/>
  <c r="V144" i="4"/>
  <c r="V168" i="4"/>
  <c r="V192" i="4"/>
  <c r="V95" i="4"/>
  <c r="H125" i="4"/>
  <c r="E6" i="5" s="1"/>
  <c r="Y89" i="4"/>
  <c r="H5" i="5" s="1"/>
  <c r="K95" i="4"/>
  <c r="T148" i="4"/>
  <c r="T147" i="4" s="1"/>
  <c r="T196" i="4"/>
  <c r="T195" i="4" s="1"/>
  <c r="T172" i="4"/>
  <c r="T171" i="4" s="1"/>
  <c r="T99" i="4"/>
  <c r="T98" i="4" s="1"/>
  <c r="X114" i="4"/>
  <c r="G12" i="5" s="1"/>
  <c r="U171" i="4"/>
  <c r="H110" i="4"/>
  <c r="Z192" i="4"/>
  <c r="Z168" i="4"/>
  <c r="Z144" i="4"/>
  <c r="L125" i="4"/>
  <c r="I6" i="5" s="1"/>
  <c r="Z95" i="4"/>
  <c r="AC196" i="4"/>
  <c r="AC195" i="4" s="1"/>
  <c r="AC99" i="4"/>
  <c r="AC98" i="4" s="1"/>
  <c r="AC172" i="4"/>
  <c r="AC171" i="4" s="1"/>
  <c r="AC148" i="4"/>
  <c r="AC147" i="4" s="1"/>
  <c r="C25" i="5" l="1"/>
  <c r="C28" i="5" s="1"/>
  <c r="C30" i="5" s="1"/>
  <c r="C31" i="5" s="1"/>
  <c r="C40" i="5"/>
  <c r="C23" i="4"/>
  <c r="W135" i="4"/>
  <c r="W134" i="4"/>
  <c r="W137" i="4"/>
  <c r="W136" i="4" s="1"/>
  <c r="AA172" i="4"/>
  <c r="AA171" i="4" s="1"/>
  <c r="AA99" i="4"/>
  <c r="AA98" i="4" s="1"/>
  <c r="AA148" i="4"/>
  <c r="AA147" i="4" s="1"/>
  <c r="AA196" i="4"/>
  <c r="AA195" i="4" s="1"/>
  <c r="W168" i="4"/>
  <c r="W187" i="4" s="1"/>
  <c r="F10" i="5" s="1"/>
  <c r="W144" i="4"/>
  <c r="W163" i="4" s="1"/>
  <c r="F9" i="5" s="1"/>
  <c r="W192" i="4"/>
  <c r="W211" i="4" s="1"/>
  <c r="F11" i="5" s="1"/>
  <c r="I125" i="4"/>
  <c r="F6" i="5" s="1"/>
  <c r="W95" i="4"/>
  <c r="W114" i="4" s="1"/>
  <c r="F12" i="5" s="1"/>
  <c r="AB192" i="4"/>
  <c r="N125" i="4"/>
  <c r="K6" i="5" s="1"/>
  <c r="AB168" i="4"/>
  <c r="AB144" i="4"/>
  <c r="AB95" i="4"/>
  <c r="AA192" i="4"/>
  <c r="AA168" i="4"/>
  <c r="AA144" i="4"/>
  <c r="M125" i="4"/>
  <c r="J6" i="5" s="1"/>
  <c r="AA95" i="4"/>
  <c r="AA114" i="4" s="1"/>
  <c r="J12" i="5" s="1"/>
  <c r="U132" i="4"/>
  <c r="G16" i="5"/>
  <c r="Y196" i="4"/>
  <c r="Y195" i="4" s="1"/>
  <c r="Y172" i="4"/>
  <c r="Y171" i="4" s="1"/>
  <c r="Y99" i="4"/>
  <c r="Y98" i="4" s="1"/>
  <c r="Y148" i="4"/>
  <c r="Y147" i="4" s="1"/>
  <c r="Z172" i="4"/>
  <c r="Z171" i="4" s="1"/>
  <c r="Z187" i="4" s="1"/>
  <c r="I10" i="5" s="1"/>
  <c r="I16" i="5" s="1"/>
  <c r="Z99" i="4"/>
  <c r="Z98" i="4" s="1"/>
  <c r="Z114" i="4" s="1"/>
  <c r="I12" i="5" s="1"/>
  <c r="Z196" i="4"/>
  <c r="Z195" i="4" s="1"/>
  <c r="Z211" i="4" s="1"/>
  <c r="I11" i="5" s="1"/>
  <c r="Z148" i="4"/>
  <c r="Z147" i="4" s="1"/>
  <c r="AC187" i="4"/>
  <c r="L10" i="5" s="1"/>
  <c r="AB148" i="4"/>
  <c r="AB147" i="4" s="1"/>
  <c r="AB196" i="4"/>
  <c r="AB195" i="4" s="1"/>
  <c r="AB99" i="4"/>
  <c r="AB98" i="4" s="1"/>
  <c r="AB172" i="4"/>
  <c r="AB171" i="4" s="1"/>
  <c r="V163" i="4"/>
  <c r="E9" i="5" s="1"/>
  <c r="U163" i="4"/>
  <c r="D9" i="5" s="1"/>
  <c r="AC211" i="4"/>
  <c r="L11" i="5" s="1"/>
  <c r="U187" i="4"/>
  <c r="D10" i="5" s="1"/>
  <c r="D16" i="5" s="1"/>
  <c r="Z163" i="4"/>
  <c r="I9" i="5" s="1"/>
  <c r="AD196" i="4"/>
  <c r="AD195" i="4" s="1"/>
  <c r="AD172" i="4"/>
  <c r="AD171" i="4" s="1"/>
  <c r="AD99" i="4"/>
  <c r="AD98" i="4" s="1"/>
  <c r="AD148" i="4"/>
  <c r="AD147" i="4" s="1"/>
  <c r="V196" i="4"/>
  <c r="V195" i="4" s="1"/>
  <c r="V211" i="4" s="1"/>
  <c r="E11" i="5" s="1"/>
  <c r="V148" i="4"/>
  <c r="V147" i="4" s="1"/>
  <c r="V172" i="4"/>
  <c r="V171" i="4" s="1"/>
  <c r="V187" i="4" s="1"/>
  <c r="E10" i="5" s="1"/>
  <c r="V99" i="4"/>
  <c r="V98" i="4" s="1"/>
  <c r="V114" i="4" s="1"/>
  <c r="E12" i="5" s="1"/>
  <c r="AD144" i="4"/>
  <c r="AD163" i="4" s="1"/>
  <c r="M9" i="5" s="1"/>
  <c r="AD95" i="4"/>
  <c r="AD192" i="4"/>
  <c r="P125" i="4"/>
  <c r="M6" i="5" s="1"/>
  <c r="AD168" i="4"/>
  <c r="Y144" i="4"/>
  <c r="Y163" i="4" s="1"/>
  <c r="H9" i="5" s="1"/>
  <c r="Y95" i="4"/>
  <c r="Y114" i="4" s="1"/>
  <c r="H12" i="5" s="1"/>
  <c r="Y192" i="4"/>
  <c r="Y211" i="4" s="1"/>
  <c r="H11" i="5" s="1"/>
  <c r="Y168" i="4"/>
  <c r="Y187" i="4" s="1"/>
  <c r="H10" i="5" s="1"/>
  <c r="K125" i="4"/>
  <c r="H6" i="5" s="1"/>
  <c r="H16" i="5" s="1"/>
  <c r="AC114" i="4"/>
  <c r="L12" i="5" s="1"/>
  <c r="L16" i="5" l="1"/>
  <c r="I40" i="5"/>
  <c r="E16" i="5"/>
  <c r="X137" i="4"/>
  <c r="X136" i="4" s="1"/>
  <c r="L40" i="5"/>
  <c r="AA163" i="4"/>
  <c r="J9" i="5" s="1"/>
  <c r="AB114" i="4"/>
  <c r="K12" i="5" s="1"/>
  <c r="G40" i="5"/>
  <c r="AB163" i="4"/>
  <c r="K9" i="5" s="1"/>
  <c r="AD187" i="4"/>
  <c r="M10" i="5" s="1"/>
  <c r="J16" i="5"/>
  <c r="AB211" i="4"/>
  <c r="K11" i="5" s="1"/>
  <c r="H40" i="5"/>
  <c r="D25" i="5"/>
  <c r="D28" i="5" s="1"/>
  <c r="D30" i="5" s="1"/>
  <c r="D31" i="5" s="1"/>
  <c r="D40" i="5"/>
  <c r="F16" i="5"/>
  <c r="V133" i="4"/>
  <c r="E20" i="5" s="1"/>
  <c r="E22" i="5" s="1"/>
  <c r="AA187" i="4"/>
  <c r="J10" i="5" s="1"/>
  <c r="AA211" i="4"/>
  <c r="J11" i="5" s="1"/>
  <c r="AB187" i="4"/>
  <c r="K10" i="5" s="1"/>
  <c r="X135" i="4"/>
  <c r="X134" i="4"/>
  <c r="AD211" i="4"/>
  <c r="M11" i="5" s="1"/>
  <c r="AD114" i="4"/>
  <c r="M12" i="5" s="1"/>
  <c r="K16" i="5" l="1"/>
  <c r="M16" i="5"/>
  <c r="L37" i="5" s="1"/>
  <c r="L38" i="5"/>
  <c r="K40" i="5"/>
  <c r="Y137" i="4"/>
  <c r="Y136" i="4" s="1"/>
  <c r="J40" i="5"/>
  <c r="Y135" i="4"/>
  <c r="Y134" i="4" s="1"/>
  <c r="E40" i="5"/>
  <c r="E25" i="5"/>
  <c r="E28" i="5" s="1"/>
  <c r="E30" i="5" s="1"/>
  <c r="E31" i="5" s="1"/>
  <c r="V132" i="4"/>
  <c r="F40" i="5"/>
  <c r="Z135" i="4" l="1"/>
  <c r="Z134" i="4"/>
  <c r="Z137" i="4"/>
  <c r="Z136" i="4"/>
  <c r="W133" i="4"/>
  <c r="F20" i="5" s="1"/>
  <c r="F22" i="5" s="1"/>
  <c r="F25" i="5" s="1"/>
  <c r="F28" i="5" s="1"/>
  <c r="F30" i="5" s="1"/>
  <c r="F31" i="5" s="1"/>
  <c r="W132" i="4" l="1"/>
  <c r="AA137" i="4"/>
  <c r="AA136" i="4" s="1"/>
  <c r="AA135" i="4"/>
  <c r="AA134" i="4" s="1"/>
  <c r="AB135" i="4" l="1"/>
  <c r="AB134" i="4" s="1"/>
  <c r="AB137" i="4"/>
  <c r="AB136" i="4"/>
  <c r="X133" i="4"/>
  <c r="G20" i="5" s="1"/>
  <c r="G22" i="5" s="1"/>
  <c r="G25" i="5" s="1"/>
  <c r="G28" i="5" s="1"/>
  <c r="G30" i="5" s="1"/>
  <c r="G31" i="5" s="1"/>
  <c r="X132" i="4"/>
  <c r="AC135" i="4" l="1"/>
  <c r="AC134" i="4" s="1"/>
  <c r="Y133" i="4"/>
  <c r="H20" i="5" s="1"/>
  <c r="H22" i="5" s="1"/>
  <c r="H25" i="5" s="1"/>
  <c r="H28" i="5" s="1"/>
  <c r="H30" i="5" s="1"/>
  <c r="H31" i="5" s="1"/>
  <c r="AC137" i="4"/>
  <c r="AC136" i="4"/>
  <c r="Y132" i="4" l="1"/>
  <c r="Z133" i="4" l="1"/>
  <c r="I20" i="5" s="1"/>
  <c r="I22" i="5" s="1"/>
  <c r="I25" i="5" s="1"/>
  <c r="I28" i="5" s="1"/>
  <c r="I30" i="5" s="1"/>
  <c r="I31" i="5" s="1"/>
  <c r="Z132" i="4"/>
  <c r="AA133" i="4" l="1"/>
  <c r="J20" i="5" s="1"/>
  <c r="J22" i="5" s="1"/>
  <c r="J25" i="5" s="1"/>
  <c r="J28" i="5" s="1"/>
  <c r="J30" i="5" s="1"/>
  <c r="J31" i="5" s="1"/>
  <c r="AA132" i="4"/>
  <c r="AB133" i="4" l="1"/>
  <c r="K20" i="5" s="1"/>
  <c r="K22" i="5" s="1"/>
  <c r="K25" i="5" s="1"/>
  <c r="K28" i="5" s="1"/>
  <c r="K30" i="5" s="1"/>
  <c r="K31" i="5" s="1"/>
  <c r="AB132" i="4" l="1"/>
  <c r="AC133" i="4" l="1"/>
  <c r="L20" i="5" s="1"/>
  <c r="AC132" i="4"/>
  <c r="L22" i="5" l="1"/>
  <c r="L25" i="5" s="1"/>
  <c r="L28" i="5" s="1"/>
  <c r="L29" i="5"/>
  <c r="L30" i="5" l="1"/>
  <c r="L31" i="5" s="1"/>
  <c r="C43" i="5" s="1" a="1"/>
  <c r="G43" i="5" l="1"/>
  <c r="G44" i="5" s="1"/>
  <c r="G45" i="5" s="1"/>
  <c r="D43" i="5"/>
  <c r="D44" i="5" s="1"/>
  <c r="D45" i="5" s="1"/>
  <c r="L43" i="5"/>
  <c r="L44" i="5" s="1"/>
  <c r="L45" i="5" s="1"/>
  <c r="K43" i="5"/>
  <c r="K44" i="5" s="1"/>
  <c r="K45" i="5" s="1"/>
  <c r="J43" i="5"/>
  <c r="J44" i="5" s="1"/>
  <c r="J45" i="5" s="1"/>
  <c r="I43" i="5"/>
  <c r="I44" i="5" s="1"/>
  <c r="I45" i="5" s="1"/>
  <c r="H43" i="5"/>
  <c r="H44" i="5" s="1"/>
  <c r="H45" i="5" s="1"/>
  <c r="F43" i="5"/>
  <c r="F44" i="5" s="1"/>
  <c r="F45" i="5" s="1"/>
  <c r="E43" i="5"/>
  <c r="E44" i="5" s="1"/>
  <c r="E45" i="5" s="1"/>
  <c r="C43" i="5"/>
  <c r="C44" i="5" s="1"/>
  <c r="C45" i="5" l="1"/>
  <c r="B47" i="5" a="1"/>
  <c r="B47" i="5" s="1"/>
  <c r="B49" i="5"/>
  <c r="B48" i="5"/>
  <c r="P24" i="4" l="1"/>
  <c r="P7" i="4"/>
  <c r="O7" i="4"/>
  <c r="O24" i="4"/>
</calcChain>
</file>

<file path=xl/sharedStrings.xml><?xml version="1.0" encoding="utf-8"?>
<sst xmlns="http://schemas.openxmlformats.org/spreadsheetml/2006/main" count="477" uniqueCount="206">
  <si>
    <t>The assignment number must be displayed on the assignment cover sheet</t>
  </si>
  <si>
    <t>StudentID</t>
  </si>
  <si>
    <t>Family/Last name</t>
  </si>
  <si>
    <t>Given name</t>
  </si>
  <si>
    <t>You must use this Excel spreadsheet for your assignment</t>
  </si>
  <si>
    <t>Use the worksheet - GroupNum_10 - for initial values of variables</t>
  </si>
  <si>
    <t>Place the Data table in the worksheet labeled:  DataTable_10</t>
  </si>
  <si>
    <t>Place Cash flow calculations in a separate worksheet</t>
  </si>
  <si>
    <t>Assignment Group Number</t>
  </si>
  <si>
    <t>Assign No</t>
  </si>
  <si>
    <t>Purchase Price (PP)</t>
  </si>
  <si>
    <t>prPrice</t>
  </si>
  <si>
    <t>Value of building (for Capital allowance) as % of PP</t>
  </si>
  <si>
    <t>BuildValPct</t>
  </si>
  <si>
    <t>Value of Plant - Lifts for depreciation as % of PP</t>
  </si>
  <si>
    <t>LiftValPct</t>
  </si>
  <si>
    <t>Value of Plant - AirCon for depreciation as % of PP</t>
  </si>
  <si>
    <t>AirConValPct</t>
  </si>
  <si>
    <t>Value of F &amp; F (Fixtures and Fittings) for depreciation as % of PP</t>
  </si>
  <si>
    <t>FixFitValPct</t>
  </si>
  <si>
    <t>Special building write off (capital allowance) – straight line</t>
  </si>
  <si>
    <t>BuildAllow</t>
  </si>
  <si>
    <t>Depreciation rate for Lifts – declining balance method</t>
  </si>
  <si>
    <t>LiftDepn</t>
  </si>
  <si>
    <t>Depreciation rate for AirCon – declining balance method</t>
  </si>
  <si>
    <t>AirConDepn</t>
  </si>
  <si>
    <t>Depreciation rate for F &amp; F – declining balance method</t>
  </si>
  <si>
    <t>FixFitDepn</t>
  </si>
  <si>
    <t>Annual appreciation rate for land component</t>
  </si>
  <si>
    <t>landAppn</t>
  </si>
  <si>
    <t>Other buying costs (% of PP)</t>
  </si>
  <si>
    <t>OthBuyCosts</t>
  </si>
  <si>
    <t>Selling costs (% of selling price)</t>
  </si>
  <si>
    <t>SelCosts</t>
  </si>
  <si>
    <t xml:space="preserve">Interest rate on borrowed funds </t>
  </si>
  <si>
    <t>InterestRate</t>
  </si>
  <si>
    <t xml:space="preserve">Required rate of return </t>
  </si>
  <si>
    <t>RequiredReturn</t>
  </si>
  <si>
    <t>Reinvestment Rate for surplus cash flows</t>
  </si>
  <si>
    <t>ReinvestRate</t>
  </si>
  <si>
    <t>Annual rate of Inflation</t>
  </si>
  <si>
    <t>Inflation</t>
  </si>
  <si>
    <t>Projected income from other investments</t>
  </si>
  <si>
    <t>OtherIncome</t>
  </si>
  <si>
    <t xml:space="preserve">Estimated percentage change in other in income </t>
  </si>
  <si>
    <t>Pct_OtherIncomeChange</t>
  </si>
  <si>
    <t>Annual Increase in Rent - Retail outlets (all)</t>
  </si>
  <si>
    <t>Retail_RentIncrease</t>
  </si>
  <si>
    <t>Annual increase in Rent: Convention Centre (levels 1 - 3)</t>
  </si>
  <si>
    <t>Convention_RentIncrease</t>
  </si>
  <si>
    <t>Annual increase in Rent: State governemnt offices (levels 4 - 8)</t>
  </si>
  <si>
    <t>StateGov_RentIncrease</t>
  </si>
  <si>
    <t>Annual increase in Rent: Higher floors Office space (levels 9 - 23)</t>
  </si>
  <si>
    <t>Office_RentIncrease</t>
  </si>
  <si>
    <t>Marginal Tax rate</t>
  </si>
  <si>
    <t>MTR</t>
  </si>
  <si>
    <t>Management fees - Gr Floor Retail</t>
  </si>
  <si>
    <t>ManFeesRetail</t>
  </si>
  <si>
    <t>Management fees - Convention Centre</t>
  </si>
  <si>
    <t>ManFeesConvention</t>
  </si>
  <si>
    <t>Management fees - GovOffices</t>
  </si>
  <si>
    <t>ManFeesGov</t>
  </si>
  <si>
    <t>Management fees - General office space</t>
  </si>
  <si>
    <t>ManFeesGeneralOffice</t>
  </si>
  <si>
    <t>Building Maintenance</t>
  </si>
  <si>
    <t>BuildMaintenance</t>
  </si>
  <si>
    <t>Other operating costs: Cleaning/Security, etc.</t>
  </si>
  <si>
    <t>OthManCosts</t>
  </si>
  <si>
    <t>Melbourne City Council and water rates</t>
  </si>
  <si>
    <t>waterRates</t>
  </si>
  <si>
    <t>Building and Public Liability Insurance premium  (% building value)</t>
  </si>
  <si>
    <t>BldnIns</t>
  </si>
  <si>
    <t>Area in</t>
  </si>
  <si>
    <t>Annual</t>
  </si>
  <si>
    <t>Percent</t>
  </si>
  <si>
    <t>Ground Floor Retail</t>
  </si>
  <si>
    <t>Sq metres</t>
  </si>
  <si>
    <t>Rent/Sq m</t>
  </si>
  <si>
    <t>Occupancy</t>
  </si>
  <si>
    <t xml:space="preserve">Ground Floor Retail:   Laurent Boulangerie Patisserie </t>
  </si>
  <si>
    <t>Ground Floor Retail:   iJ Cafe - Coffee bar</t>
  </si>
  <si>
    <t>Ground Floor Retail:   Japanese Sushi Bar</t>
  </si>
  <si>
    <t>Ground Floor Retail:   7-Eleven Convenience Store</t>
  </si>
  <si>
    <t>Ground Floor Retail:   Newsagency and Stationary</t>
  </si>
  <si>
    <t>Ground Floor Retail:   GoCycles - bicycle sales and service</t>
  </si>
  <si>
    <t xml:space="preserve">Ground Floor Retail:   Bank branch - Bendigo Bank </t>
  </si>
  <si>
    <t>Ground Floor Retail:   Pharmacy</t>
  </si>
  <si>
    <t>Ground Floor Retail:   Ladies fashion</t>
  </si>
  <si>
    <t>Ground Floor Retail:   Parliamentary Office - local member</t>
  </si>
  <si>
    <t>Ground Floor Retail:  Dental practice</t>
  </si>
  <si>
    <t>Convention Centre - Levels 1 to 3</t>
  </si>
  <si>
    <t>Government Offices - Levels 4 to 8</t>
  </si>
  <si>
    <t>General Office - Levels 9 to 23</t>
  </si>
  <si>
    <t>Office Level 9</t>
  </si>
  <si>
    <t>Office Level 10</t>
  </si>
  <si>
    <t>Office Level 11</t>
  </si>
  <si>
    <t>Office Level 12</t>
  </si>
  <si>
    <t>Office Level 13</t>
  </si>
  <si>
    <t>Office Level 14</t>
  </si>
  <si>
    <t>Office Level 15</t>
  </si>
  <si>
    <t>Office Level 16</t>
  </si>
  <si>
    <t>Office Level 17</t>
  </si>
  <si>
    <t>Office Level 18</t>
  </si>
  <si>
    <t>Office Level 19</t>
  </si>
  <si>
    <t>Office Level 20</t>
  </si>
  <si>
    <t>Office Level 21</t>
  </si>
  <si>
    <t>Office Level 22</t>
  </si>
  <si>
    <t>Office Level 23</t>
  </si>
  <si>
    <t>Jang</t>
  </si>
  <si>
    <t>Chanwoo</t>
  </si>
  <si>
    <t>Nguyen</t>
  </si>
  <si>
    <t>Thai Minh</t>
  </si>
  <si>
    <t>Foshi</t>
  </si>
  <si>
    <t>Francesco</t>
  </si>
  <si>
    <t>Hoac</t>
  </si>
  <si>
    <t>Adrian</t>
  </si>
  <si>
    <t>Property Investment Assignment Project</t>
  </si>
  <si>
    <t>Items</t>
  </si>
  <si>
    <t>$/%</t>
  </si>
  <si>
    <t>Data Table to examine changes in LVR to the IRR and NPV</t>
  </si>
  <si>
    <t>General Purchase Details</t>
  </si>
  <si>
    <t>STAMP DUTY TABLE</t>
  </si>
  <si>
    <t>NPV</t>
  </si>
  <si>
    <t>IRR</t>
  </si>
  <si>
    <t>PP</t>
  </si>
  <si>
    <t>Tier</t>
  </si>
  <si>
    <t>T@M</t>
  </si>
  <si>
    <t>Calc@Margin</t>
  </si>
  <si>
    <t>Stamp Duty - Victoria</t>
  </si>
  <si>
    <t>StampDuty</t>
  </si>
  <si>
    <t xml:space="preserve">     Acquisition cost</t>
  </si>
  <si>
    <t>LVR</t>
  </si>
  <si>
    <t>Secured Loan</t>
  </si>
  <si>
    <t>Loan</t>
  </si>
  <si>
    <t>LVRs</t>
  </si>
  <si>
    <t>Equity Contribution</t>
  </si>
  <si>
    <t>Equity</t>
  </si>
  <si>
    <t>LAND TAX TABLE</t>
  </si>
  <si>
    <t>Macroeconomic Assumptions</t>
  </si>
  <si>
    <t>Refurbishment Premium</t>
  </si>
  <si>
    <t>RefurPrem</t>
  </si>
  <si>
    <t>Data Table to examine changes in Convention Centre Occupancy rate to the IRR and NPV</t>
  </si>
  <si>
    <t>Cap Rate_0</t>
  </si>
  <si>
    <t>Caprate</t>
  </si>
  <si>
    <t>Revenue Assumptions</t>
  </si>
  <si>
    <t>Occupancy rate of 
 Convention Centre</t>
  </si>
  <si>
    <t>Operating Expense Assumptions</t>
  </si>
  <si>
    <t>Non-operating Expense Assumptions</t>
  </si>
  <si>
    <t>Cost of Refurbishment</t>
  </si>
  <si>
    <t>RefurCost</t>
  </si>
  <si>
    <t>First Year Annual Rental Income Calculation</t>
  </si>
  <si>
    <t>Consolidation of gross rental income</t>
  </si>
  <si>
    <t>Consolidation of Provision for Vacancies</t>
  </si>
  <si>
    <t>Property description</t>
  </si>
  <si>
    <t>Annual Rental Income</t>
  </si>
  <si>
    <t>year</t>
  </si>
  <si>
    <t>=</t>
  </si>
  <si>
    <t>Occupation Rate</t>
  </si>
  <si>
    <t>Total Rental Income for year</t>
  </si>
  <si>
    <t>Total provision for vacancy for year</t>
  </si>
  <si>
    <t>Consolidation of Net rental income</t>
  </si>
  <si>
    <t>Consolidation of Council and Water Rate</t>
  </si>
  <si>
    <t>% of Rent</t>
  </si>
  <si>
    <t>Total Water Rates</t>
  </si>
  <si>
    <t>Consolidation of Insurance Expense</t>
  </si>
  <si>
    <t>Initial Bulding value</t>
  </si>
  <si>
    <t>Total Insurance expense for year</t>
  </si>
  <si>
    <t>Consolidation of Refurbishment Cost</t>
  </si>
  <si>
    <t>Depreciation and Write-off Table</t>
  </si>
  <si>
    <t>Years -&gt; 0</t>
  </si>
  <si>
    <t>Value of the Land</t>
  </si>
  <si>
    <t>Consolidation of Management Fees</t>
  </si>
  <si>
    <t>Total Refurbishment Cost for year</t>
  </si>
  <si>
    <t>Total Management fees</t>
  </si>
  <si>
    <t>Consolidation of Building Maintenance</t>
  </si>
  <si>
    <t>Total Building Maintenance</t>
  </si>
  <si>
    <t>Consolidation of Other Operating Costs</t>
  </si>
  <si>
    <t>Total Other Operating Costs</t>
  </si>
  <si>
    <t>Year</t>
  </si>
  <si>
    <t>I. Operating Revenue</t>
  </si>
  <si>
    <t>Gross Rent for the Property</t>
  </si>
  <si>
    <t xml:space="preserve">      Provision for the Vacancies</t>
  </si>
  <si>
    <t>Net Rent for the Property</t>
  </si>
  <si>
    <t>II. Operating Expenses</t>
  </si>
  <si>
    <t>Management Fees</t>
  </si>
  <si>
    <t>Land Tax</t>
  </si>
  <si>
    <t>Net Operating Income</t>
  </si>
  <si>
    <t>III. Non-cash &amp; Non-operating items</t>
  </si>
  <si>
    <t>Capital Allowance</t>
  </si>
  <si>
    <t>Depreciation of lifts, air conditioner, fitting &amp; fixture</t>
  </si>
  <si>
    <t>Interest Expense</t>
  </si>
  <si>
    <t>Total non-operating expenses</t>
  </si>
  <si>
    <t>Other Income</t>
  </si>
  <si>
    <t>Property Net income after expenses</t>
  </si>
  <si>
    <t>IV. Taxable Income &amp; Tax Credit/Liability</t>
  </si>
  <si>
    <t>Capital Gains on the Sales of PP</t>
  </si>
  <si>
    <t>Taxable Income</t>
  </si>
  <si>
    <t xml:space="preserve">Tax Credit/Liability @ MTR 30% </t>
  </si>
  <si>
    <t>V. Total After-tax Cash Flows to Equity</t>
  </si>
  <si>
    <t>Acquisition Cost</t>
  </si>
  <si>
    <t>Selling Price</t>
  </si>
  <si>
    <t>Selling Costs</t>
  </si>
  <si>
    <t>Refurbishment Cost</t>
  </si>
  <si>
    <t>Tax Liability</t>
  </si>
  <si>
    <t>Total After-Tax Cash Flows</t>
  </si>
  <si>
    <t>MIRR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</si>
</sst>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#,###"/>
    <numFmt numFmtId="165" formatCode="&quot;$&quot;#,###"/>
    <numFmt numFmtId="166" formatCode="[$£-809]#,##0.00"/>
    <numFmt numFmtId="167" formatCode="&quot;$&quot;#,##0"/>
    <numFmt numFmtId="168" formatCode="&quot;$&quot;#,##0.00"/>
  </numFmts>
  <fonts count="21">
    <font>
      <sz val="11"/>
      <color theme="1"/>
      <name val="Aptos Narrow"/>
      <scheme val="minor"/>
    </font>
    <font>
      <sz val="11"/>
      <color theme="1"/>
      <name val="Aptos Narrow"/>
      <family val="2"/>
    </font>
    <font>
      <b/>
      <sz val="12"/>
      <color theme="1"/>
      <name val="Aptos Narrow"/>
      <family val="2"/>
    </font>
    <font>
      <b/>
      <sz val="11"/>
      <color theme="1"/>
      <name val="Aptos Narrow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  <font>
      <b/>
      <sz val="11"/>
      <color rgb="FF000000"/>
      <name val="&quot;Helvetica Neue&quot;"/>
    </font>
    <font>
      <sz val="11"/>
      <name val="Aptos Narrow"/>
      <family val="2"/>
    </font>
    <font>
      <b/>
      <sz val="18"/>
      <color theme="0"/>
      <name val="Aptos Narrow"/>
      <family val="2"/>
    </font>
    <font>
      <sz val="11"/>
      <color rgb="FF000000"/>
      <name val="Arial"/>
      <family val="2"/>
    </font>
    <font>
      <sz val="11"/>
      <color rgb="FF000000"/>
      <name val="&quot;Aptos Narrow&quot;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Aptos Narrow"/>
      <family val="2"/>
    </font>
    <font>
      <sz val="11"/>
      <color theme="0"/>
      <name val="Aptos Narrow"/>
      <family val="2"/>
    </font>
    <font>
      <b/>
      <sz val="12"/>
      <color theme="0"/>
      <name val="Aptos Narrow"/>
      <family val="2"/>
    </font>
    <font>
      <b/>
      <sz val="14"/>
      <color theme="0"/>
      <name val="Play"/>
    </font>
    <font>
      <b/>
      <sz val="14"/>
      <color theme="1"/>
      <name val="Aptos Narrow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B8D4EF"/>
        <bgColor rgb="FFB8D4EF"/>
      </patternFill>
    </fill>
    <fill>
      <patternFill patternType="solid">
        <fgColor rgb="FFD9F2D0"/>
        <bgColor rgb="FFD9F2D0"/>
      </patternFill>
    </fill>
    <fill>
      <patternFill patternType="solid">
        <fgColor rgb="FF60CBF3"/>
        <bgColor rgb="FF60CBF3"/>
      </patternFill>
    </fill>
    <fill>
      <patternFill patternType="solid">
        <fgColor rgb="FFCC99FF"/>
        <bgColor rgb="FFCC99FF"/>
      </patternFill>
    </fill>
    <fill>
      <patternFill patternType="solid">
        <fgColor rgb="FF45B0E1"/>
        <bgColor rgb="FF45B0E1"/>
      </patternFill>
    </fill>
    <fill>
      <patternFill patternType="solid">
        <fgColor theme="4"/>
        <bgColor theme="4"/>
      </patternFill>
    </fill>
    <fill>
      <patternFill patternType="solid">
        <fgColor rgb="FF83CAEB"/>
        <bgColor rgb="FF83CAEB"/>
      </patternFill>
    </fill>
    <fill>
      <patternFill patternType="solid">
        <fgColor rgb="FF4A86E8"/>
        <bgColor rgb="FF4A86E8"/>
      </patternFill>
    </fill>
    <fill>
      <patternFill patternType="solid">
        <fgColor rgb="FFDADADA"/>
        <bgColor rgb="FFDADADA"/>
      </patternFill>
    </fill>
    <fill>
      <patternFill patternType="solid">
        <fgColor rgb="FFE49EDD"/>
        <bgColor rgb="FFE49EDD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B5E6A2"/>
        <bgColor rgb="FFB5E6A2"/>
      </patternFill>
    </fill>
    <fill>
      <patternFill patternType="solid">
        <fgColor rgb="FFDBE9F7"/>
        <bgColor rgb="FFDBE9F7"/>
      </patternFill>
    </fill>
    <fill>
      <patternFill patternType="solid">
        <fgColor rgb="FFF7C7AC"/>
        <bgColor rgb="FFF7C7AC"/>
      </patternFill>
    </fill>
    <fill>
      <patternFill patternType="solid">
        <fgColor rgb="FFC0E6F5"/>
        <bgColor rgb="FFC0E6F5"/>
      </patternFill>
    </fill>
    <fill>
      <patternFill patternType="solid">
        <fgColor rgb="FF071420"/>
        <bgColor rgb="FF071420"/>
      </patternFill>
    </fill>
    <fill>
      <patternFill patternType="solid">
        <fgColor theme="0"/>
        <bgColor theme="0"/>
      </patternFill>
    </fill>
    <fill>
      <patternFill patternType="solid">
        <fgColor rgb="FF0B769F"/>
        <bgColor rgb="FF0B769F"/>
      </patternFill>
    </fill>
    <fill>
      <patternFill patternType="solid">
        <fgColor theme="6"/>
        <bgColor theme="6"/>
      </patternFill>
    </fill>
    <fill>
      <patternFill patternType="solid">
        <fgColor rgb="FFF391BB"/>
        <bgColor rgb="FFF391BB"/>
      </patternFill>
    </fill>
    <fill>
      <patternFill patternType="solid">
        <fgColor rgb="FFC1E4F5"/>
        <bgColor rgb="FFC1E4F5"/>
      </patternFill>
    </fill>
    <fill>
      <patternFill patternType="solid">
        <fgColor rgb="FF0F4861"/>
        <bgColor rgb="FF0F4861"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 style="dotted">
        <color rgb="FF000000"/>
      </right>
      <top style="thick">
        <color rgb="FF000000"/>
      </top>
      <bottom/>
      <diagonal/>
    </border>
    <border>
      <left style="dotted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hair">
        <color rgb="FF000000"/>
      </bottom>
      <diagonal/>
    </border>
    <border>
      <left style="dotted">
        <color rgb="FF000000"/>
      </left>
      <right/>
      <top/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hair">
        <color rgb="FF000000"/>
      </bottom>
      <diagonal/>
    </border>
    <border>
      <left style="dotted">
        <color rgb="FF000000"/>
      </left>
      <right style="thick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dotted">
        <color rgb="FF000000"/>
      </left>
      <right/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thick">
        <color rgb="FF000000"/>
      </right>
      <top/>
      <bottom/>
      <diagonal/>
    </border>
    <border>
      <left/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 style="thick">
        <color rgb="FF000000"/>
      </left>
      <right/>
      <top style="hair">
        <color rgb="FF000000"/>
      </top>
      <bottom style="hair">
        <color rgb="FF000000"/>
      </bottom>
      <diagonal/>
    </border>
    <border>
      <left style="dotted">
        <color rgb="FF000000"/>
      </left>
      <right/>
      <top style="hair">
        <color rgb="FF000000"/>
      </top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 style="dotted">
        <color rgb="FF000000"/>
      </left>
      <right style="thick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double">
        <color rgb="FF000000"/>
      </top>
      <bottom/>
      <diagonal/>
    </border>
    <border>
      <left style="dotted">
        <color rgb="FF000000"/>
      </left>
      <right/>
      <top style="double">
        <color rgb="FF000000"/>
      </top>
      <bottom/>
      <diagonal/>
    </border>
    <border>
      <left style="dotted">
        <color rgb="FF000000"/>
      </left>
      <right style="dotted">
        <color rgb="FF000000"/>
      </right>
      <top style="double">
        <color rgb="FF000000"/>
      </top>
      <bottom/>
      <diagonal/>
    </border>
    <border>
      <left style="dotted">
        <color rgb="FF000000"/>
      </left>
      <right style="thick">
        <color rgb="FF000000"/>
      </right>
      <top style="double">
        <color rgb="FF000000"/>
      </top>
      <bottom/>
      <diagonal/>
    </border>
    <border>
      <left style="dotted">
        <color rgb="FF000000"/>
      </left>
      <right style="dotted">
        <color rgb="FF000000"/>
      </right>
      <top style="hair">
        <color rgb="FF000000"/>
      </top>
      <bottom/>
      <diagonal/>
    </border>
    <border>
      <left style="dotted">
        <color rgb="FF000000"/>
      </left>
      <right style="thick">
        <color rgb="FF000000"/>
      </right>
      <top style="hair">
        <color rgb="FF000000"/>
      </top>
      <bottom/>
      <diagonal/>
    </border>
    <border>
      <left style="dotted">
        <color rgb="FF000000"/>
      </left>
      <right style="dotted">
        <color rgb="FF000000"/>
      </right>
      <top/>
      <bottom style="double">
        <color rgb="FF000000"/>
      </bottom>
      <diagonal/>
    </border>
    <border>
      <left style="dotted">
        <color rgb="FF000000"/>
      </left>
      <right style="thick">
        <color rgb="FF000000"/>
      </right>
      <top/>
      <bottom style="double">
        <color rgb="FF000000"/>
      </bottom>
      <diagonal/>
    </border>
    <border>
      <left/>
      <right/>
      <top style="thick">
        <color rgb="FF000000"/>
      </top>
      <bottom/>
      <diagonal/>
    </border>
    <border>
      <left style="dotted">
        <color rgb="FF000000"/>
      </left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</borders>
  <cellStyleXfs count="2">
    <xf numFmtId="0" fontId="0" fillId="0" borderId="0"/>
    <xf numFmtId="44" fontId="20" fillId="0" borderId="0" applyFont="0" applyFill="0" applyBorder="0" applyAlignment="0" applyProtection="0"/>
  </cellStyleXfs>
  <cellXfs count="183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1" fillId="0" borderId="0" xfId="0" applyFont="1"/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/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/>
    <xf numFmtId="44" fontId="1" fillId="4" borderId="1" xfId="0" applyNumberFormat="1" applyFont="1" applyFill="1" applyBorder="1"/>
    <xf numFmtId="10" fontId="1" fillId="4" borderId="1" xfId="0" applyNumberFormat="1" applyFont="1" applyFill="1" applyBorder="1"/>
    <xf numFmtId="0" fontId="3" fillId="0" borderId="0" xfId="0" applyFont="1"/>
    <xf numFmtId="0" fontId="3" fillId="0" borderId="0" xfId="0" applyFont="1" applyAlignment="1">
      <alignment horizontal="right"/>
    </xf>
    <xf numFmtId="0" fontId="2" fillId="5" borderId="1" xfId="0" applyFont="1" applyFill="1" applyBorder="1"/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0" fontId="1" fillId="5" borderId="1" xfId="0" applyFont="1" applyFill="1" applyBorder="1" applyAlignment="1">
      <alignment horizontal="left"/>
    </xf>
    <xf numFmtId="164" fontId="1" fillId="5" borderId="1" xfId="0" applyNumberFormat="1" applyFont="1" applyFill="1" applyBorder="1"/>
    <xf numFmtId="165" fontId="1" fillId="5" borderId="1" xfId="0" applyNumberFormat="1" applyFont="1" applyFill="1" applyBorder="1"/>
    <xf numFmtId="9" fontId="1" fillId="5" borderId="1" xfId="0" applyNumberFormat="1" applyFont="1" applyFill="1" applyBorder="1"/>
    <xf numFmtId="164" fontId="1" fillId="0" borderId="0" xfId="0" applyNumberFormat="1" applyFont="1"/>
    <xf numFmtId="165" fontId="1" fillId="0" borderId="0" xfId="0" applyNumberFormat="1" applyFont="1"/>
    <xf numFmtId="9" fontId="1" fillId="0" borderId="0" xfId="0" applyNumberFormat="1" applyFont="1"/>
    <xf numFmtId="0" fontId="2" fillId="6" borderId="1" xfId="0" applyFont="1" applyFill="1" applyBorder="1"/>
    <xf numFmtId="164" fontId="1" fillId="6" borderId="1" xfId="0" applyNumberFormat="1" applyFont="1" applyFill="1" applyBorder="1"/>
    <xf numFmtId="165" fontId="1" fillId="6" borderId="1" xfId="0" applyNumberFormat="1" applyFont="1" applyFill="1" applyBorder="1"/>
    <xf numFmtId="9" fontId="1" fillId="6" borderId="1" xfId="0" applyNumberFormat="1" applyFont="1" applyFill="1" applyBorder="1"/>
    <xf numFmtId="0" fontId="2" fillId="7" borderId="1" xfId="0" applyFont="1" applyFill="1" applyBorder="1"/>
    <xf numFmtId="164" fontId="1" fillId="7" borderId="1" xfId="0" applyNumberFormat="1" applyFont="1" applyFill="1" applyBorder="1"/>
    <xf numFmtId="165" fontId="1" fillId="7" borderId="1" xfId="0" applyNumberFormat="1" applyFont="1" applyFill="1" applyBorder="1"/>
    <xf numFmtId="9" fontId="1" fillId="7" borderId="1" xfId="0" applyNumberFormat="1" applyFont="1" applyFill="1" applyBorder="1"/>
    <xf numFmtId="0" fontId="2" fillId="8" borderId="1" xfId="0" applyFont="1" applyFill="1" applyBorder="1"/>
    <xf numFmtId="0" fontId="1" fillId="8" borderId="1" xfId="0" applyFont="1" applyFill="1" applyBorder="1" applyAlignment="1">
      <alignment horizontal="left"/>
    </xf>
    <xf numFmtId="164" fontId="1" fillId="8" borderId="1" xfId="0" applyNumberFormat="1" applyFont="1" applyFill="1" applyBorder="1"/>
    <xf numFmtId="165" fontId="1" fillId="8" borderId="1" xfId="0" applyNumberFormat="1" applyFont="1" applyFill="1" applyBorder="1"/>
    <xf numFmtId="9" fontId="1" fillId="8" borderId="1" xfId="0" applyNumberFormat="1" applyFont="1" applyFill="1" applyBorder="1"/>
    <xf numFmtId="0" fontId="4" fillId="2" borderId="1" xfId="0" applyFont="1" applyFill="1" applyBorder="1"/>
    <xf numFmtId="0" fontId="4" fillId="0" borderId="0" xfId="0" applyFont="1"/>
    <xf numFmtId="166" fontId="4" fillId="0" borderId="0" xfId="0" applyNumberFormat="1" applyFont="1"/>
    <xf numFmtId="0" fontId="5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/>
    <xf numFmtId="0" fontId="9" fillId="13" borderId="0" xfId="0" applyFont="1" applyFill="1"/>
    <xf numFmtId="44" fontId="1" fillId="0" borderId="0" xfId="0" applyNumberFormat="1" applyFont="1"/>
    <xf numFmtId="0" fontId="11" fillId="0" borderId="0" xfId="0" applyFont="1"/>
    <xf numFmtId="10" fontId="10" fillId="14" borderId="0" xfId="0" applyNumberFormat="1" applyFont="1" applyFill="1" applyAlignment="1">
      <alignment horizontal="right"/>
    </xf>
    <xf numFmtId="167" fontId="12" fillId="0" borderId="0" xfId="0" applyNumberFormat="1" applyFont="1"/>
    <xf numFmtId="10" fontId="12" fillId="0" borderId="0" xfId="0" applyNumberFormat="1" applyFont="1"/>
    <xf numFmtId="168" fontId="12" fillId="0" borderId="0" xfId="0" applyNumberFormat="1" applyFont="1"/>
    <xf numFmtId="10" fontId="9" fillId="15" borderId="0" xfId="0" applyNumberFormat="1" applyFont="1" applyFill="1" applyAlignment="1">
      <alignment horizontal="right"/>
    </xf>
    <xf numFmtId="10" fontId="10" fillId="16" borderId="0" xfId="0" applyNumberFormat="1" applyFont="1" applyFill="1" applyAlignment="1">
      <alignment horizontal="right"/>
    </xf>
    <xf numFmtId="0" fontId="9" fillId="15" borderId="0" xfId="0" applyFont="1" applyFill="1"/>
    <xf numFmtId="0" fontId="13" fillId="9" borderId="1" xfId="0" applyFont="1" applyFill="1" applyBorder="1"/>
    <xf numFmtId="0" fontId="14" fillId="9" borderId="1" xfId="0" applyFont="1" applyFill="1" applyBorder="1"/>
    <xf numFmtId="0" fontId="1" fillId="17" borderId="1" xfId="0" applyFont="1" applyFill="1" applyBorder="1"/>
    <xf numFmtId="10" fontId="1" fillId="17" borderId="1" xfId="0" applyNumberFormat="1" applyFont="1" applyFill="1" applyBorder="1"/>
    <xf numFmtId="0" fontId="9" fillId="0" borderId="0" xfId="0" applyFont="1"/>
    <xf numFmtId="9" fontId="10" fillId="19" borderId="0" xfId="0" applyNumberFormat="1" applyFont="1" applyFill="1" applyAlignment="1">
      <alignment horizontal="right"/>
    </xf>
    <xf numFmtId="44" fontId="1" fillId="17" borderId="1" xfId="0" applyNumberFormat="1" applyFont="1" applyFill="1" applyBorder="1"/>
    <xf numFmtId="0" fontId="15" fillId="20" borderId="19" xfId="0" applyFont="1" applyFill="1" applyBorder="1"/>
    <xf numFmtId="0" fontId="15" fillId="20" borderId="20" xfId="0" applyFont="1" applyFill="1" applyBorder="1"/>
    <xf numFmtId="0" fontId="1" fillId="0" borderId="21" xfId="0" applyFont="1" applyBorder="1"/>
    <xf numFmtId="0" fontId="15" fillId="20" borderId="20" xfId="0" applyFont="1" applyFill="1" applyBorder="1" applyAlignment="1">
      <alignment horizontal="center"/>
    </xf>
    <xf numFmtId="0" fontId="2" fillId="21" borderId="22" xfId="0" applyFont="1" applyFill="1" applyBorder="1"/>
    <xf numFmtId="0" fontId="15" fillId="22" borderId="23" xfId="0" applyFont="1" applyFill="1" applyBorder="1" applyAlignment="1">
      <alignment horizontal="center"/>
    </xf>
    <xf numFmtId="0" fontId="13" fillId="22" borderId="1" xfId="0" applyFont="1" applyFill="1" applyBorder="1" applyAlignment="1">
      <alignment horizontal="center"/>
    </xf>
    <xf numFmtId="0" fontId="13" fillId="22" borderId="24" xfId="0" applyFont="1" applyFill="1" applyBorder="1" applyAlignment="1">
      <alignment horizontal="center"/>
    </xf>
    <xf numFmtId="0" fontId="13" fillId="22" borderId="25" xfId="0" applyFont="1" applyFill="1" applyBorder="1" applyAlignment="1">
      <alignment horizontal="center"/>
    </xf>
    <xf numFmtId="0" fontId="1" fillId="0" borderId="26" xfId="0" applyFont="1" applyBorder="1"/>
    <xf numFmtId="44" fontId="3" fillId="21" borderId="23" xfId="0" applyNumberFormat="1" applyFont="1" applyFill="1" applyBorder="1"/>
    <xf numFmtId="0" fontId="2" fillId="21" borderId="27" xfId="0" applyFont="1" applyFill="1" applyBorder="1"/>
    <xf numFmtId="0" fontId="14" fillId="21" borderId="28" xfId="0" applyFont="1" applyFill="1" applyBorder="1"/>
    <xf numFmtId="0" fontId="14" fillId="21" borderId="29" xfId="0" applyFont="1" applyFill="1" applyBorder="1"/>
    <xf numFmtId="0" fontId="14" fillId="21" borderId="30" xfId="0" applyFont="1" applyFill="1" applyBorder="1"/>
    <xf numFmtId="0" fontId="13" fillId="23" borderId="31" xfId="0" applyFont="1" applyFill="1" applyBorder="1" applyAlignment="1">
      <alignment horizontal="center"/>
    </xf>
    <xf numFmtId="0" fontId="1" fillId="21" borderId="22" xfId="0" applyFont="1" applyFill="1" applyBorder="1" applyAlignment="1">
      <alignment horizontal="left"/>
    </xf>
    <xf numFmtId="44" fontId="1" fillId="21" borderId="23" xfId="0" applyNumberFormat="1" applyFont="1" applyFill="1" applyBorder="1"/>
    <xf numFmtId="44" fontId="3" fillId="21" borderId="32" xfId="0" applyNumberFormat="1" applyFont="1" applyFill="1" applyBorder="1"/>
    <xf numFmtId="44" fontId="3" fillId="21" borderId="33" xfId="0" applyNumberFormat="1" applyFont="1" applyFill="1" applyBorder="1"/>
    <xf numFmtId="9" fontId="1" fillId="5" borderId="1" xfId="0" applyNumberFormat="1" applyFont="1" applyFill="1" applyBorder="1" applyAlignment="1">
      <alignment horizontal="center"/>
    </xf>
    <xf numFmtId="44" fontId="3" fillId="21" borderId="34" xfId="0" applyNumberFormat="1" applyFont="1" applyFill="1" applyBorder="1"/>
    <xf numFmtId="44" fontId="1" fillId="21" borderId="32" xfId="0" applyNumberFormat="1" applyFont="1" applyFill="1" applyBorder="1"/>
    <xf numFmtId="44" fontId="1" fillId="21" borderId="33" xfId="0" applyNumberFormat="1" applyFont="1" applyFill="1" applyBorder="1"/>
    <xf numFmtId="44" fontId="1" fillId="21" borderId="34" xfId="0" applyNumberFormat="1" applyFont="1" applyFill="1" applyBorder="1"/>
    <xf numFmtId="0" fontId="1" fillId="21" borderId="27" xfId="0" applyFont="1" applyFill="1" applyBorder="1" applyAlignment="1">
      <alignment horizontal="left"/>
    </xf>
    <xf numFmtId="44" fontId="1" fillId="21" borderId="28" xfId="0" applyNumberFormat="1" applyFont="1" applyFill="1" applyBorder="1"/>
    <xf numFmtId="44" fontId="1" fillId="21" borderId="29" xfId="0" applyNumberFormat="1" applyFont="1" applyFill="1" applyBorder="1"/>
    <xf numFmtId="44" fontId="1" fillId="21" borderId="30" xfId="0" applyNumberFormat="1" applyFont="1" applyFill="1" applyBorder="1"/>
    <xf numFmtId="9" fontId="1" fillId="5" borderId="35" xfId="0" applyNumberFormat="1" applyFont="1" applyFill="1" applyBorder="1" applyAlignment="1">
      <alignment horizontal="center"/>
    </xf>
    <xf numFmtId="0" fontId="2" fillId="21" borderId="36" xfId="0" applyFont="1" applyFill="1" applyBorder="1"/>
    <xf numFmtId="44" fontId="3" fillId="21" borderId="37" xfId="0" applyNumberFormat="1" applyFont="1" applyFill="1" applyBorder="1"/>
    <xf numFmtId="44" fontId="3" fillId="21" borderId="38" xfId="0" applyNumberFormat="1" applyFont="1" applyFill="1" applyBorder="1"/>
    <xf numFmtId="44" fontId="3" fillId="21" borderId="39" xfId="0" applyNumberFormat="1" applyFont="1" applyFill="1" applyBorder="1"/>
    <xf numFmtId="9" fontId="1" fillId="5" borderId="40" xfId="0" applyNumberFormat="1" applyFont="1" applyFill="1" applyBorder="1" applyAlignment="1">
      <alignment horizontal="center"/>
    </xf>
    <xf numFmtId="44" fontId="3" fillId="21" borderId="41" xfId="0" applyNumberFormat="1" applyFont="1" applyFill="1" applyBorder="1"/>
    <xf numFmtId="0" fontId="1" fillId="5" borderId="1" xfId="0" applyFont="1" applyFill="1" applyBorder="1" applyAlignment="1">
      <alignment horizontal="center"/>
    </xf>
    <xf numFmtId="44" fontId="1" fillId="24" borderId="32" xfId="0" applyNumberFormat="1" applyFont="1" applyFill="1" applyBorder="1"/>
    <xf numFmtId="44" fontId="1" fillId="24" borderId="33" xfId="0" applyNumberFormat="1" applyFont="1" applyFill="1" applyBorder="1"/>
    <xf numFmtId="44" fontId="1" fillId="24" borderId="34" xfId="0" applyNumberFormat="1" applyFont="1" applyFill="1" applyBorder="1"/>
    <xf numFmtId="0" fontId="1" fillId="21" borderId="42" xfId="0" applyFont="1" applyFill="1" applyBorder="1" applyAlignment="1">
      <alignment horizontal="left"/>
    </xf>
    <xf numFmtId="44" fontId="1" fillId="21" borderId="43" xfId="0" applyNumberFormat="1" applyFont="1" applyFill="1" applyBorder="1"/>
    <xf numFmtId="0" fontId="3" fillId="0" borderId="44" xfId="0" applyFont="1" applyBorder="1"/>
    <xf numFmtId="44" fontId="1" fillId="0" borderId="45" xfId="0" applyNumberFormat="1" applyFont="1" applyBorder="1"/>
    <xf numFmtId="44" fontId="1" fillId="0" borderId="46" xfId="0" applyNumberFormat="1" applyFont="1" applyBorder="1"/>
    <xf numFmtId="44" fontId="1" fillId="0" borderId="47" xfId="0" applyNumberFormat="1" applyFont="1" applyBorder="1"/>
    <xf numFmtId="0" fontId="3" fillId="0" borderId="44" xfId="0" applyFont="1" applyBorder="1" applyAlignment="1">
      <alignment horizontal="center"/>
    </xf>
    <xf numFmtId="0" fontId="13" fillId="23" borderId="1" xfId="0" applyFont="1" applyFill="1" applyBorder="1" applyAlignment="1">
      <alignment horizontal="center"/>
    </xf>
    <xf numFmtId="0" fontId="14" fillId="21" borderId="32" xfId="0" applyFont="1" applyFill="1" applyBorder="1"/>
    <xf numFmtId="0" fontId="14" fillId="21" borderId="33" xfId="0" applyFont="1" applyFill="1" applyBorder="1"/>
    <xf numFmtId="0" fontId="14" fillId="21" borderId="34" xfId="0" applyFont="1" applyFill="1" applyBorder="1"/>
    <xf numFmtId="10" fontId="1" fillId="5" borderId="1" xfId="0" applyNumberFormat="1" applyFont="1" applyFill="1" applyBorder="1" applyAlignment="1">
      <alignment horizontal="center"/>
    </xf>
    <xf numFmtId="44" fontId="3" fillId="21" borderId="28" xfId="0" applyNumberFormat="1" applyFont="1" applyFill="1" applyBorder="1"/>
    <xf numFmtId="44" fontId="3" fillId="21" borderId="29" xfId="0" applyNumberFormat="1" applyFont="1" applyFill="1" applyBorder="1"/>
    <xf numFmtId="44" fontId="3" fillId="21" borderId="30" xfId="0" applyNumberFormat="1" applyFont="1" applyFill="1" applyBorder="1"/>
    <xf numFmtId="10" fontId="1" fillId="5" borderId="35" xfId="0" applyNumberFormat="1" applyFont="1" applyFill="1" applyBorder="1" applyAlignment="1">
      <alignment horizontal="center"/>
    </xf>
    <xf numFmtId="10" fontId="1" fillId="5" borderId="40" xfId="0" applyNumberFormat="1" applyFont="1" applyFill="1" applyBorder="1" applyAlignment="1">
      <alignment horizontal="center"/>
    </xf>
    <xf numFmtId="44" fontId="3" fillId="21" borderId="48" xfId="0" applyNumberFormat="1" applyFont="1" applyFill="1" applyBorder="1"/>
    <xf numFmtId="44" fontId="3" fillId="21" borderId="49" xfId="0" applyNumberFormat="1" applyFont="1" applyFill="1" applyBorder="1"/>
    <xf numFmtId="44" fontId="1" fillId="21" borderId="1" xfId="0" applyNumberFormat="1" applyFont="1" applyFill="1" applyBorder="1"/>
    <xf numFmtId="44" fontId="1" fillId="21" borderId="50" xfId="0" applyNumberFormat="1" applyFont="1" applyFill="1" applyBorder="1"/>
    <xf numFmtId="44" fontId="1" fillId="21" borderId="51" xfId="0" applyNumberFormat="1" applyFont="1" applyFill="1" applyBorder="1"/>
    <xf numFmtId="0" fontId="13" fillId="22" borderId="52" xfId="0" applyFont="1" applyFill="1" applyBorder="1" applyAlignment="1">
      <alignment horizontal="center"/>
    </xf>
    <xf numFmtId="0" fontId="13" fillId="22" borderId="20" xfId="0" applyFont="1" applyFill="1" applyBorder="1" applyAlignment="1">
      <alignment horizontal="center"/>
    </xf>
    <xf numFmtId="0" fontId="14" fillId="21" borderId="53" xfId="0" applyFont="1" applyFill="1" applyBorder="1"/>
    <xf numFmtId="0" fontId="14" fillId="21" borderId="51" xfId="0" applyFont="1" applyFill="1" applyBorder="1"/>
    <xf numFmtId="44" fontId="3" fillId="5" borderId="54" xfId="0" applyNumberFormat="1" applyFont="1" applyFill="1" applyBorder="1" applyAlignment="1">
      <alignment horizontal="center"/>
    </xf>
    <xf numFmtId="0" fontId="13" fillId="22" borderId="22" xfId="0" applyFont="1" applyFill="1" applyBorder="1" applyAlignment="1">
      <alignment horizontal="center"/>
    </xf>
    <xf numFmtId="0" fontId="14" fillId="21" borderId="1" xfId="0" applyFont="1" applyFill="1" applyBorder="1"/>
    <xf numFmtId="44" fontId="1" fillId="0" borderId="55" xfId="0" applyNumberFormat="1" applyFont="1" applyBorder="1"/>
    <xf numFmtId="44" fontId="3" fillId="21" borderId="1" xfId="0" applyNumberFormat="1" applyFont="1" applyFill="1" applyBorder="1"/>
    <xf numFmtId="44" fontId="1" fillId="0" borderId="0" xfId="0" applyNumberFormat="1" applyFont="1" applyAlignment="1">
      <alignment horizontal="center"/>
    </xf>
    <xf numFmtId="44" fontId="1" fillId="0" borderId="55" xfId="0" applyNumberFormat="1" applyFont="1" applyBorder="1" applyAlignment="1">
      <alignment horizontal="center"/>
    </xf>
    <xf numFmtId="0" fontId="1" fillId="0" borderId="56" xfId="0" applyFont="1" applyBorder="1"/>
    <xf numFmtId="44" fontId="1" fillId="0" borderId="21" xfId="0" applyNumberFormat="1" applyFont="1" applyBorder="1" applyAlignment="1">
      <alignment horizontal="center"/>
    </xf>
    <xf numFmtId="44" fontId="1" fillId="0" borderId="21" xfId="0" applyNumberFormat="1" applyFont="1" applyBorder="1"/>
    <xf numFmtId="44" fontId="1" fillId="0" borderId="57" xfId="0" applyNumberFormat="1" applyFont="1" applyBorder="1"/>
    <xf numFmtId="0" fontId="1" fillId="0" borderId="58" xfId="0" applyFont="1" applyBorder="1" applyAlignment="1">
      <alignment horizontal="center"/>
    </xf>
    <xf numFmtId="44" fontId="1" fillId="24" borderId="1" xfId="0" applyNumberFormat="1" applyFont="1" applyFill="1" applyBorder="1"/>
    <xf numFmtId="0" fontId="15" fillId="22" borderId="1" xfId="0" applyFont="1" applyFill="1" applyBorder="1" applyAlignment="1">
      <alignment horizontal="center" vertical="center"/>
    </xf>
    <xf numFmtId="0" fontId="1" fillId="0" borderId="44" xfId="0" applyFont="1" applyBorder="1"/>
    <xf numFmtId="44" fontId="1" fillId="0" borderId="44" xfId="0" applyNumberFormat="1" applyFont="1" applyBorder="1"/>
    <xf numFmtId="0" fontId="13" fillId="26" borderId="1" xfId="0" applyFont="1" applyFill="1" applyBorder="1"/>
    <xf numFmtId="0" fontId="14" fillId="26" borderId="1" xfId="0" applyFont="1" applyFill="1" applyBorder="1"/>
    <xf numFmtId="44" fontId="14" fillId="26" borderId="1" xfId="0" applyNumberFormat="1" applyFont="1" applyFill="1" applyBorder="1"/>
    <xf numFmtId="0" fontId="3" fillId="0" borderId="59" xfId="0" applyFont="1" applyBorder="1"/>
    <xf numFmtId="44" fontId="3" fillId="0" borderId="59" xfId="0" applyNumberFormat="1" applyFont="1" applyBorder="1"/>
    <xf numFmtId="0" fontId="16" fillId="9" borderId="19" xfId="0" applyFont="1" applyFill="1" applyBorder="1"/>
    <xf numFmtId="44" fontId="17" fillId="25" borderId="20" xfId="0" applyNumberFormat="1" applyFont="1" applyFill="1" applyBorder="1"/>
    <xf numFmtId="0" fontId="16" fillId="9" borderId="22" xfId="0" applyFont="1" applyFill="1" applyBorder="1"/>
    <xf numFmtId="10" fontId="17" fillId="25" borderId="23" xfId="0" applyNumberFormat="1" applyFont="1" applyFill="1" applyBorder="1"/>
    <xf numFmtId="0" fontId="16" fillId="9" borderId="42" xfId="0" applyFont="1" applyFill="1" applyBorder="1"/>
    <xf numFmtId="10" fontId="17" fillId="25" borderId="43" xfId="0" applyNumberFormat="1" applyFont="1" applyFill="1" applyBorder="1"/>
    <xf numFmtId="0" fontId="18" fillId="0" borderId="0" xfId="0" applyFont="1"/>
    <xf numFmtId="0" fontId="19" fillId="0" borderId="0" xfId="0" applyFont="1"/>
    <xf numFmtId="44" fontId="4" fillId="0" borderId="0" xfId="0" applyNumberFormat="1" applyFont="1"/>
    <xf numFmtId="10" fontId="5" fillId="0" borderId="0" xfId="0" applyNumberFormat="1" applyFont="1"/>
    <xf numFmtId="0" fontId="6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0" xfId="0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8" fillId="9" borderId="10" xfId="0" applyFont="1" applyFill="1" applyBorder="1" applyAlignment="1">
      <alignment horizontal="left" vertical="center"/>
    </xf>
    <xf numFmtId="0" fontId="7" fillId="0" borderId="11" xfId="0" applyFont="1" applyBorder="1"/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  <xf numFmtId="0" fontId="1" fillId="10" borderId="16" xfId="0" applyFont="1" applyFill="1" applyBorder="1" applyAlignment="1">
      <alignment horizontal="center"/>
    </xf>
    <xf numFmtId="0" fontId="7" fillId="0" borderId="17" xfId="0" applyFont="1" applyBorder="1"/>
    <xf numFmtId="0" fontId="7" fillId="0" borderId="18" xfId="0" applyFont="1" applyBorder="1"/>
    <xf numFmtId="0" fontId="11" fillId="12" borderId="16" xfId="0" applyFont="1" applyFill="1" applyBorder="1" applyAlignment="1">
      <alignment horizontal="left"/>
    </xf>
    <xf numFmtId="0" fontId="9" fillId="11" borderId="0" xfId="0" applyFont="1" applyFill="1"/>
    <xf numFmtId="0" fontId="10" fillId="18" borderId="0" xfId="0" applyFont="1" applyFill="1"/>
    <xf numFmtId="0" fontId="3" fillId="25" borderId="16" xfId="0" applyFont="1" applyFill="1" applyBorder="1" applyAlignment="1">
      <alignment horizontal="center" vertical="center"/>
    </xf>
    <xf numFmtId="44" fontId="10" fillId="14" borderId="0" xfId="0" applyNumberFormat="1" applyFont="1" applyFill="1"/>
    <xf numFmtId="0" fontId="10" fillId="19" borderId="0" xfId="0" applyFont="1" applyFill="1" applyAlignment="1">
      <alignment wrapText="1"/>
    </xf>
    <xf numFmtId="44" fontId="10" fillId="16" borderId="0" xfId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409575</xdr:colOff>
      <xdr:row>1</xdr:row>
      <xdr:rowOff>-123825</xdr:rowOff>
    </xdr:from>
    <xdr:ext cx="5657850" cy="7753350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152400</xdr:colOff>
      <xdr:row>9</xdr:row>
      <xdr:rowOff>38100</xdr:rowOff>
    </xdr:from>
    <xdr:ext cx="13134975" cy="17745075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33350" cy="1905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2.6640625" defaultRowHeight="15" customHeight="1"/>
  <cols>
    <col min="1" max="1" width="65.44140625" customWidth="1"/>
    <col min="2" max="2" width="22.88671875" customWidth="1"/>
    <col min="3" max="3" width="15" customWidth="1"/>
    <col min="4" max="4" width="17.44140625" customWidth="1"/>
    <col min="5" max="5" width="12" customWidth="1"/>
    <col min="6" max="26" width="8.88671875" customWidth="1"/>
  </cols>
  <sheetData>
    <row r="1" spans="1:26" ht="14.25" customHeight="1">
      <c r="A1" s="1" t="s">
        <v>0</v>
      </c>
      <c r="B1" s="1"/>
      <c r="C1" s="2" t="s">
        <v>1</v>
      </c>
      <c r="D1" s="3" t="s">
        <v>2</v>
      </c>
      <c r="E1" s="3" t="s">
        <v>3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 t="s">
        <v>4</v>
      </c>
      <c r="B2" s="1"/>
      <c r="C2" s="37">
        <v>33894922</v>
      </c>
      <c r="D2" s="38" t="s">
        <v>108</v>
      </c>
      <c r="E2" s="38" t="s">
        <v>109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 t="s">
        <v>5</v>
      </c>
      <c r="B3" s="1"/>
      <c r="C3" s="37">
        <v>33504253</v>
      </c>
      <c r="D3" s="38" t="s">
        <v>110</v>
      </c>
      <c r="E3" s="38" t="s">
        <v>111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 t="s">
        <v>6</v>
      </c>
      <c r="B4" s="1"/>
      <c r="C4" s="37">
        <v>35797703</v>
      </c>
      <c r="D4" s="39" t="s">
        <v>112</v>
      </c>
      <c r="E4" s="38" t="s">
        <v>113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 t="s">
        <v>7</v>
      </c>
      <c r="B5" s="1"/>
      <c r="C5" s="37">
        <v>34992561</v>
      </c>
      <c r="D5" s="38" t="s">
        <v>114</v>
      </c>
      <c r="E5" s="38" t="s">
        <v>115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5" t="s">
        <v>8</v>
      </c>
      <c r="B7" s="6" t="s">
        <v>9</v>
      </c>
      <c r="C7" s="6">
        <v>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7" t="s">
        <v>10</v>
      </c>
      <c r="B8" s="8" t="s">
        <v>11</v>
      </c>
      <c r="C8" s="9">
        <v>42180402.354390599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7" t="s">
        <v>12</v>
      </c>
      <c r="B9" s="8" t="s">
        <v>13</v>
      </c>
      <c r="C9" s="10">
        <v>0.48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7" t="s">
        <v>14</v>
      </c>
      <c r="B10" s="8" t="s">
        <v>15</v>
      </c>
      <c r="C10" s="10">
        <v>6.0999999999999999E-2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7" t="s">
        <v>16</v>
      </c>
      <c r="B11" s="8" t="s">
        <v>17</v>
      </c>
      <c r="C11" s="10">
        <v>7.3999999999999996E-2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7" t="s">
        <v>18</v>
      </c>
      <c r="B12" s="8" t="s">
        <v>19</v>
      </c>
      <c r="C12" s="10">
        <v>6.5833333333333327E-2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7" t="s">
        <v>20</v>
      </c>
      <c r="B13" s="8" t="s">
        <v>21</v>
      </c>
      <c r="C13" s="10">
        <v>2.5000000000000001E-2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7" t="s">
        <v>22</v>
      </c>
      <c r="B14" s="8" t="s">
        <v>23</v>
      </c>
      <c r="C14" s="10">
        <v>0.13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7" t="s">
        <v>24</v>
      </c>
      <c r="B15" s="8" t="s">
        <v>25</v>
      </c>
      <c r="C15" s="10">
        <v>0.17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7" t="s">
        <v>26</v>
      </c>
      <c r="B16" s="8" t="s">
        <v>27</v>
      </c>
      <c r="C16" s="10">
        <v>9.4E-2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7" t="s">
        <v>28</v>
      </c>
      <c r="B17" s="8" t="s">
        <v>29</v>
      </c>
      <c r="C17" s="10">
        <v>4.7E-2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7" t="s">
        <v>30</v>
      </c>
      <c r="B18" s="8" t="s">
        <v>31</v>
      </c>
      <c r="C18" s="10">
        <v>9.4999999999999998E-3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7" t="s">
        <v>32</v>
      </c>
      <c r="B19" s="8" t="s">
        <v>33</v>
      </c>
      <c r="C19" s="10">
        <v>2.2700000000000001E-2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7" t="s">
        <v>34</v>
      </c>
      <c r="B20" s="8" t="s">
        <v>35</v>
      </c>
      <c r="C20" s="10">
        <v>6.6000000000000003E-2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7" t="s">
        <v>36</v>
      </c>
      <c r="B21" s="8" t="s">
        <v>37</v>
      </c>
      <c r="C21" s="10">
        <v>0.14299999999999999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7" t="s">
        <v>38</v>
      </c>
      <c r="B22" s="8" t="s">
        <v>39</v>
      </c>
      <c r="C22" s="10">
        <v>3.8300000000000001E-2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>
      <c r="A23" s="7" t="s">
        <v>40</v>
      </c>
      <c r="B23" s="8" t="s">
        <v>41</v>
      </c>
      <c r="C23" s="10">
        <v>2.46E-2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7" t="s">
        <v>42</v>
      </c>
      <c r="B24" s="8" t="s">
        <v>43</v>
      </c>
      <c r="C24" s="9">
        <v>395569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>
      <c r="A25" s="7" t="s">
        <v>44</v>
      </c>
      <c r="B25" s="8" t="s">
        <v>45</v>
      </c>
      <c r="C25" s="10">
        <v>3.7499999999999999E-2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>
      <c r="A26" s="7" t="s">
        <v>46</v>
      </c>
      <c r="B26" s="8" t="s">
        <v>47</v>
      </c>
      <c r="C26" s="10">
        <v>0.03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>
      <c r="A27" s="7" t="s">
        <v>48</v>
      </c>
      <c r="B27" s="8" t="s">
        <v>49</v>
      </c>
      <c r="C27" s="10">
        <v>2.5999999999999999E-2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>
      <c r="A28" s="7" t="s">
        <v>50</v>
      </c>
      <c r="B28" s="8" t="s">
        <v>51</v>
      </c>
      <c r="C28" s="10">
        <v>2.8000000000000001E-2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>
      <c r="A29" s="7" t="s">
        <v>52</v>
      </c>
      <c r="B29" s="8" t="s">
        <v>53</v>
      </c>
      <c r="C29" s="10">
        <v>3.4000000000000002E-2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>
      <c r="A30" s="7" t="s">
        <v>54</v>
      </c>
      <c r="B30" s="8" t="s">
        <v>55</v>
      </c>
      <c r="C30" s="10">
        <v>0.3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>
      <c r="A31" s="7" t="s">
        <v>56</v>
      </c>
      <c r="B31" s="8" t="s">
        <v>57</v>
      </c>
      <c r="C31" s="10">
        <v>4.7500000000000001E-2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>
      <c r="A32" s="7" t="s">
        <v>58</v>
      </c>
      <c r="B32" s="8" t="s">
        <v>59</v>
      </c>
      <c r="C32" s="10">
        <v>3.7499999999999999E-2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>
      <c r="A33" s="7" t="s">
        <v>60</v>
      </c>
      <c r="B33" s="8" t="s">
        <v>61</v>
      </c>
      <c r="C33" s="10">
        <v>3.1399999999999997E-2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>
      <c r="A34" s="7" t="s">
        <v>62</v>
      </c>
      <c r="B34" s="8" t="s">
        <v>63</v>
      </c>
      <c r="C34" s="10">
        <v>4.41E-2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>
      <c r="A35" s="7" t="s">
        <v>64</v>
      </c>
      <c r="B35" s="8" t="s">
        <v>65</v>
      </c>
      <c r="C35" s="10">
        <v>3.7600000000000001E-2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>
      <c r="A36" s="7" t="s">
        <v>66</v>
      </c>
      <c r="B36" s="8" t="s">
        <v>67</v>
      </c>
      <c r="C36" s="10">
        <v>4.4900000000000002E-2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>
      <c r="A37" s="7" t="s">
        <v>68</v>
      </c>
      <c r="B37" s="8" t="s">
        <v>69</v>
      </c>
      <c r="C37" s="10">
        <v>4.4299999999999999E-3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>
      <c r="A38" s="7" t="s">
        <v>70</v>
      </c>
      <c r="B38" s="8" t="s">
        <v>71</v>
      </c>
      <c r="C38" s="10">
        <v>1.3799999999999999E-3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>
      <c r="A41" s="11"/>
      <c r="B41" s="12" t="s">
        <v>72</v>
      </c>
      <c r="C41" s="12" t="s">
        <v>73</v>
      </c>
      <c r="D41" s="12" t="s">
        <v>74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>
      <c r="A42" s="13" t="s">
        <v>75</v>
      </c>
      <c r="B42" s="14" t="s">
        <v>76</v>
      </c>
      <c r="C42" s="15" t="s">
        <v>77</v>
      </c>
      <c r="D42" s="16" t="s">
        <v>78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>
      <c r="A43" s="17" t="s">
        <v>79</v>
      </c>
      <c r="B43" s="18">
        <v>520</v>
      </c>
      <c r="C43" s="19">
        <v>145</v>
      </c>
      <c r="D43" s="20">
        <v>0.95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>
      <c r="A44" s="17" t="s">
        <v>80</v>
      </c>
      <c r="B44" s="18">
        <v>530</v>
      </c>
      <c r="C44" s="19">
        <v>180</v>
      </c>
      <c r="D44" s="20">
        <v>0.95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>
      <c r="A45" s="17" t="s">
        <v>81</v>
      </c>
      <c r="B45" s="18">
        <v>490</v>
      </c>
      <c r="C45" s="19">
        <v>180</v>
      </c>
      <c r="D45" s="20">
        <v>0.91999999999999993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>
      <c r="A46" s="17" t="s">
        <v>82</v>
      </c>
      <c r="B46" s="18">
        <v>515</v>
      </c>
      <c r="C46" s="19">
        <v>150</v>
      </c>
      <c r="D46" s="20">
        <v>0.86999999999999988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>
      <c r="A47" s="17" t="s">
        <v>83</v>
      </c>
      <c r="B47" s="18">
        <v>525</v>
      </c>
      <c r="C47" s="19">
        <v>155</v>
      </c>
      <c r="D47" s="20">
        <v>0.94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>
      <c r="A48" s="17" t="s">
        <v>84</v>
      </c>
      <c r="B48" s="18">
        <v>520</v>
      </c>
      <c r="C48" s="19">
        <v>155</v>
      </c>
      <c r="D48" s="20">
        <v>0.89999999999999991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>
      <c r="A49" s="17" t="s">
        <v>85</v>
      </c>
      <c r="B49" s="18">
        <v>490</v>
      </c>
      <c r="C49" s="19">
        <v>170</v>
      </c>
      <c r="D49" s="20">
        <v>0.90999999999999992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>
      <c r="A50" s="17" t="s">
        <v>86</v>
      </c>
      <c r="B50" s="18">
        <v>530</v>
      </c>
      <c r="C50" s="19">
        <v>150</v>
      </c>
      <c r="D50" s="20">
        <v>0.84999999999999987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>
      <c r="A51" s="17" t="s">
        <v>87</v>
      </c>
      <c r="B51" s="18">
        <v>520</v>
      </c>
      <c r="C51" s="19">
        <v>140</v>
      </c>
      <c r="D51" s="20">
        <v>0.84999999999999987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>
      <c r="A52" s="17" t="s">
        <v>88</v>
      </c>
      <c r="B52" s="18">
        <v>505</v>
      </c>
      <c r="C52" s="19">
        <v>175</v>
      </c>
      <c r="D52" s="20">
        <v>0.85999999999999988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>
      <c r="A53" s="17" t="s">
        <v>89</v>
      </c>
      <c r="B53" s="18">
        <v>520</v>
      </c>
      <c r="C53" s="19">
        <v>160</v>
      </c>
      <c r="D53" s="20">
        <v>0.92999999999999994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>
      <c r="B54" s="21"/>
      <c r="C54" s="22"/>
      <c r="D54" s="2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>
      <c r="A55" s="24" t="s">
        <v>90</v>
      </c>
      <c r="B55" s="25">
        <v>2310</v>
      </c>
      <c r="C55" s="26">
        <v>156</v>
      </c>
      <c r="D55" s="27">
        <v>0.98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>
      <c r="B56" s="21"/>
      <c r="C56" s="22"/>
      <c r="D56" s="23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>
      <c r="A57" s="28" t="s">
        <v>91</v>
      </c>
      <c r="B57" s="29">
        <v>3922</v>
      </c>
      <c r="C57" s="30">
        <v>159</v>
      </c>
      <c r="D57" s="31">
        <v>0.97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>
      <c r="B58" s="21"/>
      <c r="C58" s="22"/>
      <c r="D58" s="23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>
      <c r="A59" s="32" t="s">
        <v>92</v>
      </c>
      <c r="B59" s="21"/>
      <c r="C59" s="22"/>
      <c r="D59" s="23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>
      <c r="A60" s="33" t="s">
        <v>93</v>
      </c>
      <c r="B60" s="34">
        <v>965</v>
      </c>
      <c r="C60" s="35">
        <v>209</v>
      </c>
      <c r="D60" s="36">
        <v>0.82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>
      <c r="A61" s="33" t="s">
        <v>94</v>
      </c>
      <c r="B61" s="34">
        <v>1239</v>
      </c>
      <c r="C61" s="35">
        <v>232</v>
      </c>
      <c r="D61" s="36">
        <v>0.84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>
      <c r="A62" s="33" t="s">
        <v>95</v>
      </c>
      <c r="B62" s="34">
        <v>1322</v>
      </c>
      <c r="C62" s="35">
        <v>184</v>
      </c>
      <c r="D62" s="36">
        <v>0.85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>
      <c r="A63" s="33" t="s">
        <v>96</v>
      </c>
      <c r="B63" s="34">
        <v>1239</v>
      </c>
      <c r="C63" s="35">
        <v>190</v>
      </c>
      <c r="D63" s="36">
        <v>0.84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>
      <c r="A64" s="33" t="s">
        <v>97</v>
      </c>
      <c r="B64" s="34">
        <v>1239</v>
      </c>
      <c r="C64" s="35">
        <v>193</v>
      </c>
      <c r="D64" s="36">
        <v>0.83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>
      <c r="A65" s="33" t="s">
        <v>98</v>
      </c>
      <c r="B65" s="34">
        <v>1397</v>
      </c>
      <c r="C65" s="35">
        <v>227</v>
      </c>
      <c r="D65" s="36">
        <v>0.85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>
      <c r="A66" s="33" t="s">
        <v>99</v>
      </c>
      <c r="B66" s="34">
        <v>1151</v>
      </c>
      <c r="C66" s="35">
        <v>199</v>
      </c>
      <c r="D66" s="36">
        <v>0.84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>
      <c r="A67" s="33" t="s">
        <v>100</v>
      </c>
      <c r="B67" s="34">
        <v>1081</v>
      </c>
      <c r="C67" s="35">
        <v>209</v>
      </c>
      <c r="D67" s="36">
        <v>0.84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>
      <c r="A68" s="33" t="s">
        <v>101</v>
      </c>
      <c r="B68" s="34">
        <v>1076</v>
      </c>
      <c r="C68" s="35">
        <v>193</v>
      </c>
      <c r="D68" s="36">
        <v>0.82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>
      <c r="A69" s="33" t="s">
        <v>102</v>
      </c>
      <c r="B69" s="34">
        <v>1081</v>
      </c>
      <c r="C69" s="35">
        <v>184</v>
      </c>
      <c r="D69" s="36">
        <v>0.83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>
      <c r="A70" s="33" t="s">
        <v>103</v>
      </c>
      <c r="B70" s="34">
        <v>1133</v>
      </c>
      <c r="C70" s="35">
        <v>209</v>
      </c>
      <c r="D70" s="36">
        <v>0.82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>
      <c r="A71" s="33" t="s">
        <v>104</v>
      </c>
      <c r="B71" s="34">
        <v>1278</v>
      </c>
      <c r="C71" s="35">
        <v>209</v>
      </c>
      <c r="D71" s="36">
        <v>0.85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>
      <c r="A72" s="33" t="s">
        <v>105</v>
      </c>
      <c r="B72" s="34">
        <v>1339</v>
      </c>
      <c r="C72" s="35">
        <v>190</v>
      </c>
      <c r="D72" s="36">
        <v>0.84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>
      <c r="A73" s="33" t="s">
        <v>106</v>
      </c>
      <c r="B73" s="34">
        <v>1081</v>
      </c>
      <c r="C73" s="35">
        <v>190</v>
      </c>
      <c r="D73" s="36">
        <v>0.84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>
      <c r="A74" s="33" t="s">
        <v>107</v>
      </c>
      <c r="B74" s="34">
        <v>1322</v>
      </c>
      <c r="C74" s="35">
        <v>248</v>
      </c>
      <c r="D74" s="36">
        <v>0.84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107"/>
  <sheetViews>
    <sheetView zoomScaleNormal="100" workbookViewId="0"/>
  </sheetViews>
  <sheetFormatPr defaultColWidth="12.6640625" defaultRowHeight="15" customHeight="1"/>
  <sheetData>
    <row r="1" spans="1:18">
      <c r="A1" s="40"/>
    </row>
    <row r="10" spans="1:18">
      <c r="E10" s="158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60"/>
    </row>
    <row r="11" spans="1:18">
      <c r="E11" s="161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3"/>
    </row>
    <row r="12" spans="1:18">
      <c r="E12" s="161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3"/>
    </row>
    <row r="13" spans="1:18">
      <c r="E13" s="161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3"/>
    </row>
    <row r="14" spans="1:18">
      <c r="E14" s="161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3"/>
    </row>
    <row r="15" spans="1:18">
      <c r="E15" s="161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3"/>
    </row>
    <row r="16" spans="1:18">
      <c r="E16" s="161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3"/>
    </row>
    <row r="17" spans="5:18">
      <c r="E17" s="161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3"/>
    </row>
    <row r="18" spans="5:18">
      <c r="E18" s="161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3"/>
    </row>
    <row r="19" spans="5:18">
      <c r="E19" s="161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3"/>
    </row>
    <row r="20" spans="5:18">
      <c r="E20" s="161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3"/>
    </row>
    <row r="21" spans="5:18">
      <c r="E21" s="161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3"/>
    </row>
    <row r="22" spans="5:18">
      <c r="E22" s="161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3"/>
    </row>
    <row r="23" spans="5:18">
      <c r="E23" s="161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3"/>
    </row>
    <row r="24" spans="5:18">
      <c r="E24" s="161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3"/>
    </row>
    <row r="25" spans="5:18">
      <c r="E25" s="161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3"/>
    </row>
    <row r="26" spans="5:18">
      <c r="E26" s="161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3"/>
    </row>
    <row r="27" spans="5:18">
      <c r="E27" s="161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3"/>
    </row>
    <row r="28" spans="5:18">
      <c r="E28" s="161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3"/>
    </row>
    <row r="29" spans="5:18">
      <c r="E29" s="161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3"/>
    </row>
    <row r="30" spans="5:18">
      <c r="E30" s="161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3"/>
    </row>
    <row r="31" spans="5:18">
      <c r="E31" s="161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3"/>
    </row>
    <row r="32" spans="5:18">
      <c r="E32" s="161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3"/>
    </row>
    <row r="33" spans="5:18">
      <c r="E33" s="161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3"/>
    </row>
    <row r="34" spans="5:18">
      <c r="E34" s="161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3"/>
    </row>
    <row r="35" spans="5:18">
      <c r="E35" s="161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3"/>
    </row>
    <row r="36" spans="5:18">
      <c r="E36" s="161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3"/>
    </row>
    <row r="37" spans="5:18">
      <c r="E37" s="161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3"/>
    </row>
    <row r="38" spans="5:18">
      <c r="E38" s="161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3"/>
    </row>
    <row r="39" spans="5:18">
      <c r="E39" s="161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3"/>
    </row>
    <row r="40" spans="5:18">
      <c r="E40" s="161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3"/>
    </row>
    <row r="41" spans="5:18">
      <c r="E41" s="161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3"/>
    </row>
    <row r="42" spans="5:18">
      <c r="E42" s="161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3"/>
    </row>
    <row r="43" spans="5:18">
      <c r="E43" s="161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3"/>
    </row>
    <row r="44" spans="5:18">
      <c r="E44" s="161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3"/>
    </row>
    <row r="45" spans="5:18">
      <c r="E45" s="161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3"/>
    </row>
    <row r="46" spans="5:18">
      <c r="E46" s="161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3"/>
    </row>
    <row r="47" spans="5:18">
      <c r="E47" s="161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3"/>
    </row>
    <row r="48" spans="5:18">
      <c r="E48" s="161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3"/>
    </row>
    <row r="49" spans="5:18">
      <c r="E49" s="161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3"/>
    </row>
    <row r="50" spans="5:18">
      <c r="E50" s="161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3"/>
    </row>
    <row r="51" spans="5:18">
      <c r="E51" s="161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3"/>
    </row>
    <row r="52" spans="5:18">
      <c r="E52" s="161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3"/>
    </row>
    <row r="53" spans="5:18">
      <c r="E53" s="161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3"/>
    </row>
    <row r="54" spans="5:18">
      <c r="E54" s="161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3"/>
    </row>
    <row r="55" spans="5:18">
      <c r="E55" s="161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3"/>
    </row>
    <row r="56" spans="5:18">
      <c r="E56" s="161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3"/>
    </row>
    <row r="57" spans="5:18">
      <c r="E57" s="161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3"/>
    </row>
    <row r="58" spans="5:18">
      <c r="E58" s="161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3"/>
    </row>
    <row r="59" spans="5:18">
      <c r="E59" s="161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3"/>
    </row>
    <row r="60" spans="5:18">
      <c r="E60" s="161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3"/>
    </row>
    <row r="61" spans="5:18">
      <c r="E61" s="161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3"/>
    </row>
    <row r="62" spans="5:18">
      <c r="E62" s="161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3"/>
    </row>
    <row r="63" spans="5:18">
      <c r="E63" s="161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3"/>
    </row>
    <row r="64" spans="5:18">
      <c r="E64" s="161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3"/>
    </row>
    <row r="65" spans="5:18">
      <c r="E65" s="161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3"/>
    </row>
    <row r="66" spans="5:18">
      <c r="E66" s="161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3"/>
    </row>
    <row r="67" spans="5:18">
      <c r="E67" s="161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3"/>
    </row>
    <row r="68" spans="5:18">
      <c r="E68" s="161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3"/>
    </row>
    <row r="69" spans="5:18">
      <c r="E69" s="161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3"/>
    </row>
    <row r="70" spans="5:18">
      <c r="E70" s="161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3"/>
    </row>
    <row r="71" spans="5:18">
      <c r="E71" s="161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3"/>
    </row>
    <row r="72" spans="5:18">
      <c r="E72" s="161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3"/>
    </row>
    <row r="73" spans="5:18">
      <c r="E73" s="161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3"/>
    </row>
    <row r="74" spans="5:18">
      <c r="E74" s="161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3"/>
    </row>
    <row r="75" spans="5:18">
      <c r="E75" s="161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3"/>
    </row>
    <row r="76" spans="5:18">
      <c r="E76" s="161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3"/>
    </row>
    <row r="77" spans="5:18">
      <c r="E77" s="161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3"/>
    </row>
    <row r="78" spans="5:18">
      <c r="E78" s="161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3"/>
    </row>
    <row r="79" spans="5:18">
      <c r="E79" s="161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3"/>
    </row>
    <row r="80" spans="5:18">
      <c r="E80" s="161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3"/>
    </row>
    <row r="81" spans="5:18">
      <c r="E81" s="161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3"/>
    </row>
    <row r="82" spans="5:18">
      <c r="E82" s="161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3"/>
    </row>
    <row r="83" spans="5:18">
      <c r="E83" s="161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3"/>
    </row>
    <row r="84" spans="5:18">
      <c r="E84" s="161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3"/>
    </row>
    <row r="85" spans="5:18">
      <c r="E85" s="161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3"/>
    </row>
    <row r="86" spans="5:18">
      <c r="E86" s="161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3"/>
    </row>
    <row r="87" spans="5:18">
      <c r="E87" s="161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3"/>
    </row>
    <row r="88" spans="5:18">
      <c r="E88" s="161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3"/>
    </row>
    <row r="89" spans="5:18">
      <c r="E89" s="161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3"/>
    </row>
    <row r="90" spans="5:18">
      <c r="E90" s="161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3"/>
    </row>
    <row r="91" spans="5:18">
      <c r="E91" s="161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3"/>
    </row>
    <row r="92" spans="5:18">
      <c r="E92" s="161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3"/>
    </row>
    <row r="93" spans="5:18">
      <c r="E93" s="161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3"/>
    </row>
    <row r="94" spans="5:18">
      <c r="E94" s="161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3"/>
    </row>
    <row r="95" spans="5:18">
      <c r="E95" s="161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3"/>
    </row>
    <row r="96" spans="5:18">
      <c r="E96" s="161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3"/>
    </row>
    <row r="97" spans="5:18">
      <c r="E97" s="161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3"/>
    </row>
    <row r="98" spans="5:18">
      <c r="E98" s="161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3"/>
    </row>
    <row r="99" spans="5:18">
      <c r="E99" s="161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3"/>
    </row>
    <row r="100" spans="5:18">
      <c r="E100" s="161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3"/>
    </row>
    <row r="101" spans="5:18">
      <c r="E101" s="161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3"/>
    </row>
    <row r="102" spans="5:18">
      <c r="E102" s="161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3"/>
    </row>
    <row r="103" spans="5:18">
      <c r="E103" s="161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3"/>
    </row>
    <row r="104" spans="5:18">
      <c r="E104" s="161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3"/>
    </row>
    <row r="105" spans="5:18">
      <c r="E105" s="161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3"/>
    </row>
    <row r="106" spans="5:18">
      <c r="E106" s="161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3"/>
    </row>
    <row r="107" spans="5:18">
      <c r="E107" s="164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6"/>
    </row>
  </sheetData>
  <mergeCells count="1">
    <mergeCell ref="E10:R10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000"/>
  <sheetViews>
    <sheetView tabSelected="1" topLeftCell="J1" zoomScale="89" workbookViewId="0">
      <selection activeCell="R22" sqref="R22"/>
    </sheetView>
  </sheetViews>
  <sheetFormatPr defaultColWidth="12.6640625" defaultRowHeight="15" customHeight="1"/>
  <cols>
    <col min="1" max="1" width="8.6640625" customWidth="1"/>
    <col min="2" max="2" width="55.88671875" customWidth="1"/>
    <col min="3" max="3" width="21.109375" customWidth="1"/>
    <col min="4" max="4" width="21.44140625" customWidth="1"/>
    <col min="5" max="5" width="50.77734375" customWidth="1"/>
    <col min="6" max="6" width="20.109375" customWidth="1"/>
    <col min="7" max="8" width="19.21875" customWidth="1"/>
    <col min="9" max="12" width="19.77734375" customWidth="1"/>
    <col min="13" max="13" width="20.33203125" customWidth="1"/>
    <col min="14" max="14" width="19.77734375" customWidth="1"/>
    <col min="15" max="16" width="20.109375" customWidth="1"/>
    <col min="17" max="17" width="8.6640625" customWidth="1"/>
    <col min="18" max="18" width="60.44140625" customWidth="1"/>
    <col min="19" max="19" width="17.44140625" customWidth="1"/>
    <col min="20" max="23" width="16.88671875" customWidth="1"/>
    <col min="24" max="24" width="18.109375" customWidth="1"/>
    <col min="25" max="26" width="18.44140625" customWidth="1"/>
    <col min="27" max="27" width="18.109375" customWidth="1"/>
    <col min="28" max="30" width="18.44140625" customWidth="1"/>
  </cols>
  <sheetData>
    <row r="1" spans="1:19" ht="14.25" customHeight="1">
      <c r="A1" s="167" t="s">
        <v>116</v>
      </c>
      <c r="B1" s="168"/>
      <c r="C1" s="168"/>
      <c r="D1" s="168"/>
      <c r="E1" s="168"/>
      <c r="F1" s="169"/>
      <c r="S1" s="41"/>
    </row>
    <row r="2" spans="1:19" ht="14.25" customHeight="1">
      <c r="A2" s="170"/>
      <c r="B2" s="171"/>
      <c r="C2" s="171"/>
      <c r="D2" s="171"/>
      <c r="E2" s="171"/>
      <c r="F2" s="172"/>
      <c r="S2" s="41"/>
    </row>
    <row r="3" spans="1:19" ht="9" customHeight="1">
      <c r="A3" s="173"/>
      <c r="B3" s="174"/>
      <c r="C3" s="174"/>
      <c r="D3" s="174"/>
      <c r="E3" s="174"/>
      <c r="F3" s="175"/>
      <c r="S3" s="41"/>
    </row>
    <row r="4" spans="1:19" ht="14.25" customHeight="1">
      <c r="S4" s="41"/>
    </row>
    <row r="5" spans="1:19" ht="14.25" customHeight="1">
      <c r="B5" s="11" t="s">
        <v>117</v>
      </c>
      <c r="C5" s="42" t="s">
        <v>118</v>
      </c>
      <c r="D5" s="11" t="s">
        <v>9</v>
      </c>
      <c r="E5" s="42"/>
      <c r="M5" s="177" t="s">
        <v>119</v>
      </c>
      <c r="N5" s="177"/>
      <c r="O5" s="177"/>
      <c r="P5" s="43"/>
      <c r="S5" s="41"/>
    </row>
    <row r="6" spans="1:19" ht="14.25" customHeight="1">
      <c r="B6" s="11" t="s">
        <v>120</v>
      </c>
      <c r="C6" s="11"/>
      <c r="D6" s="11"/>
      <c r="E6" s="42"/>
      <c r="H6" s="176" t="s">
        <v>121</v>
      </c>
      <c r="I6" s="174"/>
      <c r="J6" s="174"/>
      <c r="K6" s="175"/>
      <c r="M6" s="43"/>
      <c r="N6" s="43"/>
      <c r="O6" s="44" t="s">
        <v>122</v>
      </c>
      <c r="P6" s="44" t="s">
        <v>123</v>
      </c>
      <c r="S6" s="41"/>
    </row>
    <row r="7" spans="1:19" ht="14.25" customHeight="1">
      <c r="B7" s="40" t="s">
        <v>10</v>
      </c>
      <c r="C7" s="45">
        <f>prPrice</f>
        <v>42180402.354390599</v>
      </c>
      <c r="D7" s="40" t="s">
        <v>124</v>
      </c>
      <c r="H7" s="46" t="s">
        <v>125</v>
      </c>
      <c r="I7" s="46" t="s">
        <v>126</v>
      </c>
      <c r="J7" s="46" t="s">
        <v>55</v>
      </c>
      <c r="K7" s="46" t="s">
        <v>127</v>
      </c>
      <c r="M7" s="43"/>
      <c r="N7" s="43"/>
      <c r="O7" s="180">
        <f>CashFlows_10!B47</f>
        <v>5136173.0838787146</v>
      </c>
      <c r="P7" s="47">
        <f>CashFlows_10!B48</f>
        <v>0.19159282037174963</v>
      </c>
      <c r="S7" s="41"/>
    </row>
    <row r="8" spans="1:19" ht="14.25" customHeight="1">
      <c r="B8" s="40" t="s">
        <v>128</v>
      </c>
      <c r="C8" s="45">
        <f>J12*(C7-H12)+I12</f>
        <v>2721726.1530353888</v>
      </c>
      <c r="D8" s="40" t="s">
        <v>129</v>
      </c>
      <c r="H8" s="48">
        <v>0</v>
      </c>
      <c r="I8" s="48">
        <v>0</v>
      </c>
      <c r="J8" s="49">
        <v>1.4E-2</v>
      </c>
      <c r="K8" s="50"/>
      <c r="M8" s="43"/>
      <c r="N8" s="51">
        <v>0.4</v>
      </c>
      <c r="O8" s="182">
        <f t="dataTable" ref="O8:P18" dt2D="0" dtr="0" r1="C11" ca="1"/>
        <v>-1179037.9239613935</v>
      </c>
      <c r="P8" s="52">
        <v>0.13622297255473459</v>
      </c>
      <c r="S8" s="41"/>
    </row>
    <row r="9" spans="1:19" ht="14.25" customHeight="1">
      <c r="B9" s="40" t="s">
        <v>30</v>
      </c>
      <c r="C9" s="45">
        <f>C7*OthBuyCosts</f>
        <v>400713.82236671069</v>
      </c>
      <c r="D9" s="40" t="str">
        <f>'GroupNum_10 '!B18</f>
        <v>OthBuyCosts</v>
      </c>
      <c r="H9" s="48">
        <v>25000</v>
      </c>
      <c r="I9" s="48">
        <v>350</v>
      </c>
      <c r="J9" s="49">
        <v>2.4E-2</v>
      </c>
      <c r="K9" s="50">
        <v>350</v>
      </c>
      <c r="M9" s="43"/>
      <c r="N9" s="51">
        <v>0.45</v>
      </c>
      <c r="O9" s="182">
        <v>-126502.7559880428</v>
      </c>
      <c r="P9" s="52">
        <v>0.14222274008377944</v>
      </c>
      <c r="S9" s="41"/>
    </row>
    <row r="10" spans="1:19" ht="14.25" customHeight="1">
      <c r="B10" s="11" t="s">
        <v>130</v>
      </c>
      <c r="C10" s="45">
        <f>SUM(C7:C9)</f>
        <v>45302842.329792693</v>
      </c>
      <c r="H10" s="48">
        <v>130000</v>
      </c>
      <c r="I10" s="48">
        <v>2870</v>
      </c>
      <c r="J10" s="49">
        <v>0.06</v>
      </c>
      <c r="K10" s="50">
        <v>2870</v>
      </c>
      <c r="M10" s="43"/>
      <c r="N10" s="51">
        <v>0.5</v>
      </c>
      <c r="O10" s="182">
        <v>926032.41198531166</v>
      </c>
      <c r="P10" s="52">
        <v>0.14911291670522941</v>
      </c>
      <c r="S10" s="41"/>
    </row>
    <row r="11" spans="1:19" ht="14.25" customHeight="1">
      <c r="B11" s="40" t="s">
        <v>131</v>
      </c>
      <c r="C11" s="23">
        <v>0.7</v>
      </c>
      <c r="D11" s="40" t="s">
        <v>131</v>
      </c>
      <c r="E11" s="23"/>
      <c r="H11" s="48">
        <v>960000</v>
      </c>
      <c r="I11" s="48"/>
      <c r="J11" s="49">
        <v>5.5E-2</v>
      </c>
      <c r="K11" s="50">
        <v>52800</v>
      </c>
      <c r="M11" s="43"/>
      <c r="N11" s="51">
        <v>0.55000000000000004</v>
      </c>
      <c r="O11" s="182">
        <v>1978567.5799586587</v>
      </c>
      <c r="P11" s="52">
        <v>0.15711601602005487</v>
      </c>
      <c r="S11" s="41"/>
    </row>
    <row r="12" spans="1:19" ht="14.25" customHeight="1">
      <c r="B12" s="40" t="s">
        <v>132</v>
      </c>
      <c r="C12" s="45">
        <f>C11*C7</f>
        <v>29526281.648073416</v>
      </c>
      <c r="D12" s="40" t="s">
        <v>133</v>
      </c>
      <c r="H12" s="48">
        <v>2000000</v>
      </c>
      <c r="I12" s="48">
        <v>110000</v>
      </c>
      <c r="J12" s="49">
        <v>6.5000000000000002E-2</v>
      </c>
      <c r="K12" s="50">
        <v>110000</v>
      </c>
      <c r="M12" s="53" t="s">
        <v>134</v>
      </c>
      <c r="N12" s="51">
        <v>0.6</v>
      </c>
      <c r="O12" s="182">
        <v>3031102.7479320131</v>
      </c>
      <c r="P12" s="52">
        <v>0.16653850323399078</v>
      </c>
      <c r="S12" s="41"/>
    </row>
    <row r="13" spans="1:19" ht="14.25" customHeight="1">
      <c r="B13" s="40" t="s">
        <v>135</v>
      </c>
      <c r="C13" s="45">
        <f>C10-C12</f>
        <v>15776560.681719277</v>
      </c>
      <c r="D13" s="40" t="s">
        <v>136</v>
      </c>
      <c r="M13" s="43"/>
      <c r="N13" s="51">
        <v>0.65</v>
      </c>
      <c r="O13" s="182">
        <v>4083637.9159053639</v>
      </c>
      <c r="P13" s="52">
        <v>0.17781606910250169</v>
      </c>
      <c r="S13" s="41"/>
    </row>
    <row r="14" spans="1:19" ht="14.25" customHeight="1">
      <c r="H14" s="176" t="s">
        <v>137</v>
      </c>
      <c r="I14" s="174"/>
      <c r="J14" s="175"/>
      <c r="M14" s="43"/>
      <c r="N14" s="51">
        <v>0.7</v>
      </c>
      <c r="O14" s="182">
        <v>5136173.0838787146</v>
      </c>
      <c r="P14" s="52">
        <v>0.19159282037174963</v>
      </c>
      <c r="S14" s="41"/>
    </row>
    <row r="15" spans="1:19" ht="14.25" customHeight="1">
      <c r="H15" s="46" t="s">
        <v>125</v>
      </c>
      <c r="I15" s="4" t="s">
        <v>126</v>
      </c>
      <c r="J15" s="46" t="s">
        <v>55</v>
      </c>
      <c r="M15" s="43"/>
      <c r="N15" s="51">
        <v>0.75</v>
      </c>
      <c r="O15" s="182">
        <v>6188708.2518520691</v>
      </c>
      <c r="P15" s="52">
        <v>0.20886926897813995</v>
      </c>
      <c r="S15" s="41"/>
    </row>
    <row r="16" spans="1:19" ht="14.25" customHeight="1">
      <c r="B16" s="54" t="s">
        <v>138</v>
      </c>
      <c r="C16" s="55"/>
      <c r="D16" s="55"/>
      <c r="H16" s="48">
        <v>0</v>
      </c>
      <c r="I16" s="48">
        <v>0</v>
      </c>
      <c r="J16" s="49">
        <v>0</v>
      </c>
      <c r="M16" s="43"/>
      <c r="N16" s="51">
        <v>0.8</v>
      </c>
      <c r="O16" s="182">
        <v>7241243.4198254198</v>
      </c>
      <c r="P16" s="52">
        <v>0.23130337514141641</v>
      </c>
      <c r="S16" s="41"/>
    </row>
    <row r="17" spans="2:19" ht="14.25" customHeight="1">
      <c r="B17" s="56" t="str">
        <f>'GroupNum_10 '!A23</f>
        <v>Annual rate of Inflation</v>
      </c>
      <c r="C17" s="57">
        <f>'GroupNum_10 '!C23</f>
        <v>2.46E-2</v>
      </c>
      <c r="D17" s="56" t="str">
        <f>'GroupNum_10 '!B23</f>
        <v>Inflation</v>
      </c>
      <c r="H17" s="48">
        <v>50000</v>
      </c>
      <c r="I17" s="48">
        <v>500</v>
      </c>
      <c r="M17" s="43"/>
      <c r="N17" s="51">
        <v>0.85</v>
      </c>
      <c r="O17" s="182">
        <v>8293778.5877987742</v>
      </c>
      <c r="P17" s="52">
        <v>0.26189621391795859</v>
      </c>
      <c r="S17" s="41"/>
    </row>
    <row r="18" spans="2:19" ht="14.25" customHeight="1">
      <c r="B18" s="56" t="str">
        <f>'GroupNum_10 '!A17</f>
        <v>Annual appreciation rate for land component</v>
      </c>
      <c r="C18" s="57">
        <f>'GroupNum_10 '!C17</f>
        <v>4.7E-2</v>
      </c>
      <c r="D18" s="56" t="str">
        <f>'GroupNum_10 '!B17</f>
        <v>landAppn</v>
      </c>
      <c r="H18" s="48">
        <v>100000</v>
      </c>
      <c r="I18" s="48">
        <v>975</v>
      </c>
      <c r="M18" s="43"/>
      <c r="N18" s="51">
        <v>0.9</v>
      </c>
      <c r="O18" s="182">
        <v>9346313.7557721287</v>
      </c>
      <c r="P18" s="52">
        <v>0.30682271435704012</v>
      </c>
      <c r="S18" s="41"/>
    </row>
    <row r="19" spans="2:19" ht="14.25" customHeight="1">
      <c r="B19" s="56" t="str">
        <f>'GroupNum_10 '!A22</f>
        <v>Reinvestment Rate for surplus cash flows</v>
      </c>
      <c r="C19" s="57">
        <f>'GroupNum_10 '!C22</f>
        <v>3.8300000000000001E-2</v>
      </c>
      <c r="D19" s="56" t="str">
        <f>'GroupNum_10 '!B22</f>
        <v>ReinvestRate</v>
      </c>
      <c r="H19" s="48">
        <v>300000</v>
      </c>
      <c r="I19" s="48">
        <v>1350</v>
      </c>
      <c r="J19" s="49">
        <v>3.0000000000000001E-3</v>
      </c>
      <c r="M19" s="43"/>
      <c r="N19" s="43"/>
      <c r="O19" s="43"/>
      <c r="P19" s="43"/>
      <c r="S19" s="41"/>
    </row>
    <row r="20" spans="2:19" ht="14.25" customHeight="1">
      <c r="B20" s="56" t="str">
        <f>'GroupNum_10 '!A21</f>
        <v xml:space="preserve">Required rate of return </v>
      </c>
      <c r="C20" s="57">
        <f>'GroupNum_10 '!C21</f>
        <v>0.14299999999999999</v>
      </c>
      <c r="D20" s="56" t="str">
        <f>'GroupNum_10 '!B21</f>
        <v>RequiredReturn</v>
      </c>
      <c r="H20" s="48">
        <v>600000</v>
      </c>
      <c r="I20" s="48">
        <v>2250</v>
      </c>
      <c r="J20" s="49">
        <v>6.0000000000000001E-3</v>
      </c>
      <c r="M20" s="43"/>
      <c r="N20" s="58"/>
      <c r="O20" s="43"/>
      <c r="P20" s="43"/>
      <c r="S20" s="41"/>
    </row>
    <row r="21" spans="2:19" ht="14.25" customHeight="1">
      <c r="B21" s="56" t="str">
        <f>'GroupNum_10 '!A30</f>
        <v>Marginal Tax rate</v>
      </c>
      <c r="C21" s="57">
        <f>'GroupNum_10 '!C30</f>
        <v>0.3</v>
      </c>
      <c r="D21" s="56" t="str">
        <f>'GroupNum_10 '!B30</f>
        <v>MTR</v>
      </c>
      <c r="H21" s="48">
        <v>1000000</v>
      </c>
      <c r="I21" s="48">
        <v>4650</v>
      </c>
      <c r="J21" s="49">
        <v>8.9999999999999993E-3</v>
      </c>
      <c r="M21" s="43"/>
      <c r="N21" s="58"/>
      <c r="O21" s="43"/>
      <c r="P21" s="43"/>
      <c r="S21" s="41"/>
    </row>
    <row r="22" spans="2:19" ht="14.25" customHeight="1">
      <c r="B22" s="56" t="s">
        <v>139</v>
      </c>
      <c r="C22" s="57">
        <v>0.01</v>
      </c>
      <c r="D22" s="56" t="s">
        <v>140</v>
      </c>
      <c r="H22" s="48"/>
      <c r="I22" s="48"/>
      <c r="J22" s="49"/>
      <c r="M22" s="178" t="s">
        <v>141</v>
      </c>
      <c r="N22" s="178"/>
      <c r="O22" s="178"/>
      <c r="P22" s="178"/>
      <c r="S22" s="41"/>
    </row>
    <row r="23" spans="2:19" ht="14.25" customHeight="1">
      <c r="B23" s="56" t="s">
        <v>142</v>
      </c>
      <c r="C23" s="57">
        <f>CashFlows_10!C16/'DataTable_10 '!C7</f>
        <v>9.2227241452499137E-2</v>
      </c>
      <c r="D23" s="56" t="s">
        <v>143</v>
      </c>
      <c r="H23" s="48"/>
      <c r="I23" s="48"/>
      <c r="J23" s="49"/>
      <c r="M23" s="43"/>
      <c r="N23" s="43"/>
      <c r="O23" s="44" t="s">
        <v>122</v>
      </c>
      <c r="P23" s="44" t="s">
        <v>123</v>
      </c>
      <c r="S23" s="41"/>
    </row>
    <row r="24" spans="2:19" ht="14.25" customHeight="1">
      <c r="H24" s="48">
        <v>1800000</v>
      </c>
      <c r="I24" s="48">
        <v>11850</v>
      </c>
      <c r="J24" s="49">
        <v>1.6500000000000001E-2</v>
      </c>
      <c r="M24" s="43"/>
      <c r="N24" s="43"/>
      <c r="O24" s="180">
        <f>CashFlows_10!B47</f>
        <v>5136173.0838787146</v>
      </c>
      <c r="P24" s="47">
        <f>CashFlows_10!B48</f>
        <v>0.19159282037174963</v>
      </c>
      <c r="S24" s="41"/>
    </row>
    <row r="25" spans="2:19" ht="14.25" customHeight="1">
      <c r="B25" s="54" t="s">
        <v>144</v>
      </c>
      <c r="C25" s="55"/>
      <c r="D25" s="55"/>
      <c r="H25" s="48">
        <v>3000000</v>
      </c>
      <c r="I25" s="48">
        <v>31650</v>
      </c>
      <c r="J25" s="49">
        <v>2.6499999999999999E-2</v>
      </c>
      <c r="M25" s="43"/>
      <c r="N25" s="59">
        <v>0.7</v>
      </c>
      <c r="O25" s="182">
        <f t="dataTable" ref="O25:P30" dt2D="0" dtr="0" r1="S71"/>
        <v>4768280.9198714681</v>
      </c>
      <c r="P25" s="52">
        <v>0.18806142778307233</v>
      </c>
      <c r="S25" s="41"/>
    </row>
    <row r="26" spans="2:19" ht="30" customHeight="1">
      <c r="B26" s="56" t="str">
        <f>'GroupNum_10 '!A26</f>
        <v>Annual Increase in Rent - Retail outlets (all)</v>
      </c>
      <c r="C26" s="57">
        <f>'GroupNum_10 '!C26</f>
        <v>0.03</v>
      </c>
      <c r="D26" s="56" t="str">
        <f>'GroupNum_10 '!B26</f>
        <v>Retail_RentIncrease</v>
      </c>
      <c r="M26" s="181" t="s">
        <v>145</v>
      </c>
      <c r="N26" s="59">
        <v>0.75</v>
      </c>
      <c r="O26" s="182">
        <v>4833930.7791241743</v>
      </c>
      <c r="P26" s="52">
        <v>0.18869113646385749</v>
      </c>
      <c r="S26" s="41"/>
    </row>
    <row r="27" spans="2:19" ht="14.25" customHeight="1">
      <c r="B27" s="56" t="str">
        <f>'GroupNum_10 '!A27</f>
        <v>Annual increase in Rent: Convention Centre (levels 1 - 3)</v>
      </c>
      <c r="C27" s="57">
        <f>'GroupNum_10 '!C27</f>
        <v>2.5999999999999999E-2</v>
      </c>
      <c r="D27" s="56" t="str">
        <f>'GroupNum_10 '!B27</f>
        <v>Convention_RentIncrease</v>
      </c>
      <c r="M27" s="43"/>
      <c r="N27" s="59">
        <v>0.8</v>
      </c>
      <c r="O27" s="182">
        <v>4899600.5684865341</v>
      </c>
      <c r="P27" s="52">
        <v>0.1893212394638788</v>
      </c>
      <c r="S27" s="41"/>
    </row>
    <row r="28" spans="2:19" ht="14.25" customHeight="1">
      <c r="B28" s="56" t="str">
        <f>'GroupNum_10 '!A28</f>
        <v>Annual increase in Rent: State governemnt offices (levels 4 - 8)</v>
      </c>
      <c r="C28" s="57">
        <f>'GroupNum_10 '!C28</f>
        <v>2.8000000000000001E-2</v>
      </c>
      <c r="D28" s="56" t="str">
        <f>'GroupNum_10 '!B28</f>
        <v>StateGov_RentIncrease</v>
      </c>
      <c r="M28" s="43"/>
      <c r="N28" s="59">
        <v>0.85</v>
      </c>
      <c r="O28" s="182">
        <v>4965290.0429044627</v>
      </c>
      <c r="P28" s="52">
        <v>0.18995173319958036</v>
      </c>
      <c r="S28" s="41"/>
    </row>
    <row r="29" spans="2:19" ht="14.25" customHeight="1">
      <c r="B29" s="56" t="str">
        <f>'GroupNum_10 '!A29</f>
        <v>Annual increase in Rent: Higher floors Office space (levels 9 - 23)</v>
      </c>
      <c r="C29" s="57">
        <f>'GroupNum_10 '!C29</f>
        <v>3.4000000000000002E-2</v>
      </c>
      <c r="D29" s="56" t="str">
        <f>'GroupNum_10 '!B29</f>
        <v>Office_RentIncrease</v>
      </c>
      <c r="M29" s="43"/>
      <c r="N29" s="59">
        <v>0.9</v>
      </c>
      <c r="O29" s="182">
        <v>5030998.9613249674</v>
      </c>
      <c r="P29" s="52">
        <v>0.19058261414069122</v>
      </c>
      <c r="S29" s="41"/>
    </row>
    <row r="30" spans="2:19" ht="14.25" customHeight="1">
      <c r="M30" s="43"/>
      <c r="N30" s="59">
        <v>0.95</v>
      </c>
      <c r="O30" s="182">
        <v>5096727.086614795</v>
      </c>
      <c r="P30" s="52">
        <v>0.19121387880917751</v>
      </c>
      <c r="S30" s="41"/>
    </row>
    <row r="31" spans="2:19" ht="14.25" customHeight="1">
      <c r="B31" s="54" t="s">
        <v>146</v>
      </c>
      <c r="C31" s="55"/>
      <c r="D31" s="55"/>
      <c r="S31" s="41"/>
    </row>
    <row r="32" spans="2:19" ht="14.25" customHeight="1">
      <c r="B32" s="56" t="str">
        <f>'GroupNum_10 '!A31</f>
        <v>Management fees - Gr Floor Retail</v>
      </c>
      <c r="C32" s="57">
        <f>'GroupNum_10 '!C31</f>
        <v>4.7500000000000001E-2</v>
      </c>
      <c r="D32" s="56" t="str">
        <f>'GroupNum_10 '!B31</f>
        <v>ManFeesRetail</v>
      </c>
      <c r="S32" s="41"/>
    </row>
    <row r="33" spans="2:19" ht="14.25" customHeight="1">
      <c r="B33" s="56" t="str">
        <f>'GroupNum_10 '!A32</f>
        <v>Management fees - Convention Centre</v>
      </c>
      <c r="C33" s="57">
        <f>'GroupNum_10 '!C32</f>
        <v>3.7499999999999999E-2</v>
      </c>
      <c r="D33" s="56" t="str">
        <f>'GroupNum_10 '!B32</f>
        <v>ManFeesConvention</v>
      </c>
      <c r="S33" s="41"/>
    </row>
    <row r="34" spans="2:19" ht="14.25" customHeight="1">
      <c r="B34" s="56" t="str">
        <f>'GroupNum_10 '!A33</f>
        <v>Management fees - GovOffices</v>
      </c>
      <c r="C34" s="57">
        <f>'GroupNum_10 '!C33</f>
        <v>3.1399999999999997E-2</v>
      </c>
      <c r="D34" s="56" t="str">
        <f>'GroupNum_10 '!B33</f>
        <v>ManFeesGov</v>
      </c>
      <c r="S34" s="41"/>
    </row>
    <row r="35" spans="2:19" ht="14.25" customHeight="1">
      <c r="B35" s="56" t="str">
        <f>'GroupNum_10 '!A34</f>
        <v>Management fees - General office space</v>
      </c>
      <c r="C35" s="57">
        <f>'GroupNum_10 '!C34</f>
        <v>4.41E-2</v>
      </c>
      <c r="D35" s="56" t="str">
        <f>'GroupNum_10 '!B34</f>
        <v>ManFeesGeneralOffice</v>
      </c>
      <c r="S35" s="41"/>
    </row>
    <row r="36" spans="2:19" ht="14.25" customHeight="1">
      <c r="B36" s="56" t="str">
        <f>'GroupNum_10 '!A35</f>
        <v>Building Maintenance</v>
      </c>
      <c r="C36" s="57">
        <f>'GroupNum_10 '!C35</f>
        <v>3.7600000000000001E-2</v>
      </c>
      <c r="D36" s="56" t="str">
        <f>'GroupNum_10 '!B35</f>
        <v>BuildMaintenance</v>
      </c>
      <c r="S36" s="41"/>
    </row>
    <row r="37" spans="2:19" ht="14.25" customHeight="1">
      <c r="B37" s="56" t="str">
        <f>'GroupNum_10 '!A36</f>
        <v>Other operating costs: Cleaning/Security, etc.</v>
      </c>
      <c r="C37" s="57">
        <f>'GroupNum_10 '!C36</f>
        <v>4.4900000000000002E-2</v>
      </c>
      <c r="D37" s="56" t="str">
        <f>'GroupNum_10 '!B36</f>
        <v>OthManCosts</v>
      </c>
      <c r="S37" s="41"/>
    </row>
    <row r="38" spans="2:19" ht="14.25" customHeight="1">
      <c r="B38" s="56" t="str">
        <f>'GroupNum_10 '!A37</f>
        <v>Melbourne City Council and water rates</v>
      </c>
      <c r="C38" s="57">
        <f>'GroupNum_10 '!C37</f>
        <v>4.4299999999999999E-3</v>
      </c>
      <c r="D38" s="56" t="str">
        <f>'GroupNum_10 '!B37</f>
        <v>waterRates</v>
      </c>
      <c r="S38" s="41"/>
    </row>
    <row r="39" spans="2:19" ht="14.25" customHeight="1">
      <c r="B39" s="56" t="str">
        <f>'GroupNum_10 '!A38</f>
        <v>Building and Public Liability Insurance premium  (% building value)</v>
      </c>
      <c r="C39" s="57">
        <f>'GroupNum_10 '!C38</f>
        <v>1.3799999999999999E-3</v>
      </c>
      <c r="D39" s="56" t="str">
        <f>'GroupNum_10 '!B38</f>
        <v>BldnIns</v>
      </c>
      <c r="S39" s="41"/>
    </row>
    <row r="40" spans="2:19" ht="14.25" customHeight="1">
      <c r="S40" s="41"/>
    </row>
    <row r="41" spans="2:19" ht="14.25" customHeight="1">
      <c r="B41" s="54" t="s">
        <v>147</v>
      </c>
      <c r="C41" s="55"/>
      <c r="D41" s="55"/>
      <c r="S41" s="41"/>
    </row>
    <row r="42" spans="2:19" ht="14.25" customHeight="1">
      <c r="B42" s="56" t="str">
        <f>'GroupNum_10 '!A9</f>
        <v>Value of building (for Capital allowance) as % of PP</v>
      </c>
      <c r="C42" s="57">
        <f>'GroupNum_10 '!C9</f>
        <v>0.48</v>
      </c>
      <c r="D42" s="56" t="str">
        <f>'GroupNum_10 '!B9</f>
        <v>BuildValPct</v>
      </c>
      <c r="S42" s="41"/>
    </row>
    <row r="43" spans="2:19" ht="14.25" customHeight="1">
      <c r="B43" s="56" t="str">
        <f>'GroupNum_10 '!A10</f>
        <v>Value of Plant - Lifts for depreciation as % of PP</v>
      </c>
      <c r="C43" s="57">
        <f>'GroupNum_10 '!C10</f>
        <v>6.0999999999999999E-2</v>
      </c>
      <c r="D43" s="56" t="str">
        <f>'GroupNum_10 '!B10</f>
        <v>LiftValPct</v>
      </c>
      <c r="S43" s="41"/>
    </row>
    <row r="44" spans="2:19" ht="14.25" customHeight="1">
      <c r="B44" s="56" t="str">
        <f>'GroupNum_10 '!A11</f>
        <v>Value of Plant - AirCon for depreciation as % of PP</v>
      </c>
      <c r="C44" s="57">
        <f>'GroupNum_10 '!C11</f>
        <v>7.3999999999999996E-2</v>
      </c>
      <c r="D44" s="56" t="str">
        <f>'GroupNum_10 '!B11</f>
        <v>AirConValPct</v>
      </c>
      <c r="S44" s="41"/>
    </row>
    <row r="45" spans="2:19" ht="14.25" customHeight="1">
      <c r="B45" s="56" t="str">
        <f>'GroupNum_10 '!A12</f>
        <v>Value of F &amp; F (Fixtures and Fittings) for depreciation as % of PP</v>
      </c>
      <c r="C45" s="57">
        <f>'GroupNum_10 '!C12</f>
        <v>6.5833333333333327E-2</v>
      </c>
      <c r="D45" s="56" t="str">
        <f>'GroupNum_10 '!B12</f>
        <v>FixFitValPct</v>
      </c>
      <c r="S45" s="41"/>
    </row>
    <row r="46" spans="2:19" ht="14.25" customHeight="1">
      <c r="B46" s="56" t="str">
        <f>'GroupNum_10 '!A13</f>
        <v>Special building write off (capital allowance) – straight line</v>
      </c>
      <c r="C46" s="57">
        <f>'GroupNum_10 '!C13</f>
        <v>2.5000000000000001E-2</v>
      </c>
      <c r="D46" s="56" t="str">
        <f>'GroupNum_10 '!B13</f>
        <v>BuildAllow</v>
      </c>
      <c r="S46" s="41"/>
    </row>
    <row r="47" spans="2:19" ht="14.25" customHeight="1">
      <c r="B47" s="56" t="str">
        <f>'GroupNum_10 '!A14</f>
        <v>Depreciation rate for Lifts – declining balance method</v>
      </c>
      <c r="C47" s="57">
        <f>'GroupNum_10 '!C14</f>
        <v>0.13</v>
      </c>
      <c r="D47" s="56" t="str">
        <f>'GroupNum_10 '!B14</f>
        <v>LiftDepn</v>
      </c>
      <c r="S47" s="41"/>
    </row>
    <row r="48" spans="2:19" ht="14.25" customHeight="1">
      <c r="B48" s="56" t="str">
        <f>'GroupNum_10 '!A15</f>
        <v>Depreciation rate for AirCon – declining balance method</v>
      </c>
      <c r="C48" s="57">
        <f>'GroupNum_10 '!C15</f>
        <v>0.17</v>
      </c>
      <c r="D48" s="56" t="str">
        <f>'GroupNum_10 '!B15</f>
        <v>AirConDepn</v>
      </c>
      <c r="S48" s="41"/>
    </row>
    <row r="49" spans="2:30" ht="14.25" customHeight="1">
      <c r="B49" s="56" t="str">
        <f>'GroupNum_10 '!A16</f>
        <v>Depreciation rate for F &amp; F – declining balance method</v>
      </c>
      <c r="C49" s="57">
        <f>'GroupNum_10 '!C16</f>
        <v>9.4E-2</v>
      </c>
      <c r="D49" s="56" t="str">
        <f>'GroupNum_10 '!B16</f>
        <v>FixFitDepn</v>
      </c>
      <c r="S49" s="41"/>
    </row>
    <row r="50" spans="2:30" ht="14.25" customHeight="1">
      <c r="B50" s="56" t="str">
        <f>'GroupNum_10 '!A19</f>
        <v>Selling costs (% of selling price)</v>
      </c>
      <c r="C50" s="57">
        <f>'GroupNum_10 '!C19</f>
        <v>2.2700000000000001E-2</v>
      </c>
      <c r="D50" s="56" t="str">
        <f>'GroupNum_10 '!B19</f>
        <v>SelCosts</v>
      </c>
      <c r="S50" s="41"/>
    </row>
    <row r="51" spans="2:30" ht="14.25" customHeight="1">
      <c r="B51" s="56" t="str">
        <f>'GroupNum_10 '!A20</f>
        <v xml:space="preserve">Interest rate on borrowed funds </v>
      </c>
      <c r="C51" s="57">
        <f>'GroupNum_10 '!C20</f>
        <v>6.6000000000000003E-2</v>
      </c>
      <c r="D51" s="56" t="str">
        <f>'GroupNum_10 '!B20</f>
        <v>InterestRate</v>
      </c>
      <c r="S51" s="41"/>
    </row>
    <row r="52" spans="2:30" ht="14.25" customHeight="1">
      <c r="B52" s="56" t="s">
        <v>148</v>
      </c>
      <c r="C52" s="57">
        <v>0.8</v>
      </c>
      <c r="D52" s="56" t="s">
        <v>149</v>
      </c>
      <c r="S52" s="41"/>
    </row>
    <row r="53" spans="2:30" ht="14.25" customHeight="1">
      <c r="B53" s="56" t="str">
        <f>'GroupNum_10 '!A24</f>
        <v>Projected income from other investments</v>
      </c>
      <c r="C53" s="60">
        <f>'GroupNum_10 '!C24</f>
        <v>395569</v>
      </c>
      <c r="D53" s="56" t="str">
        <f>'GroupNum_10 '!B24</f>
        <v>OtherIncome</v>
      </c>
      <c r="S53" s="41"/>
    </row>
    <row r="54" spans="2:30" ht="14.25" customHeight="1">
      <c r="B54" s="56" t="str">
        <f>'GroupNum_10 '!A25</f>
        <v xml:space="preserve">Estimated percentage change in other in income </v>
      </c>
      <c r="C54" s="57">
        <f>'GroupNum_10 '!C25</f>
        <v>3.7499999999999999E-2</v>
      </c>
      <c r="D54" s="56" t="str">
        <f>'GroupNum_10 '!B25</f>
        <v>Pct_OtherIncomeChange</v>
      </c>
      <c r="S54" s="41"/>
    </row>
    <row r="55" spans="2:30" ht="14.25" customHeight="1">
      <c r="S55" s="41"/>
    </row>
    <row r="56" spans="2:30" ht="25.5" customHeight="1">
      <c r="B56" s="61" t="s">
        <v>150</v>
      </c>
      <c r="C56" s="62"/>
      <c r="E56" s="61" t="s">
        <v>151</v>
      </c>
      <c r="F56" s="62"/>
      <c r="G56" s="63"/>
      <c r="H56" s="63"/>
      <c r="I56" s="63"/>
      <c r="J56" s="63"/>
      <c r="K56" s="63"/>
      <c r="L56" s="63"/>
      <c r="M56" s="63"/>
      <c r="N56" s="63"/>
      <c r="O56" s="63"/>
      <c r="R56" s="61" t="s">
        <v>152</v>
      </c>
      <c r="S56" s="64"/>
      <c r="T56" s="63"/>
      <c r="U56" s="63"/>
      <c r="V56" s="63"/>
      <c r="W56" s="63"/>
      <c r="X56" s="63"/>
      <c r="Y56" s="63"/>
      <c r="Z56" s="63"/>
      <c r="AA56" s="63"/>
      <c r="AB56" s="63"/>
    </row>
    <row r="57" spans="2:30" ht="14.25" customHeight="1">
      <c r="B57" s="65" t="s">
        <v>153</v>
      </c>
      <c r="C57" s="66" t="s">
        <v>154</v>
      </c>
      <c r="E57" s="67" t="s">
        <v>155</v>
      </c>
      <c r="F57" s="67">
        <v>1</v>
      </c>
      <c r="G57" s="67">
        <v>2</v>
      </c>
      <c r="H57" s="67">
        <v>3</v>
      </c>
      <c r="I57" s="67">
        <v>4</v>
      </c>
      <c r="J57" s="67">
        <v>5</v>
      </c>
      <c r="K57" s="67">
        <v>6</v>
      </c>
      <c r="L57" s="67">
        <v>7</v>
      </c>
      <c r="M57" s="67">
        <v>8</v>
      </c>
      <c r="N57" s="67">
        <v>9</v>
      </c>
      <c r="O57" s="68">
        <v>10</v>
      </c>
      <c r="P57" s="69">
        <v>11</v>
      </c>
      <c r="Q57" s="70"/>
      <c r="R57" s="67" t="s">
        <v>155</v>
      </c>
      <c r="S57" s="67"/>
      <c r="T57" s="67">
        <v>1</v>
      </c>
      <c r="U57" s="67">
        <v>2</v>
      </c>
      <c r="V57" s="67">
        <v>3</v>
      </c>
      <c r="W57" s="67">
        <v>4</v>
      </c>
      <c r="X57" s="67">
        <v>5</v>
      </c>
      <c r="Y57" s="67">
        <v>6</v>
      </c>
      <c r="Z57" s="67">
        <v>7</v>
      </c>
      <c r="AA57" s="67">
        <v>8</v>
      </c>
      <c r="AB57" s="67">
        <v>9</v>
      </c>
      <c r="AC57" s="68">
        <v>10</v>
      </c>
      <c r="AD57" s="69">
        <v>11</v>
      </c>
    </row>
    <row r="58" spans="2:30" ht="14.25" customHeight="1">
      <c r="B58" s="65" t="s">
        <v>75</v>
      </c>
      <c r="C58" s="71">
        <f>SUM(C59:C69)</f>
        <v>905400</v>
      </c>
      <c r="E58" s="72" t="s">
        <v>153</v>
      </c>
      <c r="F58" s="73" t="s">
        <v>156</v>
      </c>
      <c r="G58" s="73"/>
      <c r="H58" s="73"/>
      <c r="I58" s="73"/>
      <c r="J58" s="73"/>
      <c r="K58" s="73"/>
      <c r="L58" s="73"/>
      <c r="M58" s="73"/>
      <c r="N58" s="73"/>
      <c r="O58" s="74"/>
      <c r="P58" s="75"/>
      <c r="Q58" s="70"/>
      <c r="R58" s="72" t="s">
        <v>153</v>
      </c>
      <c r="S58" s="76" t="s">
        <v>157</v>
      </c>
      <c r="T58" s="73" t="s">
        <v>156</v>
      </c>
      <c r="U58" s="73"/>
      <c r="V58" s="73"/>
      <c r="W58" s="73"/>
      <c r="X58" s="73"/>
      <c r="Y58" s="73"/>
      <c r="Z58" s="73"/>
      <c r="AA58" s="73"/>
      <c r="AB58" s="73"/>
      <c r="AC58" s="74"/>
      <c r="AD58" s="75"/>
    </row>
    <row r="59" spans="2:30" ht="14.25" customHeight="1">
      <c r="B59" s="77" t="s">
        <v>79</v>
      </c>
      <c r="C59" s="78">
        <f>'GroupNum_10 '!B43*'GroupNum_10 '!C43</f>
        <v>75400</v>
      </c>
      <c r="E59" s="65" t="s">
        <v>75</v>
      </c>
      <c r="F59" s="79">
        <f t="shared" ref="F59:F88" si="0">C58</f>
        <v>905400</v>
      </c>
      <c r="G59" s="79">
        <f t="shared" ref="G59:P59" si="1">SUM(G60:G70)</f>
        <v>954834.83999999985</v>
      </c>
      <c r="H59" s="79">
        <f t="shared" si="1"/>
        <v>1006968.822264</v>
      </c>
      <c r="I59" s="79">
        <f t="shared" si="1"/>
        <v>1061949.3199596144</v>
      </c>
      <c r="J59" s="79">
        <f t="shared" si="1"/>
        <v>1119931.7528294092</v>
      </c>
      <c r="K59" s="79">
        <f t="shared" si="1"/>
        <v>1181080.0265338949</v>
      </c>
      <c r="L59" s="79">
        <f t="shared" si="1"/>
        <v>1245566.995982646</v>
      </c>
      <c r="M59" s="79">
        <f t="shared" si="1"/>
        <v>1313574.9539632981</v>
      </c>
      <c r="N59" s="79">
        <f t="shared" si="1"/>
        <v>1385296.1464496942</v>
      </c>
      <c r="O59" s="80">
        <f t="shared" si="1"/>
        <v>1460933.3160458475</v>
      </c>
      <c r="P59" s="80">
        <f t="shared" si="1"/>
        <v>1540700.2751019509</v>
      </c>
      <c r="Q59" s="70"/>
      <c r="R59" s="65" t="s">
        <v>75</v>
      </c>
      <c r="S59" s="81"/>
      <c r="T59" s="79">
        <f t="shared" ref="T59:AD59" si="2">SUM(T60:T70)</f>
        <v>87119.500000000073</v>
      </c>
      <c r="U59" s="79">
        <f t="shared" si="2"/>
        <v>91876.224700000079</v>
      </c>
      <c r="V59" s="79">
        <f t="shared" si="2"/>
        <v>96892.666568620087</v>
      </c>
      <c r="W59" s="79">
        <f t="shared" si="2"/>
        <v>102183.00616326675</v>
      </c>
      <c r="X59" s="79">
        <f t="shared" si="2"/>
        <v>107762.1982997811</v>
      </c>
      <c r="Y59" s="79">
        <f t="shared" si="2"/>
        <v>113646.01432694915</v>
      </c>
      <c r="Z59" s="79">
        <f t="shared" si="2"/>
        <v>119851.08670920058</v>
      </c>
      <c r="AA59" s="79">
        <f t="shared" si="2"/>
        <v>126394.95604352292</v>
      </c>
      <c r="AB59" s="79">
        <f t="shared" si="2"/>
        <v>133296.12064349928</v>
      </c>
      <c r="AC59" s="80">
        <f t="shared" si="2"/>
        <v>140574.08883063431</v>
      </c>
      <c r="AD59" s="82">
        <f t="shared" si="2"/>
        <v>148249.43408078697</v>
      </c>
    </row>
    <row r="60" spans="2:30" ht="14.25" customHeight="1">
      <c r="B60" s="77" t="s">
        <v>80</v>
      </c>
      <c r="C60" s="78">
        <f>'GroupNum_10 '!B44*'GroupNum_10 '!C44</f>
        <v>95400</v>
      </c>
      <c r="E60" s="77" t="s">
        <v>79</v>
      </c>
      <c r="F60" s="83">
        <f t="shared" si="0"/>
        <v>75400</v>
      </c>
      <c r="G60" s="83">
        <f t="shared" ref="G60:P60" si="3">$F60*(1+$C$26+$C$17)^F$57</f>
        <v>79516.84</v>
      </c>
      <c r="H60" s="83">
        <f t="shared" si="3"/>
        <v>83858.459464</v>
      </c>
      <c r="I60" s="83">
        <f t="shared" si="3"/>
        <v>88437.131350734402</v>
      </c>
      <c r="J60" s="83">
        <f t="shared" si="3"/>
        <v>93265.798722484498</v>
      </c>
      <c r="K60" s="83">
        <f t="shared" si="3"/>
        <v>98358.111332732151</v>
      </c>
      <c r="L60" s="83">
        <f t="shared" si="3"/>
        <v>103728.46421149933</v>
      </c>
      <c r="M60" s="83">
        <f t="shared" si="3"/>
        <v>109392.03835744718</v>
      </c>
      <c r="N60" s="83">
        <f t="shared" si="3"/>
        <v>115364.84365176379</v>
      </c>
      <c r="O60" s="84">
        <f t="shared" si="3"/>
        <v>121663.7641151501</v>
      </c>
      <c r="P60" s="85">
        <f t="shared" si="3"/>
        <v>128306.60563583729</v>
      </c>
      <c r="Q60" s="70"/>
      <c r="R60" s="77" t="s">
        <v>79</v>
      </c>
      <c r="S60" s="81">
        <f>'GroupNum_10 '!D43</f>
        <v>0.95</v>
      </c>
      <c r="T60" s="83">
        <f t="shared" ref="T60:AD60" si="4">F60*(1-$S60)</f>
        <v>3770.0000000000032</v>
      </c>
      <c r="U60" s="83">
        <f t="shared" si="4"/>
        <v>3975.8420000000033</v>
      </c>
      <c r="V60" s="83">
        <f t="shared" si="4"/>
        <v>4192.922973200004</v>
      </c>
      <c r="W60" s="83">
        <f t="shared" si="4"/>
        <v>4421.8565675367245</v>
      </c>
      <c r="X60" s="83">
        <f t="shared" si="4"/>
        <v>4663.2899361242289</v>
      </c>
      <c r="Y60" s="83">
        <f t="shared" si="4"/>
        <v>4917.9055666366121</v>
      </c>
      <c r="Z60" s="83">
        <f t="shared" si="4"/>
        <v>5186.4232105749716</v>
      </c>
      <c r="AA60" s="83">
        <f t="shared" si="4"/>
        <v>5469.6019178723636</v>
      </c>
      <c r="AB60" s="83">
        <f t="shared" si="4"/>
        <v>5768.2421825881947</v>
      </c>
      <c r="AC60" s="84">
        <f t="shared" si="4"/>
        <v>6083.1882057575103</v>
      </c>
      <c r="AD60" s="85">
        <f t="shared" si="4"/>
        <v>6415.3302817918702</v>
      </c>
    </row>
    <row r="61" spans="2:30" ht="14.25" customHeight="1">
      <c r="B61" s="77" t="s">
        <v>81</v>
      </c>
      <c r="C61" s="78">
        <f>'GroupNum_10 '!B45*'GroupNum_10 '!C45</f>
        <v>88200</v>
      </c>
      <c r="E61" s="77" t="s">
        <v>80</v>
      </c>
      <c r="F61" s="83">
        <f t="shared" si="0"/>
        <v>95400</v>
      </c>
      <c r="G61" s="83">
        <f t="shared" ref="G61:P61" si="5">$F61*(1+$C$26+$C$17)^F$57</f>
        <v>100608.84</v>
      </c>
      <c r="H61" s="83">
        <f t="shared" si="5"/>
        <v>106102.082664</v>
      </c>
      <c r="I61" s="83">
        <f t="shared" si="5"/>
        <v>111895.2563774544</v>
      </c>
      <c r="J61" s="83">
        <f t="shared" si="5"/>
        <v>118004.7373756634</v>
      </c>
      <c r="K61" s="83">
        <f t="shared" si="5"/>
        <v>124447.79603637462</v>
      </c>
      <c r="L61" s="83">
        <f t="shared" si="5"/>
        <v>131242.64569996067</v>
      </c>
      <c r="M61" s="83">
        <f t="shared" si="5"/>
        <v>138408.49415517852</v>
      </c>
      <c r="N61" s="83">
        <f t="shared" si="5"/>
        <v>145965.59793605129</v>
      </c>
      <c r="O61" s="84">
        <f t="shared" si="5"/>
        <v>153935.31958335967</v>
      </c>
      <c r="P61" s="85">
        <f t="shared" si="5"/>
        <v>162340.1880326111</v>
      </c>
      <c r="Q61" s="70"/>
      <c r="R61" s="77" t="s">
        <v>80</v>
      </c>
      <c r="S61" s="81">
        <f>'GroupNum_10 '!D44</f>
        <v>0.95</v>
      </c>
      <c r="T61" s="83">
        <f t="shared" ref="T61:AD61" si="6">F61*(1-$S61)</f>
        <v>4770.0000000000045</v>
      </c>
      <c r="U61" s="83">
        <f t="shared" si="6"/>
        <v>5030.4420000000046</v>
      </c>
      <c r="V61" s="83">
        <f t="shared" si="6"/>
        <v>5305.104133200005</v>
      </c>
      <c r="W61" s="83">
        <f t="shared" si="6"/>
        <v>5594.7628188727249</v>
      </c>
      <c r="X61" s="83">
        <f t="shared" si="6"/>
        <v>5900.2368687831759</v>
      </c>
      <c r="Y61" s="83">
        <f t="shared" si="6"/>
        <v>6222.3898018187365</v>
      </c>
      <c r="Z61" s="83">
        <f t="shared" si="6"/>
        <v>6562.1322849980397</v>
      </c>
      <c r="AA61" s="83">
        <f t="shared" si="6"/>
        <v>6920.4247077589316</v>
      </c>
      <c r="AB61" s="83">
        <f t="shared" si="6"/>
        <v>7298.2798968025709</v>
      </c>
      <c r="AC61" s="84">
        <f t="shared" si="6"/>
        <v>7696.7659791679907</v>
      </c>
      <c r="AD61" s="85">
        <f t="shared" si="6"/>
        <v>8117.009401630562</v>
      </c>
    </row>
    <row r="62" spans="2:30" ht="14.25" customHeight="1">
      <c r="B62" s="77" t="s">
        <v>82</v>
      </c>
      <c r="C62" s="78">
        <f>'GroupNum_10 '!B46*'GroupNum_10 '!C46</f>
        <v>77250</v>
      </c>
      <c r="E62" s="77" t="s">
        <v>81</v>
      </c>
      <c r="F62" s="83">
        <f t="shared" si="0"/>
        <v>88200</v>
      </c>
      <c r="G62" s="83">
        <f t="shared" ref="G62:P62" si="7">$F62*(1+$C$26+$C$17)^F$57</f>
        <v>93015.72</v>
      </c>
      <c r="H62" s="83">
        <f t="shared" si="7"/>
        <v>98094.378312000001</v>
      </c>
      <c r="I62" s="83">
        <f t="shared" si="7"/>
        <v>103450.3313678352</v>
      </c>
      <c r="J62" s="83">
        <f t="shared" si="7"/>
        <v>109098.71946051899</v>
      </c>
      <c r="K62" s="83">
        <f t="shared" si="7"/>
        <v>115055.50954306334</v>
      </c>
      <c r="L62" s="83">
        <f t="shared" si="7"/>
        <v>121337.5403641146</v>
      </c>
      <c r="M62" s="83">
        <f t="shared" si="7"/>
        <v>127962.57006799524</v>
      </c>
      <c r="N62" s="83">
        <f t="shared" si="7"/>
        <v>134949.32639370777</v>
      </c>
      <c r="O62" s="84">
        <f t="shared" si="7"/>
        <v>142317.55961480422</v>
      </c>
      <c r="P62" s="85">
        <f t="shared" si="7"/>
        <v>150088.09836977255</v>
      </c>
      <c r="Q62" s="70"/>
      <c r="R62" s="77" t="s">
        <v>81</v>
      </c>
      <c r="S62" s="81">
        <f>'GroupNum_10 '!D45</f>
        <v>0.91999999999999993</v>
      </c>
      <c r="T62" s="83">
        <f t="shared" ref="T62:AD62" si="8">F62*(1-$S62)</f>
        <v>7056.0000000000064</v>
      </c>
      <c r="U62" s="83">
        <f t="shared" si="8"/>
        <v>7441.2576000000063</v>
      </c>
      <c r="V62" s="83">
        <f t="shared" si="8"/>
        <v>7847.5502649600066</v>
      </c>
      <c r="W62" s="83">
        <f t="shared" si="8"/>
        <v>8276.0265094268234</v>
      </c>
      <c r="X62" s="83">
        <f t="shared" si="8"/>
        <v>8727.8975568415262</v>
      </c>
      <c r="Y62" s="83">
        <f t="shared" si="8"/>
        <v>9204.4407634450745</v>
      </c>
      <c r="Z62" s="83">
        <f t="shared" si="8"/>
        <v>9707.0032291291755</v>
      </c>
      <c r="AA62" s="83">
        <f t="shared" si="8"/>
        <v>10237.005605439628</v>
      </c>
      <c r="AB62" s="83">
        <f t="shared" si="8"/>
        <v>10795.946111496631</v>
      </c>
      <c r="AC62" s="84">
        <f t="shared" si="8"/>
        <v>11385.404769184348</v>
      </c>
      <c r="AD62" s="85">
        <f t="shared" si="8"/>
        <v>12007.047869581815</v>
      </c>
    </row>
    <row r="63" spans="2:30" ht="14.25" customHeight="1">
      <c r="B63" s="77" t="s">
        <v>83</v>
      </c>
      <c r="C63" s="78">
        <f>'GroupNum_10 '!B47*'GroupNum_10 '!C47</f>
        <v>81375</v>
      </c>
      <c r="E63" s="77" t="s">
        <v>82</v>
      </c>
      <c r="F63" s="83">
        <f t="shared" si="0"/>
        <v>77250</v>
      </c>
      <c r="G63" s="83">
        <f t="shared" ref="G63:P63" si="9">$F63*(1+$C$26+$C$17)^F$57</f>
        <v>81467.850000000006</v>
      </c>
      <c r="H63" s="83">
        <f t="shared" si="9"/>
        <v>85915.994609999994</v>
      </c>
      <c r="I63" s="83">
        <f t="shared" si="9"/>
        <v>90607.007915705995</v>
      </c>
      <c r="J63" s="83">
        <f t="shared" si="9"/>
        <v>95554.15054790354</v>
      </c>
      <c r="K63" s="83">
        <f t="shared" si="9"/>
        <v>100771.40716781908</v>
      </c>
      <c r="L63" s="83">
        <f t="shared" si="9"/>
        <v>106273.52599918201</v>
      </c>
      <c r="M63" s="83">
        <f t="shared" si="9"/>
        <v>112076.06051873733</v>
      </c>
      <c r="N63" s="83">
        <f t="shared" si="9"/>
        <v>118195.41342306038</v>
      </c>
      <c r="O63" s="84">
        <f t="shared" si="9"/>
        <v>124648.88299595949</v>
      </c>
      <c r="P63" s="85">
        <f t="shared" si="9"/>
        <v>131454.71200753888</v>
      </c>
      <c r="Q63" s="70"/>
      <c r="R63" s="77" t="s">
        <v>82</v>
      </c>
      <c r="S63" s="81">
        <f>'GroupNum_10 '!D46</f>
        <v>0.86999999999999988</v>
      </c>
      <c r="T63" s="83">
        <f t="shared" ref="T63:AD63" si="10">F63*(1-$S63)</f>
        <v>10042.500000000009</v>
      </c>
      <c r="U63" s="83">
        <f t="shared" si="10"/>
        <v>10590.820500000011</v>
      </c>
      <c r="V63" s="83">
        <f t="shared" si="10"/>
        <v>11169.079299300009</v>
      </c>
      <c r="W63" s="83">
        <f t="shared" si="10"/>
        <v>11778.91102904179</v>
      </c>
      <c r="X63" s="83">
        <f t="shared" si="10"/>
        <v>12422.039571227471</v>
      </c>
      <c r="Y63" s="83">
        <f t="shared" si="10"/>
        <v>13100.282931816491</v>
      </c>
      <c r="Z63" s="83">
        <f t="shared" si="10"/>
        <v>13815.558379893673</v>
      </c>
      <c r="AA63" s="83">
        <f t="shared" si="10"/>
        <v>14569.887867435866</v>
      </c>
      <c r="AB63" s="83">
        <f t="shared" si="10"/>
        <v>15365.403744997864</v>
      </c>
      <c r="AC63" s="84">
        <f t="shared" si="10"/>
        <v>16204.354789474748</v>
      </c>
      <c r="AD63" s="85">
        <f t="shared" si="10"/>
        <v>17089.112560980069</v>
      </c>
    </row>
    <row r="64" spans="2:30" ht="14.25" customHeight="1">
      <c r="B64" s="77" t="s">
        <v>84</v>
      </c>
      <c r="C64" s="78">
        <f>'GroupNum_10 '!B48*'GroupNum_10 '!C48</f>
        <v>80600</v>
      </c>
      <c r="E64" s="77" t="s">
        <v>83</v>
      </c>
      <c r="F64" s="83">
        <f t="shared" si="0"/>
        <v>81375</v>
      </c>
      <c r="G64" s="83">
        <f t="shared" ref="G64:P64" si="11">$F64*(1+$C$26+$C$17)^F$57</f>
        <v>85818.074999999997</v>
      </c>
      <c r="H64" s="83">
        <f t="shared" si="11"/>
        <v>90503.741894999999</v>
      </c>
      <c r="I64" s="83">
        <f t="shared" si="11"/>
        <v>95445.246202466995</v>
      </c>
      <c r="J64" s="83">
        <f t="shared" si="11"/>
        <v>100656.55664512169</v>
      </c>
      <c r="K64" s="83">
        <f t="shared" si="11"/>
        <v>106152.40463794534</v>
      </c>
      <c r="L64" s="83">
        <f t="shared" si="11"/>
        <v>111948.32593117715</v>
      </c>
      <c r="M64" s="83">
        <f t="shared" si="11"/>
        <v>118060.70452701942</v>
      </c>
      <c r="N64" s="83">
        <f t="shared" si="11"/>
        <v>124506.81899419468</v>
      </c>
      <c r="O64" s="84">
        <f t="shared" si="11"/>
        <v>131304.89131127772</v>
      </c>
      <c r="P64" s="85">
        <f t="shared" si="11"/>
        <v>138474.13837687348</v>
      </c>
      <c r="Q64" s="70"/>
      <c r="R64" s="77" t="s">
        <v>83</v>
      </c>
      <c r="S64" s="81">
        <f>'GroupNum_10 '!D47</f>
        <v>0.94</v>
      </c>
      <c r="T64" s="83">
        <f t="shared" ref="T64:AD64" si="12">F64*(1-$S64)</f>
        <v>4882.5000000000045</v>
      </c>
      <c r="U64" s="83">
        <f t="shared" si="12"/>
        <v>5149.0845000000045</v>
      </c>
      <c r="V64" s="83">
        <f t="shared" si="12"/>
        <v>5430.2245137000045</v>
      </c>
      <c r="W64" s="83">
        <f t="shared" si="12"/>
        <v>5726.7147721480251</v>
      </c>
      <c r="X64" s="83">
        <f t="shared" si="12"/>
        <v>6039.3933987073069</v>
      </c>
      <c r="Y64" s="83">
        <f t="shared" si="12"/>
        <v>6369.1442782767263</v>
      </c>
      <c r="Z64" s="83">
        <f t="shared" si="12"/>
        <v>6716.8995558706356</v>
      </c>
      <c r="AA64" s="83">
        <f t="shared" si="12"/>
        <v>7083.6422716211719</v>
      </c>
      <c r="AB64" s="83">
        <f t="shared" si="12"/>
        <v>7470.4091396516869</v>
      </c>
      <c r="AC64" s="84">
        <f t="shared" si="12"/>
        <v>7878.29347867667</v>
      </c>
      <c r="AD64" s="85">
        <f t="shared" si="12"/>
        <v>8308.4483026124162</v>
      </c>
    </row>
    <row r="65" spans="2:30" ht="14.25" customHeight="1">
      <c r="B65" s="77" t="s">
        <v>85</v>
      </c>
      <c r="C65" s="78">
        <f>'GroupNum_10 '!B49*'GroupNum_10 '!C49</f>
        <v>83300</v>
      </c>
      <c r="E65" s="77" t="s">
        <v>84</v>
      </c>
      <c r="F65" s="83">
        <f t="shared" si="0"/>
        <v>80600</v>
      </c>
      <c r="G65" s="83">
        <f t="shared" ref="G65:P65" si="13">$F65*(1+$C$26+$C$17)^F$57</f>
        <v>85000.76</v>
      </c>
      <c r="H65" s="83">
        <f t="shared" si="13"/>
        <v>89641.801496</v>
      </c>
      <c r="I65" s="83">
        <f t="shared" si="13"/>
        <v>94536.243857681606</v>
      </c>
      <c r="J65" s="83">
        <f t="shared" si="13"/>
        <v>99697.922772311009</v>
      </c>
      <c r="K65" s="83">
        <f t="shared" si="13"/>
        <v>105141.4293556792</v>
      </c>
      <c r="L65" s="83">
        <f t="shared" si="13"/>
        <v>110882.15139849928</v>
      </c>
      <c r="M65" s="83">
        <f t="shared" si="13"/>
        <v>116936.31686485732</v>
      </c>
      <c r="N65" s="83">
        <f t="shared" si="13"/>
        <v>123321.03976567854</v>
      </c>
      <c r="O65" s="84">
        <f t="shared" si="13"/>
        <v>130054.36853688459</v>
      </c>
      <c r="P65" s="85">
        <f t="shared" si="13"/>
        <v>137155.3370589985</v>
      </c>
      <c r="Q65" s="70"/>
      <c r="R65" s="77" t="s">
        <v>84</v>
      </c>
      <c r="S65" s="81">
        <f>'GroupNum_10 '!D48</f>
        <v>0.89999999999999991</v>
      </c>
      <c r="T65" s="83">
        <f t="shared" ref="T65:AD65" si="14">F65*(1-$S65)</f>
        <v>8060.0000000000073</v>
      </c>
      <c r="U65" s="83">
        <f t="shared" si="14"/>
        <v>8500.0760000000064</v>
      </c>
      <c r="V65" s="83">
        <f t="shared" si="14"/>
        <v>8964.180149600008</v>
      </c>
      <c r="W65" s="83">
        <f t="shared" si="14"/>
        <v>9453.6243857681693</v>
      </c>
      <c r="X65" s="83">
        <f t="shared" si="14"/>
        <v>9969.7922772311103</v>
      </c>
      <c r="Y65" s="83">
        <f t="shared" si="14"/>
        <v>10514.142935567928</v>
      </c>
      <c r="Z65" s="83">
        <f t="shared" si="14"/>
        <v>11088.215139849937</v>
      </c>
      <c r="AA65" s="83">
        <f t="shared" si="14"/>
        <v>11693.631686485742</v>
      </c>
      <c r="AB65" s="83">
        <f t="shared" si="14"/>
        <v>12332.103976567865</v>
      </c>
      <c r="AC65" s="84">
        <f t="shared" si="14"/>
        <v>13005.43685368847</v>
      </c>
      <c r="AD65" s="85">
        <f t="shared" si="14"/>
        <v>13715.533705899861</v>
      </c>
    </row>
    <row r="66" spans="2:30" ht="14.25" customHeight="1">
      <c r="B66" s="77" t="s">
        <v>86</v>
      </c>
      <c r="C66" s="78">
        <f>'GroupNum_10 '!B50*'GroupNum_10 '!C50</f>
        <v>79500</v>
      </c>
      <c r="E66" s="77" t="s">
        <v>85</v>
      </c>
      <c r="F66" s="83">
        <f t="shared" si="0"/>
        <v>83300</v>
      </c>
      <c r="G66" s="83">
        <f t="shared" ref="G66:P66" si="15">$F66*(1+$C$26+$C$17)^F$57</f>
        <v>87848.18</v>
      </c>
      <c r="H66" s="83">
        <f t="shared" si="15"/>
        <v>92644.690627999997</v>
      </c>
      <c r="I66" s="83">
        <f t="shared" si="15"/>
        <v>97703.090736288796</v>
      </c>
      <c r="J66" s="83">
        <f t="shared" si="15"/>
        <v>103037.67949049016</v>
      </c>
      <c r="K66" s="83">
        <f t="shared" si="15"/>
        <v>108663.53679067093</v>
      </c>
      <c r="L66" s="83">
        <f t="shared" si="15"/>
        <v>114596.56589944157</v>
      </c>
      <c r="M66" s="83">
        <f t="shared" si="15"/>
        <v>120853.53839755106</v>
      </c>
      <c r="N66" s="83">
        <f t="shared" si="15"/>
        <v>127452.14159405735</v>
      </c>
      <c r="O66" s="84">
        <f t="shared" si="15"/>
        <v>134411.02852509287</v>
      </c>
      <c r="P66" s="85">
        <f t="shared" si="15"/>
        <v>141749.87068256296</v>
      </c>
      <c r="Q66" s="70"/>
      <c r="R66" s="77" t="s">
        <v>85</v>
      </c>
      <c r="S66" s="81">
        <f>'GroupNum_10 '!D49</f>
        <v>0.90999999999999992</v>
      </c>
      <c r="T66" s="83">
        <f t="shared" ref="T66:AD66" si="16">F66*(1-$S66)</f>
        <v>7497.0000000000064</v>
      </c>
      <c r="U66" s="83">
        <f t="shared" si="16"/>
        <v>7906.3362000000061</v>
      </c>
      <c r="V66" s="83">
        <f t="shared" si="16"/>
        <v>8338.0221565200063</v>
      </c>
      <c r="W66" s="83">
        <f t="shared" si="16"/>
        <v>8793.278166266</v>
      </c>
      <c r="X66" s="83">
        <f t="shared" si="16"/>
        <v>9273.391154144123</v>
      </c>
      <c r="Y66" s="83">
        <f t="shared" si="16"/>
        <v>9779.7183111603917</v>
      </c>
      <c r="Z66" s="83">
        <f t="shared" si="16"/>
        <v>10313.690930949751</v>
      </c>
      <c r="AA66" s="83">
        <f t="shared" si="16"/>
        <v>10876.818455779605</v>
      </c>
      <c r="AB66" s="83">
        <f t="shared" si="16"/>
        <v>11470.692743465172</v>
      </c>
      <c r="AC66" s="84">
        <f t="shared" si="16"/>
        <v>12096.992567258369</v>
      </c>
      <c r="AD66" s="85">
        <f t="shared" si="16"/>
        <v>12757.488361430678</v>
      </c>
    </row>
    <row r="67" spans="2:30" ht="14.25" customHeight="1">
      <c r="B67" s="77" t="s">
        <v>87</v>
      </c>
      <c r="C67" s="78">
        <f>'GroupNum_10 '!B51*'GroupNum_10 '!C51</f>
        <v>72800</v>
      </c>
      <c r="E67" s="77" t="s">
        <v>86</v>
      </c>
      <c r="F67" s="83">
        <f t="shared" si="0"/>
        <v>79500</v>
      </c>
      <c r="G67" s="83">
        <f t="shared" ref="G67:P67" si="17">$F67*(1+$C$26+$C$17)^F$57</f>
        <v>83840.7</v>
      </c>
      <c r="H67" s="83">
        <f t="shared" si="17"/>
        <v>88418.402220000004</v>
      </c>
      <c r="I67" s="83">
        <f t="shared" si="17"/>
        <v>93246.046981211999</v>
      </c>
      <c r="J67" s="83">
        <f t="shared" si="17"/>
        <v>98337.281146386173</v>
      </c>
      <c r="K67" s="83">
        <f t="shared" si="17"/>
        <v>103706.49669697885</v>
      </c>
      <c r="L67" s="83">
        <f t="shared" si="17"/>
        <v>109368.87141663391</v>
      </c>
      <c r="M67" s="83">
        <f t="shared" si="17"/>
        <v>115340.4117959821</v>
      </c>
      <c r="N67" s="83">
        <f t="shared" si="17"/>
        <v>121637.99828004272</v>
      </c>
      <c r="O67" s="84">
        <f t="shared" si="17"/>
        <v>128279.43298613306</v>
      </c>
      <c r="P67" s="85">
        <f t="shared" si="17"/>
        <v>135283.49002717593</v>
      </c>
      <c r="Q67" s="70"/>
      <c r="R67" s="77" t="s">
        <v>86</v>
      </c>
      <c r="S67" s="81">
        <f>'GroupNum_10 '!D50</f>
        <v>0.84999999999999987</v>
      </c>
      <c r="T67" s="83">
        <f t="shared" ref="T67:AD67" si="18">F67*(1-$S67)</f>
        <v>11925.000000000011</v>
      </c>
      <c r="U67" s="83">
        <f t="shared" si="18"/>
        <v>12576.10500000001</v>
      </c>
      <c r="V67" s="83">
        <f t="shared" si="18"/>
        <v>13262.760333000013</v>
      </c>
      <c r="W67" s="83">
        <f t="shared" si="18"/>
        <v>13986.907047181812</v>
      </c>
      <c r="X67" s="83">
        <f t="shared" si="18"/>
        <v>14750.592171957938</v>
      </c>
      <c r="Y67" s="83">
        <f t="shared" si="18"/>
        <v>15555.974504546841</v>
      </c>
      <c r="Z67" s="83">
        <f t="shared" si="18"/>
        <v>16405.330712495099</v>
      </c>
      <c r="AA67" s="83">
        <f t="shared" si="18"/>
        <v>17301.061769397329</v>
      </c>
      <c r="AB67" s="83">
        <f t="shared" si="18"/>
        <v>18245.699742006425</v>
      </c>
      <c r="AC67" s="84">
        <f t="shared" si="18"/>
        <v>19241.914947919977</v>
      </c>
      <c r="AD67" s="85">
        <f t="shared" si="18"/>
        <v>20292.523504076406</v>
      </c>
    </row>
    <row r="68" spans="2:30" ht="14.25" customHeight="1">
      <c r="B68" s="77" t="s">
        <v>88</v>
      </c>
      <c r="C68" s="78">
        <f>'GroupNum_10 '!B52*'GroupNum_10 '!C52</f>
        <v>88375</v>
      </c>
      <c r="E68" s="77" t="s">
        <v>87</v>
      </c>
      <c r="F68" s="83">
        <f t="shared" si="0"/>
        <v>72800</v>
      </c>
      <c r="G68" s="83">
        <f t="shared" ref="G68:P68" si="19">$F68*(1+$C$26+$C$17)^F$57</f>
        <v>76774.880000000005</v>
      </c>
      <c r="H68" s="83">
        <f t="shared" si="19"/>
        <v>80966.788448000007</v>
      </c>
      <c r="I68" s="83">
        <f t="shared" si="19"/>
        <v>85387.575097260808</v>
      </c>
      <c r="J68" s="83">
        <f t="shared" si="19"/>
        <v>90049.736697571236</v>
      </c>
      <c r="K68" s="83">
        <f t="shared" si="19"/>
        <v>94966.452321258621</v>
      </c>
      <c r="L68" s="83">
        <f t="shared" si="19"/>
        <v>100151.62061799935</v>
      </c>
      <c r="M68" s="83">
        <f t="shared" si="19"/>
        <v>105619.89910374211</v>
      </c>
      <c r="N68" s="83">
        <f t="shared" si="19"/>
        <v>111386.74559480643</v>
      </c>
      <c r="O68" s="84">
        <f t="shared" si="19"/>
        <v>117468.46190428286</v>
      </c>
      <c r="P68" s="85">
        <f t="shared" si="19"/>
        <v>123882.2399242567</v>
      </c>
      <c r="Q68" s="70"/>
      <c r="R68" s="77" t="s">
        <v>87</v>
      </c>
      <c r="S68" s="81">
        <f>'GroupNum_10 '!D51</f>
        <v>0.84999999999999987</v>
      </c>
      <c r="T68" s="83">
        <f t="shared" ref="T68:AD68" si="20">F68*(1-$S68)</f>
        <v>10920.000000000009</v>
      </c>
      <c r="U68" s="83">
        <f t="shared" si="20"/>
        <v>11516.232000000011</v>
      </c>
      <c r="V68" s="83">
        <f t="shared" si="20"/>
        <v>12145.018267200012</v>
      </c>
      <c r="W68" s="83">
        <f t="shared" si="20"/>
        <v>12808.136264589133</v>
      </c>
      <c r="X68" s="83">
        <f t="shared" si="20"/>
        <v>13507.460504635697</v>
      </c>
      <c r="Y68" s="83">
        <f t="shared" si="20"/>
        <v>14244.967848188806</v>
      </c>
      <c r="Z68" s="83">
        <f t="shared" si="20"/>
        <v>15022.743092699915</v>
      </c>
      <c r="AA68" s="83">
        <f t="shared" si="20"/>
        <v>15842.98486556133</v>
      </c>
      <c r="AB68" s="83">
        <f t="shared" si="20"/>
        <v>16708.011839220981</v>
      </c>
      <c r="AC68" s="84">
        <f t="shared" si="20"/>
        <v>17620.269285642444</v>
      </c>
      <c r="AD68" s="85">
        <f t="shared" si="20"/>
        <v>18582.335988638522</v>
      </c>
    </row>
    <row r="69" spans="2:30" ht="14.25" customHeight="1">
      <c r="B69" s="77" t="s">
        <v>89</v>
      </c>
      <c r="C69" s="78">
        <f>'GroupNum_10 '!B53*'GroupNum_10 '!C53</f>
        <v>83200</v>
      </c>
      <c r="E69" s="77" t="s">
        <v>88</v>
      </c>
      <c r="F69" s="83">
        <f t="shared" si="0"/>
        <v>88375</v>
      </c>
      <c r="G69" s="83">
        <f t="shared" ref="G69:P69" si="21">$F69*(1+$C$26+$C$17)^F$57</f>
        <v>93200.274999999994</v>
      </c>
      <c r="H69" s="83">
        <f t="shared" si="21"/>
        <v>98289.010015000007</v>
      </c>
      <c r="I69" s="83">
        <f t="shared" si="21"/>
        <v>103655.589961819</v>
      </c>
      <c r="J69" s="83">
        <f t="shared" si="21"/>
        <v>109315.18517373431</v>
      </c>
      <c r="K69" s="83">
        <f t="shared" si="21"/>
        <v>115283.7942842202</v>
      </c>
      <c r="L69" s="83">
        <f t="shared" si="21"/>
        <v>121578.28945213863</v>
      </c>
      <c r="M69" s="83">
        <f t="shared" si="21"/>
        <v>128216.46405622539</v>
      </c>
      <c r="N69" s="83">
        <f t="shared" si="21"/>
        <v>135217.08299369531</v>
      </c>
      <c r="O69" s="84">
        <f t="shared" si="21"/>
        <v>142599.93572515107</v>
      </c>
      <c r="P69" s="85">
        <f t="shared" si="21"/>
        <v>150385.8922157443</v>
      </c>
      <c r="Q69" s="70"/>
      <c r="R69" s="77" t="s">
        <v>88</v>
      </c>
      <c r="S69" s="81">
        <f>'GroupNum_10 '!D52</f>
        <v>0.85999999999999988</v>
      </c>
      <c r="T69" s="83">
        <f t="shared" ref="T69:AD69" si="22">F69*(1-$S69)</f>
        <v>12372.500000000011</v>
      </c>
      <c r="U69" s="83">
        <f t="shared" si="22"/>
        <v>13048.038500000011</v>
      </c>
      <c r="V69" s="83">
        <f t="shared" si="22"/>
        <v>13760.461402100012</v>
      </c>
      <c r="W69" s="83">
        <f t="shared" si="22"/>
        <v>14511.782594654673</v>
      </c>
      <c r="X69" s="83">
        <f t="shared" si="22"/>
        <v>15304.125924322818</v>
      </c>
      <c r="Y69" s="83">
        <f t="shared" si="22"/>
        <v>16139.731199790842</v>
      </c>
      <c r="Z69" s="83">
        <f t="shared" si="22"/>
        <v>17020.960523299425</v>
      </c>
      <c r="AA69" s="83">
        <f t="shared" si="22"/>
        <v>17950.304967871572</v>
      </c>
      <c r="AB69" s="83">
        <f t="shared" si="22"/>
        <v>18930.391619117359</v>
      </c>
      <c r="AC69" s="84">
        <f t="shared" si="22"/>
        <v>19963.991001521168</v>
      </c>
      <c r="AD69" s="85">
        <f t="shared" si="22"/>
        <v>21054.024910204222</v>
      </c>
    </row>
    <row r="70" spans="2:30" ht="14.25" customHeight="1">
      <c r="B70" s="65" t="s">
        <v>90</v>
      </c>
      <c r="C70" s="71">
        <f>'GroupNum_10 '!B55*'GroupNum_10 '!C55</f>
        <v>360360</v>
      </c>
      <c r="E70" s="86" t="s">
        <v>89</v>
      </c>
      <c r="F70" s="87">
        <f t="shared" si="0"/>
        <v>83200</v>
      </c>
      <c r="G70" s="87">
        <f t="shared" ref="G70:P70" si="23">$F70*(1+$C$26+$C$17)^F$57</f>
        <v>87742.720000000001</v>
      </c>
      <c r="H70" s="87">
        <f t="shared" si="23"/>
        <v>92533.472511999993</v>
      </c>
      <c r="I70" s="87">
        <f t="shared" si="23"/>
        <v>97585.8001111552</v>
      </c>
      <c r="J70" s="87">
        <f t="shared" si="23"/>
        <v>102913.98479722427</v>
      </c>
      <c r="K70" s="87">
        <f t="shared" si="23"/>
        <v>108533.08836715271</v>
      </c>
      <c r="L70" s="87">
        <f t="shared" si="23"/>
        <v>114458.99499199925</v>
      </c>
      <c r="M70" s="87">
        <f t="shared" si="23"/>
        <v>120708.4561185624</v>
      </c>
      <c r="N70" s="87">
        <f t="shared" si="23"/>
        <v>127299.13782263591</v>
      </c>
      <c r="O70" s="88">
        <f t="shared" si="23"/>
        <v>134249.67074775184</v>
      </c>
      <c r="P70" s="89">
        <f t="shared" si="23"/>
        <v>141579.70277057908</v>
      </c>
      <c r="Q70" s="70"/>
      <c r="R70" s="86" t="s">
        <v>89</v>
      </c>
      <c r="S70" s="81">
        <f>'GroupNum_10 '!D53</f>
        <v>0.92999999999999994</v>
      </c>
      <c r="T70" s="87">
        <f t="shared" ref="T70:AD70" si="24">F70*(1-$S70)</f>
        <v>5824.0000000000055</v>
      </c>
      <c r="U70" s="87">
        <f t="shared" si="24"/>
        <v>6141.9904000000051</v>
      </c>
      <c r="V70" s="87">
        <f t="shared" si="24"/>
        <v>6477.3430758400054</v>
      </c>
      <c r="W70" s="87">
        <f t="shared" si="24"/>
        <v>6831.0060077808703</v>
      </c>
      <c r="X70" s="87">
        <f t="shared" si="24"/>
        <v>7203.9789358057051</v>
      </c>
      <c r="Y70" s="87">
        <f t="shared" si="24"/>
        <v>7597.3161857006962</v>
      </c>
      <c r="Z70" s="87">
        <f t="shared" si="24"/>
        <v>8012.1296494399548</v>
      </c>
      <c r="AA70" s="87">
        <f t="shared" si="24"/>
        <v>8449.5919282993764</v>
      </c>
      <c r="AB70" s="87">
        <f t="shared" si="24"/>
        <v>8910.9396475845224</v>
      </c>
      <c r="AC70" s="88">
        <f t="shared" si="24"/>
        <v>9397.4769523426367</v>
      </c>
      <c r="AD70" s="89">
        <f t="shared" si="24"/>
        <v>9910.5791939405444</v>
      </c>
    </row>
    <row r="71" spans="2:30" ht="14.25" customHeight="1">
      <c r="B71" s="65" t="s">
        <v>91</v>
      </c>
      <c r="C71" s="71">
        <f>'GroupNum_10 '!B57*'GroupNum_10 '!C57</f>
        <v>623598</v>
      </c>
      <c r="E71" s="65" t="s">
        <v>90</v>
      </c>
      <c r="F71" s="79">
        <f t="shared" si="0"/>
        <v>360360</v>
      </c>
      <c r="G71" s="79">
        <f t="shared" ref="G71:P71" si="25">$F$71*(1+$C$27+$C$17)^F$57</f>
        <v>378594.21600000001</v>
      </c>
      <c r="H71" s="79">
        <f t="shared" si="25"/>
        <v>397751.08332959993</v>
      </c>
      <c r="I71" s="79">
        <f t="shared" si="25"/>
        <v>417877.28814607766</v>
      </c>
      <c r="J71" s="79">
        <f t="shared" si="25"/>
        <v>439021.87892626919</v>
      </c>
      <c r="K71" s="79">
        <f t="shared" si="25"/>
        <v>461236.38599993836</v>
      </c>
      <c r="L71" s="79">
        <f t="shared" si="25"/>
        <v>484574.94713153521</v>
      </c>
      <c r="M71" s="79">
        <f t="shared" si="25"/>
        <v>509094.43945639086</v>
      </c>
      <c r="N71" s="79">
        <f t="shared" si="25"/>
        <v>534854.61809288431</v>
      </c>
      <c r="O71" s="80">
        <f t="shared" si="25"/>
        <v>561918.26176838425</v>
      </c>
      <c r="P71" s="80">
        <f t="shared" si="25"/>
        <v>590351.32581386447</v>
      </c>
      <c r="Q71" s="70"/>
      <c r="R71" s="65" t="s">
        <v>90</v>
      </c>
      <c r="S71" s="90">
        <f>'GroupNum_10 '!D55</f>
        <v>0.98</v>
      </c>
      <c r="T71" s="79">
        <f t="shared" ref="T71:AD71" si="26">F71*(1-$S71)</f>
        <v>7207.2000000000062</v>
      </c>
      <c r="U71" s="79">
        <f t="shared" si="26"/>
        <v>7571.8843200000074</v>
      </c>
      <c r="V71" s="79">
        <f t="shared" si="26"/>
        <v>7955.0216665920061</v>
      </c>
      <c r="W71" s="79">
        <f t="shared" si="26"/>
        <v>8357.5457629215598</v>
      </c>
      <c r="X71" s="79">
        <f t="shared" si="26"/>
        <v>8780.4375785253924</v>
      </c>
      <c r="Y71" s="79">
        <f t="shared" si="26"/>
        <v>9224.7277199987748</v>
      </c>
      <c r="Z71" s="79">
        <f t="shared" si="26"/>
        <v>9691.4989426307129</v>
      </c>
      <c r="AA71" s="79">
        <f t="shared" si="26"/>
        <v>10181.888789127826</v>
      </c>
      <c r="AB71" s="79">
        <f t="shared" si="26"/>
        <v>10697.092361857696</v>
      </c>
      <c r="AC71" s="80">
        <f t="shared" si="26"/>
        <v>11238.365235367695</v>
      </c>
      <c r="AD71" s="82">
        <f t="shared" si="26"/>
        <v>11807.026516277299</v>
      </c>
    </row>
    <row r="72" spans="2:30" ht="14.25" customHeight="1">
      <c r="B72" s="65" t="s">
        <v>92</v>
      </c>
      <c r="C72" s="71">
        <f>SUM(C73:C87)</f>
        <v>3677142</v>
      </c>
      <c r="E72" s="91" t="s">
        <v>91</v>
      </c>
      <c r="F72" s="92">
        <f t="shared" si="0"/>
        <v>623598</v>
      </c>
      <c r="G72" s="92">
        <f t="shared" ref="G72:P72" si="27">$F$72*(1+$C$28+$C$17)^F$57</f>
        <v>656399.2548</v>
      </c>
      <c r="H72" s="92">
        <f t="shared" si="27"/>
        <v>690925.85560248001</v>
      </c>
      <c r="I72" s="92">
        <f t="shared" si="27"/>
        <v>727268.55560717045</v>
      </c>
      <c r="J72" s="92">
        <f t="shared" si="27"/>
        <v>765522.88163210766</v>
      </c>
      <c r="K72" s="92">
        <f t="shared" si="27"/>
        <v>805789.38520595641</v>
      </c>
      <c r="L72" s="92">
        <f t="shared" si="27"/>
        <v>848173.9068677898</v>
      </c>
      <c r="M72" s="92">
        <f t="shared" si="27"/>
        <v>892787.85436903546</v>
      </c>
      <c r="N72" s="92">
        <f t="shared" si="27"/>
        <v>939748.49550884683</v>
      </c>
      <c r="O72" s="93">
        <f t="shared" si="27"/>
        <v>989179.2663726121</v>
      </c>
      <c r="P72" s="94">
        <f t="shared" si="27"/>
        <v>1041210.0957838116</v>
      </c>
      <c r="Q72" s="70"/>
      <c r="R72" s="91" t="s">
        <v>91</v>
      </c>
      <c r="S72" s="95">
        <f>'GroupNum_10 '!D57</f>
        <v>0.97</v>
      </c>
      <c r="T72" s="96">
        <f t="shared" ref="T72:AD72" si="28">F72*(1-$S72)</f>
        <v>18707.940000000017</v>
      </c>
      <c r="U72" s="92">
        <f t="shared" si="28"/>
        <v>19691.977644000017</v>
      </c>
      <c r="V72" s="92">
        <f t="shared" si="28"/>
        <v>20727.775668074417</v>
      </c>
      <c r="W72" s="92">
        <f t="shared" si="28"/>
        <v>21818.056668215133</v>
      </c>
      <c r="X72" s="92">
        <f t="shared" si="28"/>
        <v>22965.68644896325</v>
      </c>
      <c r="Y72" s="92">
        <f t="shared" si="28"/>
        <v>24173.681556178715</v>
      </c>
      <c r="Z72" s="92">
        <f t="shared" si="28"/>
        <v>25445.217206033718</v>
      </c>
      <c r="AA72" s="92">
        <f t="shared" si="28"/>
        <v>26783.635631071087</v>
      </c>
      <c r="AB72" s="92">
        <f t="shared" si="28"/>
        <v>28192.45486526543</v>
      </c>
      <c r="AC72" s="93">
        <f t="shared" si="28"/>
        <v>29675.377991178389</v>
      </c>
      <c r="AD72" s="94">
        <f t="shared" si="28"/>
        <v>31236.302873514378</v>
      </c>
    </row>
    <row r="73" spans="2:30" ht="14.25" customHeight="1">
      <c r="B73" s="77" t="s">
        <v>93</v>
      </c>
      <c r="C73" s="78">
        <f>'GroupNum_10 '!B60*'GroupNum_10 '!C60</f>
        <v>201685</v>
      </c>
      <c r="E73" s="65" t="s">
        <v>92</v>
      </c>
      <c r="F73" s="79">
        <f t="shared" si="0"/>
        <v>3677142</v>
      </c>
      <c r="G73" s="79">
        <f t="shared" ref="G73:P73" si="29">SUM(G74:G88)</f>
        <v>3892622.5211999994</v>
      </c>
      <c r="H73" s="79">
        <f t="shared" si="29"/>
        <v>4122865.2383523192</v>
      </c>
      <c r="I73" s="79">
        <f t="shared" si="29"/>
        <v>4369967.8822014323</v>
      </c>
      <c r="J73" s="79">
        <f t="shared" si="29"/>
        <v>4634813.8875937341</v>
      </c>
      <c r="K73" s="79">
        <f t="shared" si="29"/>
        <v>4918737.5357580576</v>
      </c>
      <c r="L73" s="79">
        <f t="shared" si="29"/>
        <v>5223323.4874952184</v>
      </c>
      <c r="M73" s="79">
        <f t="shared" si="29"/>
        <v>5551342.5076225363</v>
      </c>
      <c r="N73" s="79">
        <f t="shared" si="29"/>
        <v>5903500.3303634925</v>
      </c>
      <c r="O73" s="80">
        <f t="shared" si="29"/>
        <v>6281699.5458323378</v>
      </c>
      <c r="P73" s="82">
        <f t="shared" si="29"/>
        <v>6687740.888238973</v>
      </c>
      <c r="Q73" s="70"/>
      <c r="R73" s="65" t="s">
        <v>92</v>
      </c>
      <c r="S73" s="97"/>
      <c r="T73" s="79">
        <f t="shared" ref="T73:AD73" si="30">SUM(T74:T88)</f>
        <v>597371.34000000008</v>
      </c>
      <c r="U73" s="79">
        <f t="shared" si="30"/>
        <v>807450.36814400018</v>
      </c>
      <c r="V73" s="79">
        <f t="shared" si="30"/>
        <v>940403.06911713374</v>
      </c>
      <c r="W73" s="79">
        <f t="shared" si="30"/>
        <v>955277.35424698098</v>
      </c>
      <c r="X73" s="79">
        <f t="shared" si="30"/>
        <v>1001356.0731515826</v>
      </c>
      <c r="Y73" s="79">
        <f t="shared" si="30"/>
        <v>1063000.3899166612</v>
      </c>
      <c r="Z73" s="79">
        <f t="shared" si="30"/>
        <v>1227988.3597652796</v>
      </c>
      <c r="AA73" s="79">
        <f t="shared" si="30"/>
        <v>1188534.469039791</v>
      </c>
      <c r="AB73" s="79">
        <f t="shared" si="30"/>
        <v>1258359.792869082</v>
      </c>
      <c r="AC73" s="80">
        <f t="shared" si="30"/>
        <v>1304732.9559657529</v>
      </c>
      <c r="AD73" s="82">
        <f t="shared" si="30"/>
        <v>1378160.060379114</v>
      </c>
    </row>
    <row r="74" spans="2:30" ht="14.25" customHeight="1">
      <c r="B74" s="77" t="s">
        <v>94</v>
      </c>
      <c r="C74" s="78">
        <f>'GroupNum_10 '!B61*'GroupNum_10 '!C61</f>
        <v>287448</v>
      </c>
      <c r="E74" s="77" t="s">
        <v>93</v>
      </c>
      <c r="F74" s="83">
        <f t="shared" si="0"/>
        <v>201685</v>
      </c>
      <c r="G74" s="98">
        <f>$F$74*(1+$C$29+$C$17)</f>
        <v>213503.74100000001</v>
      </c>
      <c r="H74" s="83">
        <f t="shared" ref="H74:P74" si="31">$F$74*(1+$C$29+$C$17)*(1+$C$29+$C$17+$C$22)^F$57</f>
        <v>228150.09763259999</v>
      </c>
      <c r="I74" s="83">
        <f t="shared" si="31"/>
        <v>243801.19433019633</v>
      </c>
      <c r="J74" s="83">
        <f t="shared" si="31"/>
        <v>260525.9562612478</v>
      </c>
      <c r="K74" s="83">
        <f t="shared" si="31"/>
        <v>278398.03686076938</v>
      </c>
      <c r="L74" s="83">
        <f t="shared" si="31"/>
        <v>297496.14218941814</v>
      </c>
      <c r="M74" s="83">
        <f t="shared" si="31"/>
        <v>317904.37754361221</v>
      </c>
      <c r="N74" s="83">
        <f t="shared" si="31"/>
        <v>339712.61784310406</v>
      </c>
      <c r="O74" s="84">
        <f t="shared" si="31"/>
        <v>363016.9034271409</v>
      </c>
      <c r="P74" s="85">
        <f t="shared" si="31"/>
        <v>387919.86300224275</v>
      </c>
      <c r="Q74" s="70"/>
      <c r="R74" s="77" t="s">
        <v>93</v>
      </c>
      <c r="S74" s="81">
        <f>'GroupNum_10 '!D60</f>
        <v>0.82</v>
      </c>
      <c r="T74" s="83">
        <f t="shared" ref="T74:T88" si="32">F74*(1-$S74)</f>
        <v>36303.30000000001</v>
      </c>
      <c r="U74" s="98">
        <f>G74</f>
        <v>213503.74100000001</v>
      </c>
      <c r="V74" s="83">
        <f t="shared" ref="V74:AD74" si="33">H74*(1-$S74)</f>
        <v>41067.017573868012</v>
      </c>
      <c r="W74" s="83">
        <f t="shared" si="33"/>
        <v>43884.214979435354</v>
      </c>
      <c r="X74" s="83">
        <f t="shared" si="33"/>
        <v>46894.67212702462</v>
      </c>
      <c r="Y74" s="83">
        <f t="shared" si="33"/>
        <v>50111.646634938501</v>
      </c>
      <c r="Z74" s="83">
        <f t="shared" si="33"/>
        <v>53549.305594095276</v>
      </c>
      <c r="AA74" s="83">
        <f t="shared" si="33"/>
        <v>57222.787957850211</v>
      </c>
      <c r="AB74" s="83">
        <f t="shared" si="33"/>
        <v>61148.271211758751</v>
      </c>
      <c r="AC74" s="84">
        <f t="shared" si="33"/>
        <v>65343.042616885381</v>
      </c>
      <c r="AD74" s="85">
        <f t="shared" si="33"/>
        <v>69825.57534040371</v>
      </c>
    </row>
    <row r="75" spans="2:30" ht="14.25" customHeight="1">
      <c r="B75" s="77" t="s">
        <v>95</v>
      </c>
      <c r="C75" s="78">
        <f>'GroupNum_10 '!B62*'GroupNum_10 '!C62</f>
        <v>243248</v>
      </c>
      <c r="E75" s="77" t="s">
        <v>94</v>
      </c>
      <c r="F75" s="83">
        <f t="shared" si="0"/>
        <v>287448</v>
      </c>
      <c r="G75" s="83">
        <f t="shared" ref="G75:G88" si="34">$F75*(1+$C$29+$C$17)^F$57</f>
        <v>304292.45279999997</v>
      </c>
      <c r="H75" s="98">
        <f>$F75*(1+$C$29+$C$17)^($G$57)</f>
        <v>322123.99053407996</v>
      </c>
      <c r="I75" s="83">
        <f t="shared" ref="I75:P75" si="35">$F75*(1+$C$29+$C$17)^($G$57)*(1+$C$29+$C$17+$C$22)^F$57</f>
        <v>344221.69628471782</v>
      </c>
      <c r="J75" s="83">
        <f t="shared" si="35"/>
        <v>367835.30464984948</v>
      </c>
      <c r="K75" s="83">
        <f t="shared" si="35"/>
        <v>393068.80654882913</v>
      </c>
      <c r="L75" s="83">
        <f t="shared" si="35"/>
        <v>420033.32667807874</v>
      </c>
      <c r="M75" s="83">
        <f t="shared" si="35"/>
        <v>448847.61288819497</v>
      </c>
      <c r="N75" s="83">
        <f t="shared" si="35"/>
        <v>479638.55913232506</v>
      </c>
      <c r="O75" s="84">
        <f t="shared" si="35"/>
        <v>512541.76428880263</v>
      </c>
      <c r="P75" s="85">
        <f t="shared" si="35"/>
        <v>547702.12931901438</v>
      </c>
      <c r="Q75" s="70"/>
      <c r="R75" s="77" t="s">
        <v>94</v>
      </c>
      <c r="S75" s="81">
        <f>'GroupNum_10 '!D61</f>
        <v>0.84</v>
      </c>
      <c r="T75" s="83">
        <f t="shared" si="32"/>
        <v>45991.680000000008</v>
      </c>
      <c r="U75" s="83">
        <f t="shared" ref="U75:U88" si="36">G75*(1-$S75)</f>
        <v>48686.792448000007</v>
      </c>
      <c r="V75" s="98">
        <f>H75</f>
        <v>322123.99053407996</v>
      </c>
      <c r="W75" s="83">
        <f t="shared" ref="W75:AD75" si="37">I75*(1-$S75)</f>
        <v>55075.471405554861</v>
      </c>
      <c r="X75" s="83">
        <f t="shared" si="37"/>
        <v>58853.648743975929</v>
      </c>
      <c r="Y75" s="83">
        <f t="shared" si="37"/>
        <v>62891.009047812673</v>
      </c>
      <c r="Z75" s="83">
        <f t="shared" si="37"/>
        <v>67205.33226849261</v>
      </c>
      <c r="AA75" s="83">
        <f t="shared" si="37"/>
        <v>71815.618062111214</v>
      </c>
      <c r="AB75" s="83">
        <f t="shared" si="37"/>
        <v>76742.16946117203</v>
      </c>
      <c r="AC75" s="84">
        <f t="shared" si="37"/>
        <v>82006.682286208437</v>
      </c>
      <c r="AD75" s="85">
        <f t="shared" si="37"/>
        <v>87632.340691042322</v>
      </c>
    </row>
    <row r="76" spans="2:30" ht="14.25" customHeight="1">
      <c r="B76" s="77" t="s">
        <v>96</v>
      </c>
      <c r="C76" s="78">
        <f>'GroupNum_10 '!B63*'GroupNum_10 '!C63</f>
        <v>235410</v>
      </c>
      <c r="E76" s="77" t="s">
        <v>95</v>
      </c>
      <c r="F76" s="83">
        <f t="shared" si="0"/>
        <v>243248</v>
      </c>
      <c r="G76" s="83">
        <f t="shared" si="34"/>
        <v>257502.3328</v>
      </c>
      <c r="H76" s="83">
        <f t="shared" ref="H76:H88" si="38">$F76*(1+$C$29+$C$17)^G$57</f>
        <v>272591.96950208</v>
      </c>
      <c r="I76" s="98">
        <f>$F76*(1+$C$29+$C$17)^($H$57)</f>
        <v>288565.85891490191</v>
      </c>
      <c r="J76" s="83">
        <f t="shared" ref="J76:P76" si="39">$F76*(1+$C$29+$C$17)^($H$57)*(1+$C$29+$C$17+$C$22)^F$57</f>
        <v>308361.47683646419</v>
      </c>
      <c r="K76" s="83">
        <f t="shared" si="39"/>
        <v>329515.07414744562</v>
      </c>
      <c r="L76" s="83">
        <f t="shared" si="39"/>
        <v>352119.80823396036</v>
      </c>
      <c r="M76" s="83">
        <f t="shared" si="39"/>
        <v>376275.22707880998</v>
      </c>
      <c r="N76" s="83">
        <f t="shared" si="39"/>
        <v>402087.70765641634</v>
      </c>
      <c r="O76" s="84">
        <f t="shared" si="39"/>
        <v>429670.92440164648</v>
      </c>
      <c r="P76" s="85">
        <f t="shared" si="39"/>
        <v>459146.34981559945</v>
      </c>
      <c r="Q76" s="70"/>
      <c r="R76" s="77" t="s">
        <v>95</v>
      </c>
      <c r="S76" s="81">
        <f>'GroupNum_10 '!D62</f>
        <v>0.85</v>
      </c>
      <c r="T76" s="83">
        <f t="shared" si="32"/>
        <v>36487.200000000004</v>
      </c>
      <c r="U76" s="83">
        <f t="shared" si="36"/>
        <v>38625.349920000008</v>
      </c>
      <c r="V76" s="83">
        <f t="shared" ref="V76:V88" si="40">H76*(1-$S76)</f>
        <v>40888.795425312004</v>
      </c>
      <c r="W76" s="98">
        <f>I76</f>
        <v>288565.85891490191</v>
      </c>
      <c r="X76" s="83">
        <f t="shared" ref="X76:AD76" si="41">J76*(1-$S76)</f>
        <v>46254.221525469635</v>
      </c>
      <c r="Y76" s="83">
        <f t="shared" si="41"/>
        <v>49427.261122116848</v>
      </c>
      <c r="Z76" s="83">
        <f t="shared" si="41"/>
        <v>52817.971235094061</v>
      </c>
      <c r="AA76" s="83">
        <f t="shared" si="41"/>
        <v>56441.284061821505</v>
      </c>
      <c r="AB76" s="83">
        <f t="shared" si="41"/>
        <v>60313.156148462462</v>
      </c>
      <c r="AC76" s="84">
        <f t="shared" si="41"/>
        <v>64450.638660246979</v>
      </c>
      <c r="AD76" s="85">
        <f t="shared" si="41"/>
        <v>68871.952472339923</v>
      </c>
    </row>
    <row r="77" spans="2:30" ht="14.25" customHeight="1">
      <c r="B77" s="77" t="s">
        <v>97</v>
      </c>
      <c r="C77" s="78">
        <f>'GroupNum_10 '!B64*'GroupNum_10 '!C64</f>
        <v>239127</v>
      </c>
      <c r="E77" s="77" t="s">
        <v>96</v>
      </c>
      <c r="F77" s="83">
        <f t="shared" si="0"/>
        <v>235410</v>
      </c>
      <c r="G77" s="83">
        <f t="shared" si="34"/>
        <v>249205.02599999998</v>
      </c>
      <c r="H77" s="83">
        <f t="shared" si="38"/>
        <v>263808.44052359997</v>
      </c>
      <c r="I77" s="83">
        <f t="shared" ref="I77:I88" si="42">$F77*(1+$C$29+$C$17)^H$57</f>
        <v>279267.61513828294</v>
      </c>
      <c r="J77" s="98">
        <f>$F$77*(1+$C$29+$C$17)^($I$57)</f>
        <v>295632.69738538633</v>
      </c>
      <c r="K77" s="83">
        <f t="shared" ref="K77:P77" si="43">$F$77*(1+$C$29+$C$17)^($I$57)*(1+$C$29+$C$17+$C$22)^F$57</f>
        <v>315913.10042602383</v>
      </c>
      <c r="L77" s="83">
        <f t="shared" si="43"/>
        <v>337584.73911524902</v>
      </c>
      <c r="M77" s="83">
        <f t="shared" si="43"/>
        <v>360743.05221855512</v>
      </c>
      <c r="N77" s="83">
        <f t="shared" si="43"/>
        <v>385490.02560074796</v>
      </c>
      <c r="O77" s="84">
        <f t="shared" si="43"/>
        <v>411934.6413569593</v>
      </c>
      <c r="P77" s="85">
        <f t="shared" si="43"/>
        <v>440193.35775404662</v>
      </c>
      <c r="Q77" s="70"/>
      <c r="R77" s="77" t="s">
        <v>96</v>
      </c>
      <c r="S77" s="81">
        <f>'GroupNum_10 '!D63</f>
        <v>0.84</v>
      </c>
      <c r="T77" s="83">
        <f t="shared" si="32"/>
        <v>37665.600000000006</v>
      </c>
      <c r="U77" s="83">
        <f t="shared" si="36"/>
        <v>39872.804160000007</v>
      </c>
      <c r="V77" s="83">
        <f t="shared" si="40"/>
        <v>42209.350483776005</v>
      </c>
      <c r="W77" s="83">
        <f t="shared" ref="W77:W88" si="44">I77*(1-$S77)</f>
        <v>44682.818422125281</v>
      </c>
      <c r="X77" s="98">
        <f>J77</f>
        <v>295632.69738538633</v>
      </c>
      <c r="Y77" s="83">
        <f t="shared" ref="Y77:AD77" si="45">K77*(1-$S77)</f>
        <v>50546.096068163824</v>
      </c>
      <c r="Z77" s="83">
        <f t="shared" si="45"/>
        <v>54013.558258439851</v>
      </c>
      <c r="AA77" s="83">
        <f t="shared" si="45"/>
        <v>57718.888354968833</v>
      </c>
      <c r="AB77" s="83">
        <f t="shared" si="45"/>
        <v>61678.404096119688</v>
      </c>
      <c r="AC77" s="84">
        <f t="shared" si="45"/>
        <v>65909.542617113504</v>
      </c>
      <c r="AD77" s="85">
        <f t="shared" si="45"/>
        <v>70430.937240647472</v>
      </c>
    </row>
    <row r="78" spans="2:30" ht="14.25" customHeight="1">
      <c r="B78" s="77" t="s">
        <v>98</v>
      </c>
      <c r="C78" s="78">
        <f>'GroupNum_10 '!B65*'GroupNum_10 '!C65</f>
        <v>317119</v>
      </c>
      <c r="E78" s="77" t="s">
        <v>97</v>
      </c>
      <c r="F78" s="83">
        <f t="shared" si="0"/>
        <v>239127</v>
      </c>
      <c r="G78" s="83">
        <f t="shared" si="34"/>
        <v>253139.84219999998</v>
      </c>
      <c r="H78" s="83">
        <f t="shared" si="38"/>
        <v>267973.83695291996</v>
      </c>
      <c r="I78" s="83">
        <f t="shared" si="42"/>
        <v>283677.10379836109</v>
      </c>
      <c r="J78" s="83">
        <f t="shared" ref="J78:J88" si="46">$F78*(1+$C$29+$C$17)^I$57</f>
        <v>300300.58208094502</v>
      </c>
      <c r="K78" s="98">
        <f>$F$78*(1+$C$29+$C$17)^($J$57)</f>
        <v>317898.19619088841</v>
      </c>
      <c r="L78" s="83">
        <f t="shared" ref="L78:P78" si="47">$F$78*(1+$C$29+$C$17)^($J$57)*(1+$C$29+$C$17+$C$22)^F$57</f>
        <v>339706.01244958333</v>
      </c>
      <c r="M78" s="83">
        <f t="shared" si="47"/>
        <v>363009.84490362473</v>
      </c>
      <c r="N78" s="83">
        <f t="shared" si="47"/>
        <v>387912.32026401343</v>
      </c>
      <c r="O78" s="84">
        <f t="shared" si="47"/>
        <v>414523.10543412465</v>
      </c>
      <c r="P78" s="85">
        <f t="shared" si="47"/>
        <v>442959.39046690561</v>
      </c>
      <c r="Q78" s="70"/>
      <c r="R78" s="77" t="s">
        <v>97</v>
      </c>
      <c r="S78" s="81">
        <f>'GroupNum_10 '!D64</f>
        <v>0.83</v>
      </c>
      <c r="T78" s="83">
        <f t="shared" si="32"/>
        <v>40651.590000000011</v>
      </c>
      <c r="U78" s="83">
        <f t="shared" si="36"/>
        <v>43033.773174000009</v>
      </c>
      <c r="V78" s="83">
        <f t="shared" si="40"/>
        <v>45555.552281996403</v>
      </c>
      <c r="W78" s="83">
        <f t="shared" si="44"/>
        <v>48225.107645721393</v>
      </c>
      <c r="X78" s="83">
        <f t="shared" ref="X78:X88" si="48">J78*(1-$S78)</f>
        <v>51051.098953760666</v>
      </c>
      <c r="Y78" s="98">
        <f>K78</f>
        <v>317898.19619088841</v>
      </c>
      <c r="Z78" s="83">
        <f t="shared" ref="Z78:AD78" si="49">L78*(1-$S78)</f>
        <v>57750.02211642918</v>
      </c>
      <c r="AA78" s="83">
        <f t="shared" si="49"/>
        <v>61711.673633616221</v>
      </c>
      <c r="AB78" s="83">
        <f t="shared" si="49"/>
        <v>65945.094444882299</v>
      </c>
      <c r="AC78" s="84">
        <f t="shared" si="49"/>
        <v>70468.92792380121</v>
      </c>
      <c r="AD78" s="85">
        <f t="shared" si="49"/>
        <v>75303.096379373965</v>
      </c>
    </row>
    <row r="79" spans="2:30" ht="14.25" customHeight="1">
      <c r="B79" s="77" t="s">
        <v>99</v>
      </c>
      <c r="C79" s="78">
        <f>'GroupNum_10 '!B66*'GroupNum_10 '!C66</f>
        <v>229049</v>
      </c>
      <c r="E79" s="77" t="s">
        <v>98</v>
      </c>
      <c r="F79" s="83">
        <f t="shared" si="0"/>
        <v>317119</v>
      </c>
      <c r="G79" s="83">
        <f t="shared" si="34"/>
        <v>335702.17339999997</v>
      </c>
      <c r="H79" s="83">
        <f t="shared" si="38"/>
        <v>355374.32076123997</v>
      </c>
      <c r="I79" s="83">
        <f t="shared" si="42"/>
        <v>376199.25595784868</v>
      </c>
      <c r="J79" s="83">
        <f t="shared" si="46"/>
        <v>398244.53235697857</v>
      </c>
      <c r="K79" s="83">
        <f t="shared" ref="K79:K88" si="50">$F79*(1+$C$29+$C$17)^J$57</f>
        <v>421581.6619530975</v>
      </c>
      <c r="L79" s="98">
        <f>$F$79*(1+$C$29+$C$17)^($K$57)</f>
        <v>446286.34734354902</v>
      </c>
      <c r="M79" s="83">
        <f t="shared" ref="M79:P79" si="51">$F$79*(1+$C$29+$C$17)^($K$57)*(1+$C$29+$C$17+$C$22)^F$57</f>
        <v>476901.59077131649</v>
      </c>
      <c r="N79" s="83">
        <f t="shared" si="51"/>
        <v>509617.03989822872</v>
      </c>
      <c r="O79" s="84">
        <f t="shared" si="51"/>
        <v>544576.76883524726</v>
      </c>
      <c r="P79" s="85">
        <f t="shared" si="51"/>
        <v>581934.73517734511</v>
      </c>
      <c r="Q79" s="70"/>
      <c r="R79" s="77" t="s">
        <v>98</v>
      </c>
      <c r="S79" s="81">
        <f>'GroupNum_10 '!D65</f>
        <v>0.85</v>
      </c>
      <c r="T79" s="83">
        <f t="shared" si="32"/>
        <v>47567.850000000006</v>
      </c>
      <c r="U79" s="83">
        <f t="shared" si="36"/>
        <v>50355.326010000004</v>
      </c>
      <c r="V79" s="83">
        <f t="shared" si="40"/>
        <v>53306.148114186006</v>
      </c>
      <c r="W79" s="83">
        <f t="shared" si="44"/>
        <v>56429.888393677313</v>
      </c>
      <c r="X79" s="83">
        <f t="shared" si="48"/>
        <v>59736.679853546797</v>
      </c>
      <c r="Y79" s="83">
        <f t="shared" ref="Y79:Y88" si="52">K79*(1-$S79)</f>
        <v>63237.249292964632</v>
      </c>
      <c r="Z79" s="98">
        <f>L79</f>
        <v>446286.34734354902</v>
      </c>
      <c r="AA79" s="83">
        <f t="shared" ref="AA79:AD79" si="53">M79*(1-$S79)</f>
        <v>71535.238615697483</v>
      </c>
      <c r="AB79" s="83">
        <f t="shared" si="53"/>
        <v>76442.555984734325</v>
      </c>
      <c r="AC79" s="84">
        <f t="shared" si="53"/>
        <v>81686.515325287095</v>
      </c>
      <c r="AD79" s="85">
        <f t="shared" si="53"/>
        <v>87290.210276601778</v>
      </c>
    </row>
    <row r="80" spans="2:30" ht="14.25" customHeight="1">
      <c r="B80" s="77" t="s">
        <v>100</v>
      </c>
      <c r="C80" s="78">
        <f>'GroupNum_10 '!B67*'GroupNum_10 '!C67</f>
        <v>225929</v>
      </c>
      <c r="E80" s="77" t="s">
        <v>99</v>
      </c>
      <c r="F80" s="83">
        <f t="shared" si="0"/>
        <v>229049</v>
      </c>
      <c r="G80" s="83">
        <f t="shared" si="34"/>
        <v>242471.2714</v>
      </c>
      <c r="H80" s="83">
        <f t="shared" si="38"/>
        <v>256680.08790403997</v>
      </c>
      <c r="I80" s="83">
        <f t="shared" si="42"/>
        <v>271721.54105521675</v>
      </c>
      <c r="J80" s="83">
        <f t="shared" si="46"/>
        <v>287644.42336105241</v>
      </c>
      <c r="K80" s="83">
        <f t="shared" si="50"/>
        <v>304500.3865700101</v>
      </c>
      <c r="L80" s="83">
        <f t="shared" ref="L80:L88" si="54">$F80*(1+$C$29+$C$17)^K$57</f>
        <v>322344.1092230127</v>
      </c>
      <c r="M80" s="98">
        <f>$F$80*(1+$C$29+$C$17)^($L$57)</f>
        <v>341233.47402348125</v>
      </c>
      <c r="N80" s="83">
        <f t="shared" ref="N80:P80" si="55">$F$80*(1+$C$29+$C$17)^($L$57)*(1+$C$29+$C$17+$C$22)^F$57</f>
        <v>364642.09034149203</v>
      </c>
      <c r="O80" s="84">
        <f t="shared" si="55"/>
        <v>389656.53773891839</v>
      </c>
      <c r="P80" s="85">
        <f t="shared" si="55"/>
        <v>416386.97622780816</v>
      </c>
      <c r="Q80" s="70"/>
      <c r="R80" s="77" t="s">
        <v>99</v>
      </c>
      <c r="S80" s="81">
        <f>'GroupNum_10 '!D66</f>
        <v>0.84</v>
      </c>
      <c r="T80" s="83">
        <f t="shared" si="32"/>
        <v>36647.840000000004</v>
      </c>
      <c r="U80" s="83">
        <f t="shared" si="36"/>
        <v>38795.403424000004</v>
      </c>
      <c r="V80" s="83">
        <f t="shared" si="40"/>
        <v>41068.814064646402</v>
      </c>
      <c r="W80" s="83">
        <f t="shared" si="44"/>
        <v>43475.44656883469</v>
      </c>
      <c r="X80" s="83">
        <f t="shared" si="48"/>
        <v>46023.107737768398</v>
      </c>
      <c r="Y80" s="83">
        <f t="shared" si="52"/>
        <v>48720.061851201623</v>
      </c>
      <c r="Z80" s="83">
        <f t="shared" ref="Z80:Z88" si="56">L80*(1-$S80)</f>
        <v>51575.057475682042</v>
      </c>
      <c r="AA80" s="98">
        <f>M80</f>
        <v>341233.47402348125</v>
      </c>
      <c r="AB80" s="83">
        <f t="shared" ref="AB80:AD80" si="57">N80*(1-$S80)</f>
        <v>58342.734454638739</v>
      </c>
      <c r="AC80" s="84">
        <f t="shared" si="57"/>
        <v>62345.046038226952</v>
      </c>
      <c r="AD80" s="85">
        <f t="shared" si="57"/>
        <v>66621.916196449325</v>
      </c>
    </row>
    <row r="81" spans="2:30" ht="14.25" customHeight="1">
      <c r="B81" s="77" t="s">
        <v>101</v>
      </c>
      <c r="C81" s="78">
        <f>'GroupNum_10 '!B68*'GroupNum_10 '!C68</f>
        <v>207668</v>
      </c>
      <c r="E81" s="77" t="s">
        <v>100</v>
      </c>
      <c r="F81" s="83">
        <f t="shared" si="0"/>
        <v>225929</v>
      </c>
      <c r="G81" s="83">
        <f t="shared" si="34"/>
        <v>239168.4394</v>
      </c>
      <c r="H81" s="83">
        <f t="shared" si="38"/>
        <v>253183.70994884</v>
      </c>
      <c r="I81" s="83">
        <f t="shared" si="42"/>
        <v>268020.27535184199</v>
      </c>
      <c r="J81" s="83">
        <f t="shared" si="46"/>
        <v>283726.26348745992</v>
      </c>
      <c r="K81" s="83">
        <f t="shared" si="50"/>
        <v>300352.62252782512</v>
      </c>
      <c r="L81" s="83">
        <f t="shared" si="54"/>
        <v>317953.28620795562</v>
      </c>
      <c r="M81" s="83">
        <f t="shared" ref="M81:M88" si="58">$F81*(1+$C$29+$C$17)^L$57</f>
        <v>336585.34877974185</v>
      </c>
      <c r="N81" s="98">
        <f>$F81*(1+$C$29+$C$17)^(M$57)</f>
        <v>356309.25021823467</v>
      </c>
      <c r="O81" s="84">
        <f>$F$81*(1+$C$29+$C$17)^($M$57)*(1+$C$29+$C$17+$C$22)^F$57</f>
        <v>380752.06478320557</v>
      </c>
      <c r="P81" s="85">
        <f>$F81*(1+$C$29+$C$17)^($M$57)*(1+$C$29+$C$17+$C$22)^G$57</f>
        <v>406871.65642733342</v>
      </c>
      <c r="Q81" s="70"/>
      <c r="R81" s="77" t="s">
        <v>100</v>
      </c>
      <c r="S81" s="81">
        <f>'GroupNum_10 '!D67</f>
        <v>0.84</v>
      </c>
      <c r="T81" s="83">
        <f t="shared" si="32"/>
        <v>36148.640000000007</v>
      </c>
      <c r="U81" s="83">
        <f t="shared" si="36"/>
        <v>38266.950304000005</v>
      </c>
      <c r="V81" s="83">
        <f t="shared" si="40"/>
        <v>40509.393591814405</v>
      </c>
      <c r="W81" s="83">
        <f t="shared" si="44"/>
        <v>42883.24405629473</v>
      </c>
      <c r="X81" s="83">
        <f t="shared" si="48"/>
        <v>45396.202157993597</v>
      </c>
      <c r="Y81" s="83">
        <f t="shared" si="52"/>
        <v>48056.419604452029</v>
      </c>
      <c r="Z81" s="83">
        <f t="shared" si="56"/>
        <v>50872.525793272907</v>
      </c>
      <c r="AA81" s="83">
        <f t="shared" ref="AA81:AA88" si="59">M81*(1-$S81)</f>
        <v>53853.65580475871</v>
      </c>
      <c r="AB81" s="98">
        <f>N81</f>
        <v>356309.25021823467</v>
      </c>
      <c r="AC81" s="84">
        <f t="shared" ref="AC81:AD81" si="60">O81*(1-$S81)</f>
        <v>60920.330365312904</v>
      </c>
      <c r="AD81" s="85">
        <f t="shared" si="60"/>
        <v>65099.465028373357</v>
      </c>
    </row>
    <row r="82" spans="2:30" ht="14.25" customHeight="1">
      <c r="B82" s="77" t="s">
        <v>102</v>
      </c>
      <c r="C82" s="78">
        <f>'GroupNum_10 '!B69*'GroupNum_10 '!C69</f>
        <v>198904</v>
      </c>
      <c r="E82" s="77" t="s">
        <v>101</v>
      </c>
      <c r="F82" s="83">
        <f t="shared" si="0"/>
        <v>207668</v>
      </c>
      <c r="G82" s="83">
        <f t="shared" si="34"/>
        <v>219837.34479999999</v>
      </c>
      <c r="H82" s="83">
        <f t="shared" si="38"/>
        <v>232719.81320527999</v>
      </c>
      <c r="I82" s="83">
        <f t="shared" si="42"/>
        <v>246357.19425910941</v>
      </c>
      <c r="J82" s="83">
        <f t="shared" si="46"/>
        <v>260793.72584269321</v>
      </c>
      <c r="K82" s="83">
        <f t="shared" si="50"/>
        <v>276076.23817707505</v>
      </c>
      <c r="L82" s="83">
        <f t="shared" si="54"/>
        <v>292254.30573425163</v>
      </c>
      <c r="M82" s="83">
        <f t="shared" si="58"/>
        <v>309380.40805027878</v>
      </c>
      <c r="N82" s="83">
        <f t="shared" ref="N82:N88" si="61">$F82*(1+$C$29+$C$17)^M$57</f>
        <v>327510.09996202507</v>
      </c>
      <c r="O82" s="99">
        <f>$F82*(1+$C$29+$C$17)^(N$57)</f>
        <v>346702.19181979971</v>
      </c>
      <c r="P82" s="85">
        <f>$F82*(1+$C$29+$C$17)^($N$57)*(1+$C$29+$C$17+$C$22)^F$57</f>
        <v>370485.96217863797</v>
      </c>
      <c r="Q82" s="70"/>
      <c r="R82" s="77" t="s">
        <v>101</v>
      </c>
      <c r="S82" s="81">
        <f>'GroupNum_10 '!D68</f>
        <v>0.82</v>
      </c>
      <c r="T82" s="83">
        <f t="shared" si="32"/>
        <v>37380.240000000013</v>
      </c>
      <c r="U82" s="83">
        <f t="shared" si="36"/>
        <v>39570.722064000009</v>
      </c>
      <c r="V82" s="83">
        <f t="shared" si="40"/>
        <v>41889.56637695041</v>
      </c>
      <c r="W82" s="83">
        <f t="shared" si="44"/>
        <v>44344.294966639703</v>
      </c>
      <c r="X82" s="83">
        <f t="shared" si="48"/>
        <v>46942.870651684789</v>
      </c>
      <c r="Y82" s="83">
        <f t="shared" si="52"/>
        <v>49693.72287187352</v>
      </c>
      <c r="Z82" s="83">
        <f t="shared" si="56"/>
        <v>52605.775032165307</v>
      </c>
      <c r="AA82" s="83">
        <f t="shared" si="59"/>
        <v>55688.473449050194</v>
      </c>
      <c r="AB82" s="83">
        <f t="shared" ref="AB82:AB88" si="62">N82*(1-$S82)</f>
        <v>58951.817993164528</v>
      </c>
      <c r="AC82" s="99">
        <f>O82</f>
        <v>346702.19181979971</v>
      </c>
      <c r="AD82" s="85">
        <f>P82*(1-$S82)</f>
        <v>66687.473192154852</v>
      </c>
    </row>
    <row r="83" spans="2:30" ht="14.25" customHeight="1">
      <c r="B83" s="77" t="s">
        <v>103</v>
      </c>
      <c r="C83" s="78">
        <f>'GroupNum_10 '!B70*'GroupNum_10 '!C70</f>
        <v>236797</v>
      </c>
      <c r="E83" s="77" t="s">
        <v>102</v>
      </c>
      <c r="F83" s="83">
        <f t="shared" si="0"/>
        <v>198904</v>
      </c>
      <c r="G83" s="83">
        <f t="shared" si="34"/>
        <v>210559.77439999999</v>
      </c>
      <c r="H83" s="83">
        <f t="shared" si="38"/>
        <v>222898.57717983998</v>
      </c>
      <c r="I83" s="83">
        <f t="shared" si="42"/>
        <v>235960.43380257863</v>
      </c>
      <c r="J83" s="83">
        <f t="shared" si="46"/>
        <v>249787.7152234097</v>
      </c>
      <c r="K83" s="83">
        <f t="shared" si="50"/>
        <v>264425.27533550153</v>
      </c>
      <c r="L83" s="83">
        <f t="shared" si="54"/>
        <v>279920.59647016192</v>
      </c>
      <c r="M83" s="83">
        <f t="shared" si="58"/>
        <v>296323.94342331338</v>
      </c>
      <c r="N83" s="83">
        <f t="shared" si="61"/>
        <v>313688.52650791954</v>
      </c>
      <c r="O83" s="84">
        <f t="shared" ref="O83:O88" si="63">$F83*(1+$C$29+$C$17)^N$57</f>
        <v>332070.67416128359</v>
      </c>
      <c r="P83" s="100">
        <f>$F83*(1+$C$29+$C$17)^(O$57)</f>
        <v>351530.01566713484</v>
      </c>
      <c r="Q83" s="70"/>
      <c r="R83" s="77" t="s">
        <v>102</v>
      </c>
      <c r="S83" s="81">
        <f>'GroupNum_10 '!D69</f>
        <v>0.83</v>
      </c>
      <c r="T83" s="83">
        <f t="shared" si="32"/>
        <v>33813.680000000008</v>
      </c>
      <c r="U83" s="83">
        <f t="shared" si="36"/>
        <v>35795.161648000008</v>
      </c>
      <c r="V83" s="83">
        <f t="shared" si="40"/>
        <v>37892.758120572806</v>
      </c>
      <c r="W83" s="83">
        <f t="shared" si="44"/>
        <v>40113.273746438375</v>
      </c>
      <c r="X83" s="83">
        <f t="shared" si="48"/>
        <v>42463.911587979659</v>
      </c>
      <c r="Y83" s="83">
        <f t="shared" si="52"/>
        <v>44952.296807035273</v>
      </c>
      <c r="Z83" s="83">
        <f t="shared" si="56"/>
        <v>47586.50139992754</v>
      </c>
      <c r="AA83" s="83">
        <f t="shared" si="59"/>
        <v>50375.070381963284</v>
      </c>
      <c r="AB83" s="83">
        <f t="shared" si="62"/>
        <v>53327.049506346331</v>
      </c>
      <c r="AC83" s="84">
        <f t="shared" ref="AC83:AC88" si="64">O83*(1-$S83)</f>
        <v>56452.014607418227</v>
      </c>
      <c r="AD83" s="100">
        <f>P83</f>
        <v>351530.01566713484</v>
      </c>
    </row>
    <row r="84" spans="2:30" ht="14.25" customHeight="1">
      <c r="B84" s="77" t="s">
        <v>104</v>
      </c>
      <c r="C84" s="78">
        <f>'GroupNum_10 '!B71*'GroupNum_10 '!C71</f>
        <v>267102</v>
      </c>
      <c r="E84" s="77" t="s">
        <v>103</v>
      </c>
      <c r="F84" s="83">
        <f t="shared" si="0"/>
        <v>236797</v>
      </c>
      <c r="G84" s="83">
        <f t="shared" si="34"/>
        <v>250673.30419999998</v>
      </c>
      <c r="H84" s="83">
        <f t="shared" si="38"/>
        <v>265362.75982611999</v>
      </c>
      <c r="I84" s="83">
        <f t="shared" si="42"/>
        <v>280913.01755193062</v>
      </c>
      <c r="J84" s="83">
        <f t="shared" si="46"/>
        <v>297374.52038047375</v>
      </c>
      <c r="K84" s="83">
        <f t="shared" si="50"/>
        <v>314800.66727476951</v>
      </c>
      <c r="L84" s="83">
        <f t="shared" si="54"/>
        <v>333247.98637707101</v>
      </c>
      <c r="M84" s="83">
        <f t="shared" si="58"/>
        <v>352776.31837876735</v>
      </c>
      <c r="N84" s="83">
        <f t="shared" si="61"/>
        <v>373449.01063576312</v>
      </c>
      <c r="O84" s="84">
        <f t="shared" si="63"/>
        <v>395333.12265901879</v>
      </c>
      <c r="P84" s="85">
        <f t="shared" ref="P84:P88" si="65">$F84*(1+$C$29+$C$17)^O$57</f>
        <v>418499.64364683733</v>
      </c>
      <c r="Q84" s="70"/>
      <c r="R84" s="77" t="s">
        <v>103</v>
      </c>
      <c r="S84" s="81">
        <f>'GroupNum_10 '!D70</f>
        <v>0.82</v>
      </c>
      <c r="T84" s="83">
        <f t="shared" si="32"/>
        <v>42623.460000000014</v>
      </c>
      <c r="U84" s="83">
        <f t="shared" si="36"/>
        <v>45121.194756000012</v>
      </c>
      <c r="V84" s="83">
        <f t="shared" si="40"/>
        <v>47765.296768701613</v>
      </c>
      <c r="W84" s="83">
        <f t="shared" si="44"/>
        <v>50564.343159347525</v>
      </c>
      <c r="X84" s="83">
        <f t="shared" si="48"/>
        <v>53527.413668485293</v>
      </c>
      <c r="Y84" s="83">
        <f t="shared" si="52"/>
        <v>56664.120109458527</v>
      </c>
      <c r="Z84" s="83">
        <f t="shared" si="56"/>
        <v>59984.6375478728</v>
      </c>
      <c r="AA84" s="83">
        <f t="shared" si="59"/>
        <v>63499.737308178141</v>
      </c>
      <c r="AB84" s="83">
        <f t="shared" si="62"/>
        <v>67220.821914437372</v>
      </c>
      <c r="AC84" s="84">
        <f t="shared" si="64"/>
        <v>71159.962078623401</v>
      </c>
      <c r="AD84" s="85">
        <f t="shared" ref="AD84:AD88" si="66">P84*(1-$S84)</f>
        <v>75329.935856430733</v>
      </c>
    </row>
    <row r="85" spans="2:30" ht="14.25" customHeight="1">
      <c r="B85" s="77" t="s">
        <v>105</v>
      </c>
      <c r="C85" s="78">
        <f>'GroupNum_10 '!B72*'GroupNum_10 '!C72</f>
        <v>254410</v>
      </c>
      <c r="E85" s="77" t="s">
        <v>104</v>
      </c>
      <c r="F85" s="83">
        <f t="shared" si="0"/>
        <v>267102</v>
      </c>
      <c r="G85" s="83">
        <f t="shared" si="34"/>
        <v>282754.17719999998</v>
      </c>
      <c r="H85" s="83">
        <f t="shared" si="38"/>
        <v>299323.57198392</v>
      </c>
      <c r="I85" s="83">
        <f t="shared" si="42"/>
        <v>316863.9333021777</v>
      </c>
      <c r="J85" s="83">
        <f t="shared" si="46"/>
        <v>335432.15979368531</v>
      </c>
      <c r="K85" s="83">
        <f t="shared" si="50"/>
        <v>355088.48435759527</v>
      </c>
      <c r="L85" s="83">
        <f t="shared" si="54"/>
        <v>375896.66954095033</v>
      </c>
      <c r="M85" s="83">
        <f t="shared" si="58"/>
        <v>397924.21437605005</v>
      </c>
      <c r="N85" s="83">
        <f t="shared" si="61"/>
        <v>421242.57333848655</v>
      </c>
      <c r="O85" s="84">
        <f t="shared" si="63"/>
        <v>445927.38813612185</v>
      </c>
      <c r="P85" s="85">
        <f t="shared" si="65"/>
        <v>472058.73308089859</v>
      </c>
      <c r="Q85" s="70"/>
      <c r="R85" s="77" t="s">
        <v>104</v>
      </c>
      <c r="S85" s="81">
        <f>'GroupNum_10 '!D71</f>
        <v>0.85</v>
      </c>
      <c r="T85" s="83">
        <f t="shared" si="32"/>
        <v>40065.300000000003</v>
      </c>
      <c r="U85" s="83">
        <f t="shared" si="36"/>
        <v>42413.126580000004</v>
      </c>
      <c r="V85" s="83">
        <f t="shared" si="40"/>
        <v>44898.535797588011</v>
      </c>
      <c r="W85" s="83">
        <f t="shared" si="44"/>
        <v>47529.589995326663</v>
      </c>
      <c r="X85" s="83">
        <f t="shared" si="48"/>
        <v>50314.823969052806</v>
      </c>
      <c r="Y85" s="83">
        <f t="shared" si="52"/>
        <v>53263.272653639295</v>
      </c>
      <c r="Z85" s="83">
        <f t="shared" si="56"/>
        <v>56384.500431142558</v>
      </c>
      <c r="AA85" s="83">
        <f t="shared" si="59"/>
        <v>59688.632156407519</v>
      </c>
      <c r="AB85" s="83">
        <f t="shared" si="62"/>
        <v>63186.386000772989</v>
      </c>
      <c r="AC85" s="84">
        <f t="shared" si="64"/>
        <v>66889.108220418289</v>
      </c>
      <c r="AD85" s="85">
        <f t="shared" si="66"/>
        <v>70808.809962134794</v>
      </c>
    </row>
    <row r="86" spans="2:30" ht="14.25" customHeight="1">
      <c r="B86" s="77" t="s">
        <v>106</v>
      </c>
      <c r="C86" s="78">
        <f>'GroupNum_10 '!B73*'GroupNum_10 '!C73</f>
        <v>205390</v>
      </c>
      <c r="E86" s="77" t="s">
        <v>105</v>
      </c>
      <c r="F86" s="83">
        <f t="shared" si="0"/>
        <v>254410</v>
      </c>
      <c r="G86" s="83">
        <f t="shared" si="34"/>
        <v>269318.42599999998</v>
      </c>
      <c r="H86" s="83">
        <f t="shared" si="38"/>
        <v>285100.48576359998</v>
      </c>
      <c r="I86" s="83">
        <f t="shared" si="42"/>
        <v>301807.37422934693</v>
      </c>
      <c r="J86" s="83">
        <f t="shared" si="46"/>
        <v>319493.28635918669</v>
      </c>
      <c r="K86" s="83">
        <f t="shared" si="50"/>
        <v>338215.59293983504</v>
      </c>
      <c r="L86" s="83">
        <f t="shared" si="54"/>
        <v>358035.02668610931</v>
      </c>
      <c r="M86" s="83">
        <f t="shared" si="58"/>
        <v>379015.87924991536</v>
      </c>
      <c r="N86" s="83">
        <f t="shared" si="61"/>
        <v>401226.20977396035</v>
      </c>
      <c r="O86" s="84">
        <f t="shared" si="63"/>
        <v>424738.06566671439</v>
      </c>
      <c r="P86" s="85">
        <f t="shared" si="65"/>
        <v>449627.7163147839</v>
      </c>
      <c r="Q86" s="70"/>
      <c r="R86" s="77" t="s">
        <v>105</v>
      </c>
      <c r="S86" s="81">
        <f>'GroupNum_10 '!D72</f>
        <v>0.84</v>
      </c>
      <c r="T86" s="83">
        <f t="shared" si="32"/>
        <v>40705.600000000006</v>
      </c>
      <c r="U86" s="83">
        <f t="shared" si="36"/>
        <v>43090.948160000007</v>
      </c>
      <c r="V86" s="83">
        <f t="shared" si="40"/>
        <v>45616.077722176007</v>
      </c>
      <c r="W86" s="83">
        <f t="shared" si="44"/>
        <v>48289.179876695518</v>
      </c>
      <c r="X86" s="83">
        <f t="shared" si="48"/>
        <v>51118.925817469877</v>
      </c>
      <c r="Y86" s="83">
        <f t="shared" si="52"/>
        <v>54114.494870373615</v>
      </c>
      <c r="Z86" s="83">
        <f t="shared" si="56"/>
        <v>57285.604269777497</v>
      </c>
      <c r="AA86" s="83">
        <f t="shared" si="59"/>
        <v>60642.540679986472</v>
      </c>
      <c r="AB86" s="83">
        <f t="shared" si="62"/>
        <v>64196.193563833665</v>
      </c>
      <c r="AC86" s="84">
        <f t="shared" si="64"/>
        <v>67958.090506674314</v>
      </c>
      <c r="AD86" s="85">
        <f t="shared" si="66"/>
        <v>71940.434610365439</v>
      </c>
    </row>
    <row r="87" spans="2:30" ht="14.25" customHeight="1">
      <c r="B87" s="101" t="s">
        <v>107</v>
      </c>
      <c r="C87" s="102">
        <f>'GroupNum_10 '!B74*'GroupNum_10 '!C74</f>
        <v>327856</v>
      </c>
      <c r="E87" s="77" t="s">
        <v>106</v>
      </c>
      <c r="F87" s="83">
        <f t="shared" si="0"/>
        <v>205390</v>
      </c>
      <c r="G87" s="83">
        <f t="shared" si="34"/>
        <v>217425.85399999999</v>
      </c>
      <c r="H87" s="83">
        <f t="shared" si="38"/>
        <v>230167.00904439998</v>
      </c>
      <c r="I87" s="83">
        <f t="shared" si="42"/>
        <v>243654.79577440183</v>
      </c>
      <c r="J87" s="83">
        <f t="shared" si="46"/>
        <v>257932.96680678177</v>
      </c>
      <c r="K87" s="83">
        <f t="shared" si="50"/>
        <v>273047.83866165916</v>
      </c>
      <c r="L87" s="83">
        <f t="shared" si="54"/>
        <v>289048.4420072324</v>
      </c>
      <c r="M87" s="83">
        <f t="shared" si="58"/>
        <v>305986.68070885621</v>
      </c>
      <c r="N87" s="83">
        <f t="shared" si="61"/>
        <v>323917.50019839517</v>
      </c>
      <c r="O87" s="84">
        <f t="shared" si="63"/>
        <v>342899.06571002112</v>
      </c>
      <c r="P87" s="85">
        <f t="shared" si="65"/>
        <v>362992.95096062834</v>
      </c>
      <c r="Q87" s="70"/>
      <c r="R87" s="77" t="s">
        <v>106</v>
      </c>
      <c r="S87" s="81">
        <f>'GroupNum_10 '!D73</f>
        <v>0.84</v>
      </c>
      <c r="T87" s="83">
        <f t="shared" si="32"/>
        <v>32862.400000000009</v>
      </c>
      <c r="U87" s="83">
        <f t="shared" si="36"/>
        <v>34788.136640000004</v>
      </c>
      <c r="V87" s="83">
        <f t="shared" si="40"/>
        <v>36826.721447104006</v>
      </c>
      <c r="W87" s="83">
        <f t="shared" si="44"/>
        <v>38984.7673239043</v>
      </c>
      <c r="X87" s="83">
        <f t="shared" si="48"/>
        <v>41269.27468908509</v>
      </c>
      <c r="Y87" s="83">
        <f t="shared" si="52"/>
        <v>43687.654185865475</v>
      </c>
      <c r="Z87" s="83">
        <f t="shared" si="56"/>
        <v>46247.750721157194</v>
      </c>
      <c r="AA87" s="83">
        <f t="shared" si="59"/>
        <v>48957.868913417005</v>
      </c>
      <c r="AB87" s="83">
        <f t="shared" si="62"/>
        <v>51826.800031743238</v>
      </c>
      <c r="AC87" s="84">
        <f t="shared" si="64"/>
        <v>54863.850513603393</v>
      </c>
      <c r="AD87" s="85">
        <f t="shared" si="66"/>
        <v>58078.872153700548</v>
      </c>
    </row>
    <row r="88" spans="2:30" ht="14.25" customHeight="1">
      <c r="E88" s="77" t="s">
        <v>107</v>
      </c>
      <c r="F88" s="83">
        <f t="shared" si="0"/>
        <v>327856</v>
      </c>
      <c r="G88" s="83">
        <f t="shared" si="34"/>
        <v>347068.3616</v>
      </c>
      <c r="H88" s="83">
        <f t="shared" si="38"/>
        <v>367406.56758976</v>
      </c>
      <c r="I88" s="83">
        <f t="shared" si="42"/>
        <v>388936.59245051991</v>
      </c>
      <c r="J88" s="83">
        <f t="shared" si="46"/>
        <v>411728.27676812035</v>
      </c>
      <c r="K88" s="83">
        <f t="shared" si="50"/>
        <v>435855.55378673226</v>
      </c>
      <c r="L88" s="83">
        <f t="shared" si="54"/>
        <v>461396.68923863472</v>
      </c>
      <c r="M88" s="83">
        <f t="shared" si="58"/>
        <v>488434.53522801871</v>
      </c>
      <c r="N88" s="83">
        <f t="shared" si="61"/>
        <v>517056.79899238056</v>
      </c>
      <c r="O88" s="84">
        <f t="shared" si="63"/>
        <v>547356.32741333405</v>
      </c>
      <c r="P88" s="85">
        <f t="shared" si="65"/>
        <v>579431.40819975547</v>
      </c>
      <c r="Q88" s="70"/>
      <c r="R88" s="77" t="s">
        <v>107</v>
      </c>
      <c r="S88" s="81">
        <f>'GroupNum_10 '!D74</f>
        <v>0.84</v>
      </c>
      <c r="T88" s="83">
        <f t="shared" si="32"/>
        <v>52456.960000000014</v>
      </c>
      <c r="U88" s="83">
        <f t="shared" si="36"/>
        <v>55530.937856000011</v>
      </c>
      <c r="V88" s="83">
        <f t="shared" si="40"/>
        <v>58785.05081436161</v>
      </c>
      <c r="W88" s="83">
        <f t="shared" si="44"/>
        <v>62229.854792083199</v>
      </c>
      <c r="X88" s="83">
        <f t="shared" si="48"/>
        <v>65876.524282899263</v>
      </c>
      <c r="Y88" s="83">
        <f t="shared" si="52"/>
        <v>69736.888605877175</v>
      </c>
      <c r="Z88" s="83">
        <f t="shared" si="56"/>
        <v>73823.470278181572</v>
      </c>
      <c r="AA88" s="83">
        <f t="shared" si="59"/>
        <v>78149.525636483013</v>
      </c>
      <c r="AB88" s="83">
        <f t="shared" si="62"/>
        <v>82729.087838780906</v>
      </c>
      <c r="AC88" s="84">
        <f t="shared" si="64"/>
        <v>87577.012386133458</v>
      </c>
      <c r="AD88" s="85">
        <f t="shared" si="66"/>
        <v>92709.025311960897</v>
      </c>
    </row>
    <row r="89" spans="2:30" ht="14.25" customHeight="1">
      <c r="E89" s="103" t="s">
        <v>158</v>
      </c>
      <c r="F89" s="104">
        <f t="shared" ref="F89:P89" si="67">SUM(F59,F71:F73)</f>
        <v>5566500</v>
      </c>
      <c r="G89" s="104">
        <f t="shared" si="67"/>
        <v>5882450.8319999995</v>
      </c>
      <c r="H89" s="104">
        <f t="shared" si="67"/>
        <v>6218510.9995483989</v>
      </c>
      <c r="I89" s="104">
        <f t="shared" si="67"/>
        <v>6577063.0459142942</v>
      </c>
      <c r="J89" s="104">
        <f t="shared" si="67"/>
        <v>6959290.4009815203</v>
      </c>
      <c r="K89" s="104">
        <f t="shared" si="67"/>
        <v>7366843.3334978474</v>
      </c>
      <c r="L89" s="104">
        <f t="shared" si="67"/>
        <v>7801639.3374771895</v>
      </c>
      <c r="M89" s="104">
        <f t="shared" si="67"/>
        <v>8266799.7554112608</v>
      </c>
      <c r="N89" s="104">
        <f t="shared" si="67"/>
        <v>8763399.590414919</v>
      </c>
      <c r="O89" s="105">
        <f t="shared" si="67"/>
        <v>9293730.3900191821</v>
      </c>
      <c r="P89" s="106">
        <f t="shared" si="67"/>
        <v>9860002.5849386007</v>
      </c>
      <c r="R89" s="103" t="s">
        <v>159</v>
      </c>
      <c r="S89" s="107"/>
      <c r="T89" s="104">
        <f t="shared" ref="T89:AD89" si="68">SUM(T59,T71:T73)</f>
        <v>710405.98000000021</v>
      </c>
      <c r="U89" s="104">
        <f t="shared" si="68"/>
        <v>926590.45480800024</v>
      </c>
      <c r="V89" s="104">
        <f t="shared" si="68"/>
        <v>1065978.5330204202</v>
      </c>
      <c r="W89" s="104">
        <f t="shared" si="68"/>
        <v>1087635.9628413843</v>
      </c>
      <c r="X89" s="104">
        <f t="shared" si="68"/>
        <v>1140864.3954788523</v>
      </c>
      <c r="Y89" s="104">
        <f t="shared" si="68"/>
        <v>1210044.8135197877</v>
      </c>
      <c r="Z89" s="104">
        <f t="shared" si="68"/>
        <v>1382976.1626231447</v>
      </c>
      <c r="AA89" s="104">
        <f t="shared" si="68"/>
        <v>1351894.9495035128</v>
      </c>
      <c r="AB89" s="104">
        <f t="shared" si="68"/>
        <v>1430545.4607397043</v>
      </c>
      <c r="AC89" s="105">
        <f t="shared" si="68"/>
        <v>1486220.7880229333</v>
      </c>
      <c r="AD89" s="106">
        <f t="shared" si="68"/>
        <v>1569452.8238496927</v>
      </c>
    </row>
    <row r="90" spans="2:30" ht="14.25" customHeight="1">
      <c r="S90" s="41"/>
    </row>
    <row r="91" spans="2:30" ht="14.25" customHeight="1">
      <c r="S91" s="41"/>
    </row>
    <row r="92" spans="2:30" ht="30" customHeight="1">
      <c r="E92" s="61" t="s">
        <v>160</v>
      </c>
      <c r="F92" s="62"/>
      <c r="G92" s="63"/>
      <c r="H92" s="63"/>
      <c r="I92" s="63"/>
      <c r="J92" s="63"/>
      <c r="K92" s="63"/>
      <c r="L92" s="63"/>
      <c r="M92" s="63"/>
      <c r="N92" s="63"/>
      <c r="R92" s="61" t="s">
        <v>161</v>
      </c>
      <c r="S92" s="64"/>
      <c r="T92" s="63"/>
      <c r="U92" s="63"/>
      <c r="V92" s="63"/>
      <c r="W92" s="63"/>
      <c r="X92" s="63"/>
      <c r="Y92" s="63"/>
      <c r="Z92" s="63"/>
      <c r="AA92" s="63"/>
      <c r="AB92" s="63"/>
    </row>
    <row r="93" spans="2:30" ht="14.25" customHeight="1">
      <c r="E93" s="67" t="s">
        <v>155</v>
      </c>
      <c r="F93" s="67">
        <v>1</v>
      </c>
      <c r="G93" s="67">
        <v>2</v>
      </c>
      <c r="H93" s="67">
        <v>3</v>
      </c>
      <c r="I93" s="67">
        <v>4</v>
      </c>
      <c r="J93" s="67">
        <v>5</v>
      </c>
      <c r="K93" s="67">
        <v>6</v>
      </c>
      <c r="L93" s="67">
        <v>7</v>
      </c>
      <c r="M93" s="67">
        <v>8</v>
      </c>
      <c r="N93" s="67">
        <v>9</v>
      </c>
      <c r="O93" s="68">
        <v>10</v>
      </c>
      <c r="P93" s="69">
        <v>11</v>
      </c>
      <c r="R93" s="67" t="s">
        <v>155</v>
      </c>
      <c r="S93" s="67"/>
      <c r="T93" s="67">
        <v>1</v>
      </c>
      <c r="U93" s="67">
        <v>2</v>
      </c>
      <c r="V93" s="67">
        <v>3</v>
      </c>
      <c r="W93" s="67">
        <v>4</v>
      </c>
      <c r="X93" s="67">
        <v>5</v>
      </c>
      <c r="Y93" s="67">
        <v>6</v>
      </c>
      <c r="Z93" s="67">
        <v>7</v>
      </c>
      <c r="AA93" s="67">
        <v>8</v>
      </c>
      <c r="AB93" s="67">
        <v>9</v>
      </c>
      <c r="AC93" s="68">
        <v>10</v>
      </c>
      <c r="AD93" s="69">
        <v>11</v>
      </c>
    </row>
    <row r="94" spans="2:30" ht="14.25" customHeight="1">
      <c r="E94" s="72" t="s">
        <v>153</v>
      </c>
      <c r="F94" s="73" t="s">
        <v>156</v>
      </c>
      <c r="G94" s="73"/>
      <c r="H94" s="73"/>
      <c r="I94" s="73"/>
      <c r="J94" s="73"/>
      <c r="K94" s="73"/>
      <c r="L94" s="73"/>
      <c r="M94" s="73"/>
      <c r="N94" s="73"/>
      <c r="O94" s="74"/>
      <c r="P94" s="75"/>
      <c r="R94" s="65" t="s">
        <v>153</v>
      </c>
      <c r="S94" s="108" t="s">
        <v>162</v>
      </c>
      <c r="T94" s="109" t="s">
        <v>156</v>
      </c>
      <c r="U94" s="109"/>
      <c r="V94" s="109"/>
      <c r="W94" s="109"/>
      <c r="X94" s="109"/>
      <c r="Y94" s="109"/>
      <c r="Z94" s="109"/>
      <c r="AA94" s="109"/>
      <c r="AB94" s="109"/>
      <c r="AC94" s="110"/>
      <c r="AD94" s="111"/>
    </row>
    <row r="95" spans="2:30" ht="14.25" customHeight="1">
      <c r="E95" s="65" t="s">
        <v>75</v>
      </c>
      <c r="F95" s="79">
        <f t="shared" ref="F95:P95" si="69">F59-T59</f>
        <v>818280.49999999988</v>
      </c>
      <c r="G95" s="79">
        <f t="shared" si="69"/>
        <v>862958.61529999971</v>
      </c>
      <c r="H95" s="79">
        <f t="shared" si="69"/>
        <v>910076.15569537983</v>
      </c>
      <c r="I95" s="79">
        <f t="shared" si="69"/>
        <v>959766.31379634771</v>
      </c>
      <c r="J95" s="79">
        <f t="shared" si="69"/>
        <v>1012169.5545296281</v>
      </c>
      <c r="K95" s="79">
        <f t="shared" si="69"/>
        <v>1067434.0122069458</v>
      </c>
      <c r="L95" s="79">
        <f t="shared" si="69"/>
        <v>1125715.9092734454</v>
      </c>
      <c r="M95" s="79">
        <f t="shared" si="69"/>
        <v>1187179.9979197751</v>
      </c>
      <c r="N95" s="79">
        <f t="shared" si="69"/>
        <v>1252000.0258061949</v>
      </c>
      <c r="O95" s="80">
        <f t="shared" si="69"/>
        <v>1320359.2272152132</v>
      </c>
      <c r="P95" s="82">
        <f t="shared" si="69"/>
        <v>1392450.8410211639</v>
      </c>
      <c r="R95" s="72" t="s">
        <v>75</v>
      </c>
      <c r="S95" s="112">
        <f t="shared" ref="S95:S97" si="70">$C$38</f>
        <v>4.4299999999999999E-3</v>
      </c>
      <c r="T95" s="113">
        <f t="shared" ref="T95:AD95" si="71">F95*$S$95</f>
        <v>3624.9826149999994</v>
      </c>
      <c r="U95" s="113">
        <f t="shared" si="71"/>
        <v>3822.9066657789986</v>
      </c>
      <c r="V95" s="113">
        <f t="shared" si="71"/>
        <v>4031.6373697305326</v>
      </c>
      <c r="W95" s="113">
        <f t="shared" si="71"/>
        <v>4251.7647701178203</v>
      </c>
      <c r="X95" s="113">
        <f t="shared" si="71"/>
        <v>4483.9111265662523</v>
      </c>
      <c r="Y95" s="113">
        <f t="shared" si="71"/>
        <v>4728.7326740767694</v>
      </c>
      <c r="Z95" s="113">
        <f t="shared" si="71"/>
        <v>4986.9214780813627</v>
      </c>
      <c r="AA95" s="113">
        <f t="shared" si="71"/>
        <v>5259.2073907846034</v>
      </c>
      <c r="AB95" s="113">
        <f t="shared" si="71"/>
        <v>5546.3601143214428</v>
      </c>
      <c r="AC95" s="114">
        <f t="shared" si="71"/>
        <v>5849.1913765633944</v>
      </c>
      <c r="AD95" s="115">
        <f t="shared" si="71"/>
        <v>6168.5572257237554</v>
      </c>
    </row>
    <row r="96" spans="2:30" ht="14.25" customHeight="1">
      <c r="E96" s="77" t="s">
        <v>79</v>
      </c>
      <c r="F96" s="83">
        <f t="shared" ref="F96:P96" si="72">F60-T60</f>
        <v>71630</v>
      </c>
      <c r="G96" s="83">
        <f t="shared" si="72"/>
        <v>75540.997999999992</v>
      </c>
      <c r="H96" s="83">
        <f t="shared" si="72"/>
        <v>79665.53649079999</v>
      </c>
      <c r="I96" s="83">
        <f t="shared" si="72"/>
        <v>84015.274783197674</v>
      </c>
      <c r="J96" s="83">
        <f t="shared" si="72"/>
        <v>88602.508786360268</v>
      </c>
      <c r="K96" s="83">
        <f t="shared" si="72"/>
        <v>93440.205766095532</v>
      </c>
      <c r="L96" s="83">
        <f t="shared" si="72"/>
        <v>98542.041000924364</v>
      </c>
      <c r="M96" s="83">
        <f t="shared" si="72"/>
        <v>103922.43643957481</v>
      </c>
      <c r="N96" s="83">
        <f t="shared" si="72"/>
        <v>109596.6014691756</v>
      </c>
      <c r="O96" s="84">
        <f t="shared" si="72"/>
        <v>115580.57590939259</v>
      </c>
      <c r="P96" s="85">
        <f t="shared" si="72"/>
        <v>121891.27535404541</v>
      </c>
      <c r="R96" s="65" t="s">
        <v>90</v>
      </c>
      <c r="S96" s="116">
        <f t="shared" si="70"/>
        <v>4.4299999999999999E-3</v>
      </c>
      <c r="T96" s="92">
        <f t="shared" ref="T96:AD96" si="73">F107*$S$96</f>
        <v>1564.4669039999999</v>
      </c>
      <c r="U96" s="92">
        <f t="shared" si="73"/>
        <v>1643.6289293423999</v>
      </c>
      <c r="V96" s="92">
        <f t="shared" si="73"/>
        <v>1726.7965531671252</v>
      </c>
      <c r="W96" s="92">
        <f t="shared" si="73"/>
        <v>1814.1724587573815</v>
      </c>
      <c r="X96" s="92">
        <f t="shared" si="73"/>
        <v>1905.9695851705051</v>
      </c>
      <c r="Y96" s="92">
        <f t="shared" si="73"/>
        <v>2002.4116461801323</v>
      </c>
      <c r="Z96" s="92">
        <f t="shared" si="73"/>
        <v>2103.7336754768471</v>
      </c>
      <c r="AA96" s="92">
        <f t="shared" si="73"/>
        <v>2210.1825994559754</v>
      </c>
      <c r="AB96" s="92">
        <f t="shared" si="73"/>
        <v>2322.0178389884477</v>
      </c>
      <c r="AC96" s="93">
        <f t="shared" si="73"/>
        <v>2439.5119416412635</v>
      </c>
      <c r="AD96" s="94">
        <f t="shared" si="73"/>
        <v>2562.951245888311</v>
      </c>
    </row>
    <row r="97" spans="5:30" ht="14.25" customHeight="1">
      <c r="E97" s="77" t="s">
        <v>80</v>
      </c>
      <c r="F97" s="83">
        <f t="shared" ref="F97:P97" si="74">F61-T61</f>
        <v>90630</v>
      </c>
      <c r="G97" s="83">
        <f t="shared" si="74"/>
        <v>95578.397999999986</v>
      </c>
      <c r="H97" s="83">
        <f t="shared" si="74"/>
        <v>100796.9785308</v>
      </c>
      <c r="I97" s="83">
        <f t="shared" si="74"/>
        <v>106300.49355858167</v>
      </c>
      <c r="J97" s="83">
        <f t="shared" si="74"/>
        <v>112104.50050688023</v>
      </c>
      <c r="K97" s="83">
        <f t="shared" si="74"/>
        <v>118225.40623455589</v>
      </c>
      <c r="L97" s="83">
        <f t="shared" si="74"/>
        <v>124680.51341496264</v>
      </c>
      <c r="M97" s="83">
        <f t="shared" si="74"/>
        <v>131488.06944741958</v>
      </c>
      <c r="N97" s="83">
        <f t="shared" si="74"/>
        <v>138667.31803924873</v>
      </c>
      <c r="O97" s="84">
        <f t="shared" si="74"/>
        <v>146238.55360419169</v>
      </c>
      <c r="P97" s="85">
        <f t="shared" si="74"/>
        <v>154223.17863098055</v>
      </c>
      <c r="R97" s="91" t="s">
        <v>91</v>
      </c>
      <c r="S97" s="117">
        <f t="shared" si="70"/>
        <v>4.4299999999999999E-3</v>
      </c>
      <c r="T97" s="92">
        <f t="shared" ref="T97:AD97" si="75">F108*$S$97</f>
        <v>2679.6629657999997</v>
      </c>
      <c r="U97" s="92">
        <f t="shared" si="75"/>
        <v>2820.6132378010802</v>
      </c>
      <c r="V97" s="92">
        <f t="shared" si="75"/>
        <v>2968.977494109417</v>
      </c>
      <c r="W97" s="92">
        <f t="shared" si="75"/>
        <v>3125.1457102995723</v>
      </c>
      <c r="X97" s="92">
        <f t="shared" si="75"/>
        <v>3289.5283746613295</v>
      </c>
      <c r="Y97" s="92">
        <f t="shared" si="75"/>
        <v>3462.5575671685151</v>
      </c>
      <c r="Z97" s="92">
        <f t="shared" si="75"/>
        <v>3644.688095201579</v>
      </c>
      <c r="AA97" s="92">
        <f t="shared" si="75"/>
        <v>3836.3986890091824</v>
      </c>
      <c r="AB97" s="92">
        <f t="shared" si="75"/>
        <v>4038.1932600510654</v>
      </c>
      <c r="AC97" s="114">
        <f t="shared" si="75"/>
        <v>4250.6022255297512</v>
      </c>
      <c r="AD97" s="115">
        <f t="shared" si="75"/>
        <v>4474.1839025926165</v>
      </c>
    </row>
    <row r="98" spans="5:30" ht="14.25" customHeight="1">
      <c r="E98" s="77" t="s">
        <v>81</v>
      </c>
      <c r="F98" s="83">
        <f t="shared" ref="F98:P98" si="76">F62-T62</f>
        <v>81144</v>
      </c>
      <c r="G98" s="83">
        <f t="shared" si="76"/>
        <v>85574.462399999989</v>
      </c>
      <c r="H98" s="83">
        <f t="shared" si="76"/>
        <v>90246.828047039991</v>
      </c>
      <c r="I98" s="83">
        <f t="shared" si="76"/>
        <v>95174.304858408374</v>
      </c>
      <c r="J98" s="83">
        <f t="shared" si="76"/>
        <v>100370.82190367745</v>
      </c>
      <c r="K98" s="83">
        <f t="shared" si="76"/>
        <v>105851.06877961826</v>
      </c>
      <c r="L98" s="83">
        <f t="shared" si="76"/>
        <v>111630.53713498542</v>
      </c>
      <c r="M98" s="83">
        <f t="shared" si="76"/>
        <v>117725.56446255562</v>
      </c>
      <c r="N98" s="83">
        <f t="shared" si="76"/>
        <v>124153.38028221115</v>
      </c>
      <c r="O98" s="84">
        <f t="shared" si="76"/>
        <v>130932.15484561988</v>
      </c>
      <c r="P98" s="85">
        <f t="shared" si="76"/>
        <v>138081.05050019073</v>
      </c>
      <c r="R98" s="65" t="s">
        <v>92</v>
      </c>
      <c r="S98" s="112"/>
      <c r="T98" s="79">
        <f t="shared" ref="T98:AD98" si="77">SUM(T99:T113)</f>
        <v>13643.384023799999</v>
      </c>
      <c r="U98" s="79">
        <f t="shared" si="77"/>
        <v>14613.134210668077</v>
      </c>
      <c r="V98" s="79">
        <f t="shared" si="77"/>
        <v>15525.316687777849</v>
      </c>
      <c r="W98" s="79">
        <f t="shared" si="77"/>
        <v>16405.425793831237</v>
      </c>
      <c r="X98" s="79">
        <f t="shared" si="77"/>
        <v>17405.870967395993</v>
      </c>
      <c r="Y98" s="79">
        <f t="shared" si="77"/>
        <v>18489.204565203014</v>
      </c>
      <c r="Z98" s="79">
        <f t="shared" si="77"/>
        <v>19676.38313457555</v>
      </c>
      <c r="AA98" s="79">
        <f t="shared" si="77"/>
        <v>20838.903900845584</v>
      </c>
      <c r="AB98" s="79">
        <f t="shared" si="77"/>
        <v>22156.422559567021</v>
      </c>
      <c r="AC98" s="118">
        <f t="shared" si="77"/>
        <v>23583.852702870689</v>
      </c>
      <c r="AD98" s="119">
        <f t="shared" si="77"/>
        <v>25078.721036824576</v>
      </c>
    </row>
    <row r="99" spans="5:30" ht="14.25" customHeight="1">
      <c r="E99" s="77" t="s">
        <v>82</v>
      </c>
      <c r="F99" s="83">
        <f t="shared" ref="F99:P99" si="78">F63-T63</f>
        <v>67207.499999999985</v>
      </c>
      <c r="G99" s="83">
        <f t="shared" si="78"/>
        <v>70877.02949999999</v>
      </c>
      <c r="H99" s="83">
        <f t="shared" si="78"/>
        <v>74746.915310699987</v>
      </c>
      <c r="I99" s="83">
        <f t="shared" si="78"/>
        <v>78828.096886664207</v>
      </c>
      <c r="J99" s="83">
        <f t="shared" si="78"/>
        <v>83132.110976676064</v>
      </c>
      <c r="K99" s="83">
        <f t="shared" si="78"/>
        <v>87671.124236002594</v>
      </c>
      <c r="L99" s="83">
        <f t="shared" si="78"/>
        <v>92457.967619288334</v>
      </c>
      <c r="M99" s="83">
        <f t="shared" si="78"/>
        <v>97506.172651301458</v>
      </c>
      <c r="N99" s="83">
        <f t="shared" si="78"/>
        <v>102830.00967806252</v>
      </c>
      <c r="O99" s="84">
        <f t="shared" si="78"/>
        <v>108444.52820648474</v>
      </c>
      <c r="P99" s="85">
        <f t="shared" si="78"/>
        <v>114365.59944655882</v>
      </c>
      <c r="R99" s="77" t="s">
        <v>93</v>
      </c>
      <c r="S99" s="112">
        <f t="shared" ref="S99:S113" si="79">$C$38</f>
        <v>4.4299999999999999E-3</v>
      </c>
      <c r="T99" s="83">
        <f t="shared" ref="T99:T113" si="80">F110*$S99</f>
        <v>732.64093099999991</v>
      </c>
      <c r="U99" s="98">
        <f>G74*$C$38</f>
        <v>945.82157262999999</v>
      </c>
      <c r="V99" s="83">
        <f t="shared" ref="V99:AD99" si="81">H110*$S99</f>
        <v>828.77804466018267</v>
      </c>
      <c r="W99" s="83">
        <f t="shared" si="81"/>
        <v>885.63221852387119</v>
      </c>
      <c r="X99" s="83">
        <f t="shared" si="81"/>
        <v>946.38658871460871</v>
      </c>
      <c r="Y99" s="83">
        <f t="shared" si="81"/>
        <v>1011.3087087004309</v>
      </c>
      <c r="Z99" s="83">
        <f t="shared" si="81"/>
        <v>1080.6844861172804</v>
      </c>
      <c r="AA99" s="83">
        <f t="shared" si="81"/>
        <v>1154.8194418649257</v>
      </c>
      <c r="AB99" s="83">
        <f t="shared" si="81"/>
        <v>1234.0400555768599</v>
      </c>
      <c r="AC99" s="84">
        <f t="shared" si="81"/>
        <v>1318.695203389432</v>
      </c>
      <c r="AD99" s="85">
        <f t="shared" si="81"/>
        <v>1409.157694341947</v>
      </c>
    </row>
    <row r="100" spans="5:30" ht="14.25" customHeight="1">
      <c r="E100" s="77" t="s">
        <v>83</v>
      </c>
      <c r="F100" s="83">
        <f t="shared" ref="F100:P100" si="82">F64-T64</f>
        <v>76492.5</v>
      </c>
      <c r="G100" s="83">
        <f t="shared" si="82"/>
        <v>80668.990499999985</v>
      </c>
      <c r="H100" s="83">
        <f t="shared" si="82"/>
        <v>85073.5173813</v>
      </c>
      <c r="I100" s="83">
        <f t="shared" si="82"/>
        <v>89718.531430318966</v>
      </c>
      <c r="J100" s="83">
        <f t="shared" si="82"/>
        <v>94617.163246414377</v>
      </c>
      <c r="K100" s="83">
        <f t="shared" si="82"/>
        <v>99783.260359668609</v>
      </c>
      <c r="L100" s="83">
        <f t="shared" si="82"/>
        <v>105231.42637530652</v>
      </c>
      <c r="M100" s="83">
        <f t="shared" si="82"/>
        <v>110977.06225539825</v>
      </c>
      <c r="N100" s="83">
        <f t="shared" si="82"/>
        <v>117036.40985454299</v>
      </c>
      <c r="O100" s="84">
        <f t="shared" si="82"/>
        <v>123426.59783260105</v>
      </c>
      <c r="P100" s="85">
        <f t="shared" si="82"/>
        <v>130165.69007426106</v>
      </c>
      <c r="R100" s="77" t="s">
        <v>94</v>
      </c>
      <c r="S100" s="112">
        <f t="shared" si="79"/>
        <v>4.4299999999999999E-3</v>
      </c>
      <c r="T100" s="84">
        <f t="shared" si="80"/>
        <v>1069.6514976000001</v>
      </c>
      <c r="U100" s="120">
        <f t="shared" ref="U100:U113" si="83">G111*$S100</f>
        <v>1132.3330753593598</v>
      </c>
      <c r="V100" s="98">
        <f>H75*$C$38</f>
        <v>1427.0092780659743</v>
      </c>
      <c r="W100" s="83">
        <f t="shared" ref="W100:AD100" si="84">I111*$S100</f>
        <v>1280.9177762146919</v>
      </c>
      <c r="X100" s="83">
        <f t="shared" si="84"/>
        <v>1368.7887356630199</v>
      </c>
      <c r="Y100" s="83">
        <f t="shared" si="84"/>
        <v>1462.687642929503</v>
      </c>
      <c r="Z100" s="83">
        <f t="shared" si="84"/>
        <v>1563.0280152344665</v>
      </c>
      <c r="AA100" s="83">
        <f t="shared" si="84"/>
        <v>1670.251737079551</v>
      </c>
      <c r="AB100" s="83">
        <f t="shared" si="84"/>
        <v>1784.8310062432079</v>
      </c>
      <c r="AC100" s="84">
        <f t="shared" si="84"/>
        <v>1907.2704132714923</v>
      </c>
      <c r="AD100" s="85">
        <f t="shared" si="84"/>
        <v>2038.1091636219162</v>
      </c>
    </row>
    <row r="101" spans="5:30" ht="14.25" customHeight="1">
      <c r="E101" s="77" t="s">
        <v>84</v>
      </c>
      <c r="F101" s="83">
        <f t="shared" ref="F101:P101" si="85">F65-T65</f>
        <v>72540</v>
      </c>
      <c r="G101" s="83">
        <f t="shared" si="85"/>
        <v>76500.683999999994</v>
      </c>
      <c r="H101" s="83">
        <f t="shared" si="85"/>
        <v>80677.621346399988</v>
      </c>
      <c r="I101" s="83">
        <f t="shared" si="85"/>
        <v>85082.619471913436</v>
      </c>
      <c r="J101" s="83">
        <f t="shared" si="85"/>
        <v>89728.130495079895</v>
      </c>
      <c r="K101" s="83">
        <f t="shared" si="85"/>
        <v>94627.286420111268</v>
      </c>
      <c r="L101" s="83">
        <f t="shared" si="85"/>
        <v>99793.936258649337</v>
      </c>
      <c r="M101" s="83">
        <f t="shared" si="85"/>
        <v>105242.68517837158</v>
      </c>
      <c r="N101" s="83">
        <f t="shared" si="85"/>
        <v>110988.93578911066</v>
      </c>
      <c r="O101" s="84">
        <f t="shared" si="85"/>
        <v>117048.93168319612</v>
      </c>
      <c r="P101" s="85">
        <f t="shared" si="85"/>
        <v>123439.80335309864</v>
      </c>
      <c r="R101" s="77" t="s">
        <v>95</v>
      </c>
      <c r="S101" s="112">
        <f t="shared" si="79"/>
        <v>4.4299999999999999E-3</v>
      </c>
      <c r="T101" s="83">
        <f t="shared" si="80"/>
        <v>915.95034399999997</v>
      </c>
      <c r="U101" s="83">
        <f t="shared" si="83"/>
        <v>969.62503415840001</v>
      </c>
      <c r="V101" s="83">
        <f t="shared" ref="V101:V113" si="86">H112*$S101</f>
        <v>1026.4450611600821</v>
      </c>
      <c r="W101" s="98">
        <f>I76*$C$38</f>
        <v>1278.3467549930153</v>
      </c>
      <c r="X101" s="83">
        <f t="shared" ref="X101:AD101" si="87">J112*$S101</f>
        <v>1161.1351410277059</v>
      </c>
      <c r="Y101" s="83">
        <f t="shared" si="87"/>
        <v>1240.7890117022066</v>
      </c>
      <c r="Z101" s="83">
        <f t="shared" si="87"/>
        <v>1325.9071379049776</v>
      </c>
      <c r="AA101" s="83">
        <f t="shared" si="87"/>
        <v>1416.8643675652588</v>
      </c>
      <c r="AB101" s="83">
        <f t="shared" si="87"/>
        <v>1514.0612631802358</v>
      </c>
      <c r="AC101" s="84">
        <f t="shared" si="87"/>
        <v>1617.9258658343997</v>
      </c>
      <c r="AD101" s="85">
        <f t="shared" si="87"/>
        <v>1728.9155802306398</v>
      </c>
    </row>
    <row r="102" spans="5:30" ht="14.25" customHeight="1">
      <c r="E102" s="77" t="s">
        <v>85</v>
      </c>
      <c r="F102" s="83">
        <f t="shared" ref="F102:P102" si="88">F66-T66</f>
        <v>75803</v>
      </c>
      <c r="G102" s="83">
        <f t="shared" si="88"/>
        <v>79941.843799999988</v>
      </c>
      <c r="H102" s="83">
        <f t="shared" si="88"/>
        <v>84306.668471479992</v>
      </c>
      <c r="I102" s="83">
        <f t="shared" si="88"/>
        <v>88909.812570022797</v>
      </c>
      <c r="J102" s="83">
        <f t="shared" si="88"/>
        <v>93764.288336346042</v>
      </c>
      <c r="K102" s="83">
        <f t="shared" si="88"/>
        <v>98883.818479510534</v>
      </c>
      <c r="L102" s="83">
        <f t="shared" si="88"/>
        <v>104282.87496849181</v>
      </c>
      <c r="M102" s="83">
        <f t="shared" si="88"/>
        <v>109976.71994177146</v>
      </c>
      <c r="N102" s="83">
        <f t="shared" si="88"/>
        <v>115981.44885059218</v>
      </c>
      <c r="O102" s="84">
        <f t="shared" si="88"/>
        <v>122314.03595783451</v>
      </c>
      <c r="P102" s="85">
        <f t="shared" si="88"/>
        <v>128992.38232113229</v>
      </c>
      <c r="R102" s="77" t="s">
        <v>96</v>
      </c>
      <c r="S102" s="112">
        <f t="shared" si="79"/>
        <v>4.4299999999999999E-3</v>
      </c>
      <c r="T102" s="83">
        <f t="shared" si="80"/>
        <v>876.00769199999991</v>
      </c>
      <c r="U102" s="83">
        <f t="shared" si="83"/>
        <v>927.34174275119994</v>
      </c>
      <c r="V102" s="83">
        <f t="shared" si="86"/>
        <v>981.68396887642018</v>
      </c>
      <c r="W102" s="83">
        <f t="shared" ref="W102:W113" si="89">I113*$S102</f>
        <v>1039.2106494525785</v>
      </c>
      <c r="X102" s="98">
        <f>J77*$C$38</f>
        <v>1309.6528494172615</v>
      </c>
      <c r="Y102" s="83">
        <f t="shared" ref="Y102:AD102" si="90">K113*$S102</f>
        <v>1175.5758293053198</v>
      </c>
      <c r="Z102" s="83">
        <f t="shared" si="90"/>
        <v>1256.2203311956644</v>
      </c>
      <c r="AA102" s="83">
        <f t="shared" si="90"/>
        <v>1342.3970459156872</v>
      </c>
      <c r="AB102" s="83">
        <f t="shared" si="90"/>
        <v>1434.4854832655033</v>
      </c>
      <c r="AC102" s="84">
        <f t="shared" si="90"/>
        <v>1532.8911874175169</v>
      </c>
      <c r="AD102" s="85">
        <f t="shared" si="90"/>
        <v>1638.0475228743583</v>
      </c>
    </row>
    <row r="103" spans="5:30" ht="14.25" customHeight="1">
      <c r="E103" s="77" t="s">
        <v>86</v>
      </c>
      <c r="F103" s="83">
        <f t="shared" ref="F103:P103" si="91">F67-T67</f>
        <v>67574.999999999985</v>
      </c>
      <c r="G103" s="83">
        <f t="shared" si="91"/>
        <v>71264.594999999987</v>
      </c>
      <c r="H103" s="83">
        <f t="shared" si="91"/>
        <v>75155.641886999991</v>
      </c>
      <c r="I103" s="83">
        <f t="shared" si="91"/>
        <v>79259.139934030187</v>
      </c>
      <c r="J103" s="83">
        <f t="shared" si="91"/>
        <v>83586.688974428238</v>
      </c>
      <c r="K103" s="83">
        <f t="shared" si="91"/>
        <v>88150.522192432007</v>
      </c>
      <c r="L103" s="83">
        <f t="shared" si="91"/>
        <v>92963.54070413881</v>
      </c>
      <c r="M103" s="83">
        <f t="shared" si="91"/>
        <v>98039.350026584769</v>
      </c>
      <c r="N103" s="83">
        <f t="shared" si="91"/>
        <v>103392.2985380363</v>
      </c>
      <c r="O103" s="84">
        <f t="shared" si="91"/>
        <v>109037.51803821308</v>
      </c>
      <c r="P103" s="85">
        <f t="shared" si="91"/>
        <v>114990.96652309952</v>
      </c>
      <c r="R103" s="77" t="s">
        <v>97</v>
      </c>
      <c r="S103" s="112">
        <f t="shared" si="79"/>
        <v>4.4299999999999999E-3</v>
      </c>
      <c r="T103" s="83">
        <f t="shared" si="80"/>
        <v>879.24606629999982</v>
      </c>
      <c r="U103" s="83">
        <f t="shared" si="83"/>
        <v>930.76988578517989</v>
      </c>
      <c r="V103" s="83">
        <f t="shared" si="86"/>
        <v>985.31300109219126</v>
      </c>
      <c r="W103" s="83">
        <f t="shared" si="89"/>
        <v>1043.0523429561938</v>
      </c>
      <c r="X103" s="83">
        <f t="shared" ref="X103:X113" si="92">J114*$S103</f>
        <v>1104.1752102534267</v>
      </c>
      <c r="Y103" s="98">
        <f>K78*$C$38</f>
        <v>1408.2890091256356</v>
      </c>
      <c r="Z103" s="83">
        <f t="shared" ref="Z103:AD103" si="93">L114*$S103</f>
        <v>1249.0650371758729</v>
      </c>
      <c r="AA103" s="83">
        <f t="shared" si="93"/>
        <v>1334.7508987261376</v>
      </c>
      <c r="AB103" s="83">
        <f t="shared" si="93"/>
        <v>1426.314810378751</v>
      </c>
      <c r="AC103" s="84">
        <f t="shared" si="93"/>
        <v>1524.1600063707328</v>
      </c>
      <c r="AD103" s="85">
        <f t="shared" si="93"/>
        <v>1628.717382807765</v>
      </c>
    </row>
    <row r="104" spans="5:30" ht="14.25" customHeight="1">
      <c r="E104" s="77" t="s">
        <v>87</v>
      </c>
      <c r="F104" s="83">
        <f t="shared" ref="F104:P104" si="94">F68-T68</f>
        <v>61879.999999999993</v>
      </c>
      <c r="G104" s="83">
        <f t="shared" si="94"/>
        <v>65258.647999999994</v>
      </c>
      <c r="H104" s="83">
        <f t="shared" si="94"/>
        <v>68821.770180799998</v>
      </c>
      <c r="I104" s="83">
        <f t="shared" si="94"/>
        <v>72579.438832671673</v>
      </c>
      <c r="J104" s="83">
        <f t="shared" si="94"/>
        <v>76542.276192935533</v>
      </c>
      <c r="K104" s="83">
        <f t="shared" si="94"/>
        <v>80721.48447306981</v>
      </c>
      <c r="L104" s="83">
        <f t="shared" si="94"/>
        <v>85128.877525299438</v>
      </c>
      <c r="M104" s="83">
        <f t="shared" si="94"/>
        <v>89776.914238180776</v>
      </c>
      <c r="N104" s="83">
        <f t="shared" si="94"/>
        <v>94678.733755585446</v>
      </c>
      <c r="O104" s="84">
        <f t="shared" si="94"/>
        <v>99848.192618640416</v>
      </c>
      <c r="P104" s="85">
        <f t="shared" si="94"/>
        <v>105299.90393561817</v>
      </c>
      <c r="R104" s="77" t="s">
        <v>98</v>
      </c>
      <c r="S104" s="112">
        <f t="shared" si="79"/>
        <v>4.4299999999999999E-3</v>
      </c>
      <c r="T104" s="83">
        <f t="shared" si="80"/>
        <v>1194.1115945000001</v>
      </c>
      <c r="U104" s="83">
        <f t="shared" si="83"/>
        <v>1264.0865339376999</v>
      </c>
      <c r="V104" s="83">
        <f t="shared" si="86"/>
        <v>1338.162004826449</v>
      </c>
      <c r="W104" s="83">
        <f t="shared" si="89"/>
        <v>1416.5782983092793</v>
      </c>
      <c r="X104" s="83">
        <f t="shared" si="92"/>
        <v>1499.5897865902027</v>
      </c>
      <c r="Y104" s="83">
        <f t="shared" ref="Y104:Y113" si="95">K115*$S104</f>
        <v>1587.4657480843885</v>
      </c>
      <c r="Z104" s="98">
        <f>L79*$C$38</f>
        <v>1977.0485187319221</v>
      </c>
      <c r="AA104" s="83">
        <f t="shared" ref="AA104:AD104" si="96">M115*$S104</f>
        <v>1795.7729400493922</v>
      </c>
      <c r="AB104" s="83">
        <f t="shared" si="96"/>
        <v>1918.96296373678</v>
      </c>
      <c r="AC104" s="84">
        <f t="shared" si="96"/>
        <v>2050.6038230491235</v>
      </c>
      <c r="AD104" s="85">
        <f t="shared" si="96"/>
        <v>2191.275245310293</v>
      </c>
    </row>
    <row r="105" spans="5:30" ht="14.25" customHeight="1">
      <c r="E105" s="77" t="s">
        <v>88</v>
      </c>
      <c r="F105" s="83">
        <f t="shared" ref="F105:P105" si="97">F69-T69</f>
        <v>76002.499999999985</v>
      </c>
      <c r="G105" s="83">
        <f t="shared" si="97"/>
        <v>80152.236499999985</v>
      </c>
      <c r="H105" s="83">
        <f t="shared" si="97"/>
        <v>84528.548612899991</v>
      </c>
      <c r="I105" s="83">
        <f t="shared" si="97"/>
        <v>89143.807367164321</v>
      </c>
      <c r="J105" s="83">
        <f t="shared" si="97"/>
        <v>94011.059249411497</v>
      </c>
      <c r="K105" s="83">
        <f t="shared" si="97"/>
        <v>99144.063084429363</v>
      </c>
      <c r="L105" s="83">
        <f t="shared" si="97"/>
        <v>104557.32892883921</v>
      </c>
      <c r="M105" s="83">
        <f t="shared" si="97"/>
        <v>110266.15908835382</v>
      </c>
      <c r="N105" s="83">
        <f t="shared" si="97"/>
        <v>116286.69137457795</v>
      </c>
      <c r="O105" s="84">
        <f t="shared" si="97"/>
        <v>122635.9447236299</v>
      </c>
      <c r="P105" s="85">
        <f t="shared" si="97"/>
        <v>129331.86730554007</v>
      </c>
      <c r="R105" s="77" t="s">
        <v>99</v>
      </c>
      <c r="S105" s="112">
        <f t="shared" si="79"/>
        <v>4.4299999999999999E-3</v>
      </c>
      <c r="T105" s="83">
        <f t="shared" si="80"/>
        <v>852.33713880000005</v>
      </c>
      <c r="U105" s="83">
        <f t="shared" si="83"/>
        <v>902.28409513368001</v>
      </c>
      <c r="V105" s="83">
        <f t="shared" si="86"/>
        <v>955.15794310851345</v>
      </c>
      <c r="W105" s="83">
        <f t="shared" si="89"/>
        <v>1011.1301985746725</v>
      </c>
      <c r="X105" s="83">
        <f t="shared" si="92"/>
        <v>1070.3824282111482</v>
      </c>
      <c r="Y105" s="83">
        <f t="shared" si="95"/>
        <v>1133.1068385043216</v>
      </c>
      <c r="Z105" s="83">
        <f t="shared" ref="Z105:Z113" si="98">L116*$S105</f>
        <v>1199.5068992406748</v>
      </c>
      <c r="AA105" s="98">
        <f>M80*$C$38</f>
        <v>1511.6642899240219</v>
      </c>
      <c r="AB105" s="83">
        <f t="shared" ref="AB105:AD105" si="99">N116*$S105</f>
        <v>1356.9061465787602</v>
      </c>
      <c r="AC105" s="84">
        <f t="shared" si="99"/>
        <v>1449.9899082340628</v>
      </c>
      <c r="AD105" s="85">
        <f t="shared" si="99"/>
        <v>1549.4592159389197</v>
      </c>
    </row>
    <row r="106" spans="5:30" ht="14.25" customHeight="1">
      <c r="E106" s="86" t="s">
        <v>89</v>
      </c>
      <c r="F106" s="87">
        <f t="shared" ref="F106:P106" si="100">F70-T70</f>
        <v>77376</v>
      </c>
      <c r="G106" s="87">
        <f t="shared" si="100"/>
        <v>81600.729599999991</v>
      </c>
      <c r="H106" s="87">
        <f t="shared" si="100"/>
        <v>86056.129436159987</v>
      </c>
      <c r="I106" s="87">
        <f t="shared" si="100"/>
        <v>90754.794103374326</v>
      </c>
      <c r="J106" s="87">
        <f t="shared" si="100"/>
        <v>95710.005861418569</v>
      </c>
      <c r="K106" s="87">
        <f t="shared" si="100"/>
        <v>100935.77218145202</v>
      </c>
      <c r="L106" s="87">
        <f t="shared" si="100"/>
        <v>106446.86534255929</v>
      </c>
      <c r="M106" s="87">
        <f t="shared" si="100"/>
        <v>112258.86419026303</v>
      </c>
      <c r="N106" s="87">
        <f t="shared" si="100"/>
        <v>118388.19817505138</v>
      </c>
      <c r="O106" s="88">
        <f t="shared" si="100"/>
        <v>124852.1937954092</v>
      </c>
      <c r="P106" s="89">
        <f t="shared" si="100"/>
        <v>131669.12357663855</v>
      </c>
      <c r="R106" s="77" t="s">
        <v>100</v>
      </c>
      <c r="S106" s="112">
        <f t="shared" si="79"/>
        <v>4.4299999999999999E-3</v>
      </c>
      <c r="T106" s="83">
        <f t="shared" si="80"/>
        <v>840.72699479999994</v>
      </c>
      <c r="U106" s="83">
        <f t="shared" si="83"/>
        <v>889.99359669527996</v>
      </c>
      <c r="V106" s="83">
        <f t="shared" si="86"/>
        <v>942.1472214616233</v>
      </c>
      <c r="W106" s="83">
        <f t="shared" si="89"/>
        <v>997.35704863927435</v>
      </c>
      <c r="X106" s="83">
        <f t="shared" si="92"/>
        <v>1055.8021716895357</v>
      </c>
      <c r="Y106" s="83">
        <f t="shared" si="95"/>
        <v>1117.6721789505427</v>
      </c>
      <c r="Z106" s="83">
        <f t="shared" si="98"/>
        <v>1183.1677686370444</v>
      </c>
      <c r="AA106" s="83">
        <f t="shared" ref="AA106:AA113" si="101">M117*$S106</f>
        <v>1252.5013998791753</v>
      </c>
      <c r="AB106" s="98">
        <f>N81*$C$38</f>
        <v>1578.4499784667796</v>
      </c>
      <c r="AC106" s="84">
        <f t="shared" ref="AC106:AD106" si="102">O117*$S106</f>
        <v>1416.8545834712643</v>
      </c>
      <c r="AD106" s="85">
        <f t="shared" si="102"/>
        <v>1514.050807897393</v>
      </c>
    </row>
    <row r="107" spans="5:30" ht="14.25" customHeight="1">
      <c r="E107" s="65" t="s">
        <v>90</v>
      </c>
      <c r="F107" s="79">
        <f t="shared" ref="F107:P107" si="103">F71-T71</f>
        <v>353152.8</v>
      </c>
      <c r="G107" s="79">
        <f t="shared" si="103"/>
        <v>371022.33168</v>
      </c>
      <c r="H107" s="79">
        <f t="shared" si="103"/>
        <v>389796.06166300795</v>
      </c>
      <c r="I107" s="79">
        <f t="shared" si="103"/>
        <v>409519.74238315609</v>
      </c>
      <c r="J107" s="79">
        <f t="shared" si="103"/>
        <v>430241.44134774379</v>
      </c>
      <c r="K107" s="79">
        <f t="shared" si="103"/>
        <v>452011.65827993955</v>
      </c>
      <c r="L107" s="79">
        <f t="shared" si="103"/>
        <v>474883.4481889045</v>
      </c>
      <c r="M107" s="79">
        <f t="shared" si="103"/>
        <v>498912.55066726304</v>
      </c>
      <c r="N107" s="79">
        <f t="shared" si="103"/>
        <v>524157.5257310266</v>
      </c>
      <c r="O107" s="80">
        <f t="shared" si="103"/>
        <v>550679.89653301658</v>
      </c>
      <c r="P107" s="82">
        <f t="shared" si="103"/>
        <v>578544.29929758713</v>
      </c>
      <c r="R107" s="77" t="s">
        <v>101</v>
      </c>
      <c r="S107" s="112">
        <f t="shared" si="79"/>
        <v>4.4299999999999999E-3</v>
      </c>
      <c r="T107" s="83">
        <f t="shared" si="80"/>
        <v>754.37477679999995</v>
      </c>
      <c r="U107" s="83">
        <f t="shared" si="83"/>
        <v>798.58113872047988</v>
      </c>
      <c r="V107" s="83">
        <f t="shared" si="86"/>
        <v>845.37799344949997</v>
      </c>
      <c r="W107" s="83">
        <f t="shared" si="89"/>
        <v>894.91714386564081</v>
      </c>
      <c r="X107" s="83">
        <f t="shared" si="92"/>
        <v>947.35928849616732</v>
      </c>
      <c r="Y107" s="83">
        <f t="shared" si="95"/>
        <v>1002.8745428020427</v>
      </c>
      <c r="Z107" s="83">
        <f t="shared" si="98"/>
        <v>1061.6429910102424</v>
      </c>
      <c r="AA107" s="83">
        <f t="shared" si="101"/>
        <v>1123.8552702834427</v>
      </c>
      <c r="AB107" s="83">
        <f t="shared" ref="AB107:AB113" si="104">N118*$S107</f>
        <v>1189.7131891220522</v>
      </c>
      <c r="AC107" s="99">
        <f>O82*$C$38</f>
        <v>1535.8907097617127</v>
      </c>
      <c r="AD107" s="85">
        <f>P118*$S107</f>
        <v>1345.8273062101202</v>
      </c>
    </row>
    <row r="108" spans="5:30" ht="14.25" customHeight="1">
      <c r="E108" s="91" t="s">
        <v>91</v>
      </c>
      <c r="F108" s="92">
        <f t="shared" ref="F108:P108" si="105">F72-T72</f>
        <v>604890.05999999994</v>
      </c>
      <c r="G108" s="92">
        <f t="shared" si="105"/>
        <v>636707.27715600003</v>
      </c>
      <c r="H108" s="92">
        <f t="shared" si="105"/>
        <v>670198.07993440563</v>
      </c>
      <c r="I108" s="92">
        <f t="shared" si="105"/>
        <v>705450.49893895537</v>
      </c>
      <c r="J108" s="92">
        <f t="shared" si="105"/>
        <v>742557.19518314442</v>
      </c>
      <c r="K108" s="92">
        <f t="shared" si="105"/>
        <v>781615.70364977769</v>
      </c>
      <c r="L108" s="92">
        <f t="shared" si="105"/>
        <v>822728.68966175604</v>
      </c>
      <c r="M108" s="92">
        <f t="shared" si="105"/>
        <v>866004.2187379644</v>
      </c>
      <c r="N108" s="92">
        <f t="shared" si="105"/>
        <v>911556.04064358142</v>
      </c>
      <c r="O108" s="93">
        <f t="shared" si="105"/>
        <v>959503.88838143367</v>
      </c>
      <c r="P108" s="94">
        <f t="shared" si="105"/>
        <v>1009973.7929102973</v>
      </c>
      <c r="R108" s="77" t="s">
        <v>102</v>
      </c>
      <c r="S108" s="112">
        <f t="shared" si="79"/>
        <v>4.4299999999999999E-3</v>
      </c>
      <c r="T108" s="83">
        <f t="shared" si="80"/>
        <v>731.35011759999998</v>
      </c>
      <c r="U108" s="83">
        <f t="shared" si="83"/>
        <v>774.20723449135994</v>
      </c>
      <c r="V108" s="83">
        <f t="shared" si="86"/>
        <v>819.57577843255353</v>
      </c>
      <c r="W108" s="83">
        <f t="shared" si="89"/>
        <v>867.60291904870121</v>
      </c>
      <c r="X108" s="83">
        <f t="shared" si="92"/>
        <v>918.44445010495508</v>
      </c>
      <c r="Y108" s="83">
        <f t="shared" si="95"/>
        <v>972.26529488110543</v>
      </c>
      <c r="Z108" s="83">
        <f t="shared" si="98"/>
        <v>1029.2400411611384</v>
      </c>
      <c r="AA108" s="83">
        <f t="shared" si="101"/>
        <v>1089.5535075731809</v>
      </c>
      <c r="AB108" s="83">
        <f t="shared" si="104"/>
        <v>1153.4013431169692</v>
      </c>
      <c r="AC108" s="84">
        <f t="shared" ref="AC108:AC113" si="106">O119*$S108</f>
        <v>1220.9906618236237</v>
      </c>
      <c r="AD108" s="100">
        <f>P83*$C$38</f>
        <v>1557.2779694054072</v>
      </c>
    </row>
    <row r="109" spans="5:30" ht="14.25" customHeight="1">
      <c r="E109" s="65" t="s">
        <v>92</v>
      </c>
      <c r="F109" s="79">
        <f t="shared" ref="F109:P109" si="107">F73-T73</f>
        <v>3079770.66</v>
      </c>
      <c r="G109" s="79">
        <f t="shared" si="107"/>
        <v>3085172.1530559994</v>
      </c>
      <c r="H109" s="79">
        <f t="shared" si="107"/>
        <v>3182462.1692351857</v>
      </c>
      <c r="I109" s="79">
        <f t="shared" si="107"/>
        <v>3414690.5279544513</v>
      </c>
      <c r="J109" s="79">
        <f t="shared" si="107"/>
        <v>3633457.8144421512</v>
      </c>
      <c r="K109" s="79">
        <f t="shared" si="107"/>
        <v>3855737.1458413964</v>
      </c>
      <c r="L109" s="79">
        <f t="shared" si="107"/>
        <v>3995335.1277299388</v>
      </c>
      <c r="M109" s="79">
        <f t="shared" si="107"/>
        <v>4362808.038582745</v>
      </c>
      <c r="N109" s="79">
        <f t="shared" si="107"/>
        <v>4645140.5374944108</v>
      </c>
      <c r="O109" s="80">
        <f t="shared" si="107"/>
        <v>4976966.5898665851</v>
      </c>
      <c r="P109" s="82">
        <f t="shared" si="107"/>
        <v>5309580.827859859</v>
      </c>
      <c r="R109" s="77" t="s">
        <v>103</v>
      </c>
      <c r="S109" s="112">
        <f t="shared" si="79"/>
        <v>4.4299999999999999E-3</v>
      </c>
      <c r="T109" s="83">
        <f t="shared" si="80"/>
        <v>860.18878219999988</v>
      </c>
      <c r="U109" s="83">
        <f t="shared" si="83"/>
        <v>910.59584483691981</v>
      </c>
      <c r="V109" s="83">
        <f t="shared" si="86"/>
        <v>963.95676134436337</v>
      </c>
      <c r="W109" s="83">
        <f t="shared" si="89"/>
        <v>1020.444627559143</v>
      </c>
      <c r="X109" s="83">
        <f t="shared" si="92"/>
        <v>1080.2426827341089</v>
      </c>
      <c r="Y109" s="83">
        <f t="shared" si="95"/>
        <v>1143.5449039423277</v>
      </c>
      <c r="Z109" s="83">
        <f t="shared" si="98"/>
        <v>1210.5566353133481</v>
      </c>
      <c r="AA109" s="83">
        <f t="shared" si="101"/>
        <v>1281.4952541427101</v>
      </c>
      <c r="AB109" s="83">
        <f t="shared" si="104"/>
        <v>1356.5908760354728</v>
      </c>
      <c r="AC109" s="84">
        <f t="shared" si="106"/>
        <v>1436.0871013711514</v>
      </c>
      <c r="AD109" s="85">
        <f t="shared" ref="AD109:AD113" si="108">P120*$S109</f>
        <v>1520.2418055115013</v>
      </c>
    </row>
    <row r="110" spans="5:30" ht="14.25" customHeight="1">
      <c r="E110" s="77" t="s">
        <v>93</v>
      </c>
      <c r="F110" s="83">
        <f t="shared" ref="F110:P110" si="109">F74-T74</f>
        <v>165381.69999999998</v>
      </c>
      <c r="G110" s="98">
        <f t="shared" si="109"/>
        <v>0</v>
      </c>
      <c r="H110" s="83">
        <f t="shared" si="109"/>
        <v>187083.08005873198</v>
      </c>
      <c r="I110" s="83">
        <f t="shared" si="109"/>
        <v>199916.97935076099</v>
      </c>
      <c r="J110" s="83">
        <f t="shared" si="109"/>
        <v>213631.28413422318</v>
      </c>
      <c r="K110" s="83">
        <f t="shared" si="109"/>
        <v>228286.3902258309</v>
      </c>
      <c r="L110" s="83">
        <f t="shared" si="109"/>
        <v>243946.83659532288</v>
      </c>
      <c r="M110" s="83">
        <f t="shared" si="109"/>
        <v>260681.58958576201</v>
      </c>
      <c r="N110" s="83">
        <f t="shared" si="109"/>
        <v>278564.34663134534</v>
      </c>
      <c r="O110" s="84">
        <f t="shared" si="109"/>
        <v>297673.86081025552</v>
      </c>
      <c r="P110" s="85">
        <f t="shared" si="109"/>
        <v>318094.28766183904</v>
      </c>
      <c r="R110" s="77" t="s">
        <v>104</v>
      </c>
      <c r="S110" s="112">
        <f t="shared" si="79"/>
        <v>4.4299999999999999E-3</v>
      </c>
      <c r="T110" s="83">
        <f t="shared" si="80"/>
        <v>1005.7725810000001</v>
      </c>
      <c r="U110" s="83">
        <f t="shared" si="83"/>
        <v>1064.7108542465999</v>
      </c>
      <c r="V110" s="83">
        <f t="shared" si="86"/>
        <v>1127.1029103054507</v>
      </c>
      <c r="W110" s="83">
        <f t="shared" si="89"/>
        <v>1193.1511408493502</v>
      </c>
      <c r="X110" s="83">
        <f t="shared" si="92"/>
        <v>1263.0697977031218</v>
      </c>
      <c r="Y110" s="83">
        <f t="shared" si="95"/>
        <v>1337.0856878485249</v>
      </c>
      <c r="Z110" s="83">
        <f t="shared" si="98"/>
        <v>1415.4389091564483</v>
      </c>
      <c r="AA110" s="83">
        <f t="shared" si="101"/>
        <v>1498.3836292330163</v>
      </c>
      <c r="AB110" s="83">
        <f t="shared" si="104"/>
        <v>1586.1889099060709</v>
      </c>
      <c r="AC110" s="84">
        <f t="shared" si="106"/>
        <v>1679.1395800265668</v>
      </c>
      <c r="AD110" s="85">
        <f t="shared" si="108"/>
        <v>1777.5371594161236</v>
      </c>
    </row>
    <row r="111" spans="5:30" ht="14.25" customHeight="1">
      <c r="E111" s="77" t="s">
        <v>94</v>
      </c>
      <c r="F111" s="83">
        <f t="shared" ref="F111:P111" si="110">F75-T75</f>
        <v>241456.32</v>
      </c>
      <c r="G111" s="83">
        <f t="shared" si="110"/>
        <v>255605.66035199998</v>
      </c>
      <c r="H111" s="98">
        <f t="shared" si="110"/>
        <v>0</v>
      </c>
      <c r="I111" s="83">
        <f t="shared" si="110"/>
        <v>289146.22487916297</v>
      </c>
      <c r="J111" s="83">
        <f t="shared" si="110"/>
        <v>308981.65590587357</v>
      </c>
      <c r="K111" s="83">
        <f t="shared" si="110"/>
        <v>330177.79750101647</v>
      </c>
      <c r="L111" s="83">
        <f t="shared" si="110"/>
        <v>352827.99440958613</v>
      </c>
      <c r="M111" s="83">
        <f t="shared" si="110"/>
        <v>377031.99482608377</v>
      </c>
      <c r="N111" s="83">
        <f t="shared" si="110"/>
        <v>402896.38967115304</v>
      </c>
      <c r="O111" s="84">
        <f t="shared" si="110"/>
        <v>430535.08200259419</v>
      </c>
      <c r="P111" s="85">
        <f t="shared" si="110"/>
        <v>460069.78862797207</v>
      </c>
      <c r="R111" s="77" t="s">
        <v>105</v>
      </c>
      <c r="S111" s="112">
        <f t="shared" si="79"/>
        <v>4.4299999999999999E-3</v>
      </c>
      <c r="T111" s="83">
        <f t="shared" si="80"/>
        <v>946.71049199999993</v>
      </c>
      <c r="U111" s="83">
        <f t="shared" si="83"/>
        <v>1002.1877268311998</v>
      </c>
      <c r="V111" s="83">
        <f t="shared" si="86"/>
        <v>1060.9159276235082</v>
      </c>
      <c r="W111" s="83">
        <f t="shared" si="89"/>
        <v>1123.0856009822458</v>
      </c>
      <c r="X111" s="83">
        <f t="shared" si="92"/>
        <v>1188.8984171998054</v>
      </c>
      <c r="Y111" s="83">
        <f t="shared" si="95"/>
        <v>1258.5678644477141</v>
      </c>
      <c r="Z111" s="83">
        <f t="shared" si="98"/>
        <v>1332.3199413043499</v>
      </c>
      <c r="AA111" s="83">
        <f t="shared" si="101"/>
        <v>1410.393889864785</v>
      </c>
      <c r="AB111" s="83">
        <f t="shared" si="104"/>
        <v>1493.0429718108612</v>
      </c>
      <c r="AC111" s="84">
        <f t="shared" si="106"/>
        <v>1580.5352899589775</v>
      </c>
      <c r="AD111" s="85">
        <f t="shared" si="108"/>
        <v>1673.1546579505739</v>
      </c>
    </row>
    <row r="112" spans="5:30" ht="14.25" customHeight="1">
      <c r="E112" s="77" t="s">
        <v>95</v>
      </c>
      <c r="F112" s="83">
        <f t="shared" ref="F112:P112" si="111">F76-T76</f>
        <v>206760.8</v>
      </c>
      <c r="G112" s="83">
        <f t="shared" si="111"/>
        <v>218876.98288</v>
      </c>
      <c r="H112" s="83">
        <f t="shared" si="111"/>
        <v>231703.17407676799</v>
      </c>
      <c r="I112" s="98">
        <f t="shared" si="111"/>
        <v>0</v>
      </c>
      <c r="J112" s="83">
        <f t="shared" si="111"/>
        <v>262107.25531099457</v>
      </c>
      <c r="K112" s="83">
        <f t="shared" si="111"/>
        <v>280087.8130253288</v>
      </c>
      <c r="L112" s="83">
        <f t="shared" si="111"/>
        <v>299301.83699886629</v>
      </c>
      <c r="M112" s="83">
        <f t="shared" si="111"/>
        <v>319833.94301698846</v>
      </c>
      <c r="N112" s="83">
        <f t="shared" si="111"/>
        <v>341774.5515079539</v>
      </c>
      <c r="O112" s="84">
        <f t="shared" si="111"/>
        <v>365220.28574139951</v>
      </c>
      <c r="P112" s="85">
        <f t="shared" si="111"/>
        <v>390274.39734325954</v>
      </c>
      <c r="R112" s="77" t="s">
        <v>106</v>
      </c>
      <c r="S112" s="112">
        <f t="shared" si="79"/>
        <v>4.4299999999999999E-3</v>
      </c>
      <c r="T112" s="83">
        <f t="shared" si="80"/>
        <v>764.29726799999992</v>
      </c>
      <c r="U112" s="83">
        <f t="shared" si="83"/>
        <v>809.08508790479993</v>
      </c>
      <c r="V112" s="83">
        <f t="shared" si="86"/>
        <v>856.49747405602113</v>
      </c>
      <c r="W112" s="83">
        <f t="shared" si="89"/>
        <v>906.68822603570413</v>
      </c>
      <c r="X112" s="83">
        <f t="shared" si="92"/>
        <v>959.82015608139625</v>
      </c>
      <c r="Y112" s="83">
        <f t="shared" si="95"/>
        <v>1016.065617227766</v>
      </c>
      <c r="Z112" s="83">
        <f t="shared" si="98"/>
        <v>1075.6070623973133</v>
      </c>
      <c r="AA112" s="83">
        <f t="shared" si="101"/>
        <v>1138.6376362537956</v>
      </c>
      <c r="AB112" s="83">
        <f t="shared" si="104"/>
        <v>1205.361801738268</v>
      </c>
      <c r="AC112" s="84">
        <f t="shared" si="106"/>
        <v>1275.9960033201307</v>
      </c>
      <c r="AD112" s="85">
        <f t="shared" si="108"/>
        <v>1350.7693691146901</v>
      </c>
    </row>
    <row r="113" spans="5:30" ht="14.25" customHeight="1">
      <c r="E113" s="77" t="s">
        <v>96</v>
      </c>
      <c r="F113" s="83">
        <f t="shared" ref="F113:P113" si="112">F77-T77</f>
        <v>197744.4</v>
      </c>
      <c r="G113" s="83">
        <f t="shared" si="112"/>
        <v>209332.22183999998</v>
      </c>
      <c r="H113" s="83">
        <f t="shared" si="112"/>
        <v>221599.09003982396</v>
      </c>
      <c r="I113" s="83">
        <f t="shared" si="112"/>
        <v>234584.79671615767</v>
      </c>
      <c r="J113" s="98">
        <f t="shared" si="112"/>
        <v>0</v>
      </c>
      <c r="K113" s="83">
        <f t="shared" si="112"/>
        <v>265367.00435786002</v>
      </c>
      <c r="L113" s="83">
        <f t="shared" si="112"/>
        <v>283571.18085680914</v>
      </c>
      <c r="M113" s="83">
        <f t="shared" si="112"/>
        <v>303024.16386358626</v>
      </c>
      <c r="N113" s="83">
        <f t="shared" si="112"/>
        <v>323811.62150462827</v>
      </c>
      <c r="O113" s="84">
        <f t="shared" si="112"/>
        <v>346025.09873984579</v>
      </c>
      <c r="P113" s="85">
        <f t="shared" si="112"/>
        <v>369762.42051339918</v>
      </c>
      <c r="R113" s="77" t="s">
        <v>107</v>
      </c>
      <c r="S113" s="112">
        <f t="shared" si="79"/>
        <v>4.4299999999999999E-3</v>
      </c>
      <c r="T113" s="83">
        <f t="shared" si="80"/>
        <v>1220.0177471999998</v>
      </c>
      <c r="U113" s="83">
        <f t="shared" si="83"/>
        <v>1291.5107871859198</v>
      </c>
      <c r="V113" s="83">
        <f t="shared" si="86"/>
        <v>1367.1933193150148</v>
      </c>
      <c r="W113" s="83">
        <f t="shared" si="89"/>
        <v>1447.3108478268746</v>
      </c>
      <c r="X113" s="83">
        <f t="shared" si="92"/>
        <v>1532.1232635095294</v>
      </c>
      <c r="Y113" s="83">
        <f t="shared" si="95"/>
        <v>1621.9056867511879</v>
      </c>
      <c r="Z113" s="83">
        <f t="shared" si="98"/>
        <v>1716.9493599948075</v>
      </c>
      <c r="AA113" s="83">
        <f t="shared" si="101"/>
        <v>1817.562592490503</v>
      </c>
      <c r="AB113" s="83">
        <f t="shared" si="104"/>
        <v>1924.0717604104466</v>
      </c>
      <c r="AC113" s="121">
        <f t="shared" si="106"/>
        <v>2036.8223655704987</v>
      </c>
      <c r="AD113" s="122">
        <f t="shared" si="108"/>
        <v>2156.1801561929301</v>
      </c>
    </row>
    <row r="114" spans="5:30" ht="14.25" customHeight="1">
      <c r="E114" s="77" t="s">
        <v>97</v>
      </c>
      <c r="F114" s="83">
        <f t="shared" ref="F114:P114" si="113">F78-T78</f>
        <v>198475.40999999997</v>
      </c>
      <c r="G114" s="83">
        <f t="shared" si="113"/>
        <v>210106.06902599998</v>
      </c>
      <c r="H114" s="83">
        <f t="shared" si="113"/>
        <v>222418.28467092355</v>
      </c>
      <c r="I114" s="83">
        <f t="shared" si="113"/>
        <v>235451.99615263968</v>
      </c>
      <c r="J114" s="83">
        <f t="shared" si="113"/>
        <v>249249.48312718436</v>
      </c>
      <c r="K114" s="98">
        <f t="shared" si="113"/>
        <v>0</v>
      </c>
      <c r="L114" s="83">
        <f t="shared" si="113"/>
        <v>281955.99033315416</v>
      </c>
      <c r="M114" s="83">
        <f t="shared" si="113"/>
        <v>301298.17127000849</v>
      </c>
      <c r="N114" s="83">
        <f t="shared" si="113"/>
        <v>321967.22581913113</v>
      </c>
      <c r="O114" s="84">
        <f t="shared" si="113"/>
        <v>344054.17751032347</v>
      </c>
      <c r="P114" s="85">
        <f t="shared" si="113"/>
        <v>367656.29408753163</v>
      </c>
      <c r="R114" s="103" t="s">
        <v>163</v>
      </c>
      <c r="S114" s="107"/>
      <c r="T114" s="104">
        <f t="shared" ref="T114:AD114" si="114">SUM(T95:T98)</f>
        <v>21512.496508600001</v>
      </c>
      <c r="U114" s="104">
        <f t="shared" si="114"/>
        <v>22900.283043590556</v>
      </c>
      <c r="V114" s="104">
        <f t="shared" si="114"/>
        <v>24252.728104784925</v>
      </c>
      <c r="W114" s="104">
        <f t="shared" si="114"/>
        <v>25596.508733006012</v>
      </c>
      <c r="X114" s="104">
        <f t="shared" si="114"/>
        <v>27085.280053794078</v>
      </c>
      <c r="Y114" s="104">
        <f t="shared" si="114"/>
        <v>28682.906452628431</v>
      </c>
      <c r="Z114" s="104">
        <f t="shared" si="114"/>
        <v>30411.726383335339</v>
      </c>
      <c r="AA114" s="104">
        <f t="shared" si="114"/>
        <v>32144.692580095347</v>
      </c>
      <c r="AB114" s="104">
        <f t="shared" si="114"/>
        <v>34062.993772927977</v>
      </c>
      <c r="AC114" s="105">
        <f t="shared" si="114"/>
        <v>36123.158246605097</v>
      </c>
      <c r="AD114" s="106">
        <f t="shared" si="114"/>
        <v>38284.413411029258</v>
      </c>
    </row>
    <row r="115" spans="5:30" ht="14.25" customHeight="1">
      <c r="E115" s="77" t="s">
        <v>98</v>
      </c>
      <c r="F115" s="83">
        <f t="shared" ref="F115:P115" si="115">F79-T79</f>
        <v>269551.15000000002</v>
      </c>
      <c r="G115" s="83">
        <f t="shared" si="115"/>
        <v>285346.84738999995</v>
      </c>
      <c r="H115" s="83">
        <f t="shared" si="115"/>
        <v>302068.17264705396</v>
      </c>
      <c r="I115" s="83">
        <f t="shared" si="115"/>
        <v>319769.36756417138</v>
      </c>
      <c r="J115" s="83">
        <f t="shared" si="115"/>
        <v>338507.85250343179</v>
      </c>
      <c r="K115" s="83">
        <f t="shared" si="115"/>
        <v>358344.41266013286</v>
      </c>
      <c r="L115" s="98">
        <f t="shared" si="115"/>
        <v>0</v>
      </c>
      <c r="M115" s="83">
        <f t="shared" si="115"/>
        <v>405366.35215561901</v>
      </c>
      <c r="N115" s="83">
        <f t="shared" si="115"/>
        <v>433174.48391349439</v>
      </c>
      <c r="O115" s="84">
        <f t="shared" si="115"/>
        <v>462890.25350996014</v>
      </c>
      <c r="P115" s="85">
        <f t="shared" si="115"/>
        <v>494644.52490074333</v>
      </c>
      <c r="S115" s="41"/>
    </row>
    <row r="116" spans="5:30" ht="14.25" customHeight="1">
      <c r="E116" s="77" t="s">
        <v>99</v>
      </c>
      <c r="F116" s="83">
        <f t="shared" ref="F116:P116" si="116">F80-T80</f>
        <v>192401.16</v>
      </c>
      <c r="G116" s="83">
        <f t="shared" si="116"/>
        <v>203675.86797600001</v>
      </c>
      <c r="H116" s="83">
        <f t="shared" si="116"/>
        <v>215611.27383939357</v>
      </c>
      <c r="I116" s="83">
        <f t="shared" si="116"/>
        <v>228246.09448638206</v>
      </c>
      <c r="J116" s="83">
        <f t="shared" si="116"/>
        <v>241621.31562328403</v>
      </c>
      <c r="K116" s="83">
        <f t="shared" si="116"/>
        <v>255780.32471880846</v>
      </c>
      <c r="L116" s="83">
        <f t="shared" si="116"/>
        <v>270769.05174733064</v>
      </c>
      <c r="M116" s="98">
        <f t="shared" si="116"/>
        <v>0</v>
      </c>
      <c r="N116" s="83">
        <f t="shared" si="116"/>
        <v>306299.3558868533</v>
      </c>
      <c r="O116" s="84">
        <f t="shared" si="116"/>
        <v>327311.4917006914</v>
      </c>
      <c r="P116" s="85">
        <f t="shared" si="116"/>
        <v>349765.06003135885</v>
      </c>
      <c r="R116" s="61" t="s">
        <v>164</v>
      </c>
      <c r="S116" s="64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5:30" ht="14.25" customHeight="1">
      <c r="E117" s="77" t="s">
        <v>100</v>
      </c>
      <c r="F117" s="83">
        <f t="shared" ref="F117:P117" si="117">F81-T81</f>
        <v>189780.36</v>
      </c>
      <c r="G117" s="83">
        <f t="shared" si="117"/>
        <v>200901.489096</v>
      </c>
      <c r="H117" s="83">
        <f t="shared" si="117"/>
        <v>212674.31635702559</v>
      </c>
      <c r="I117" s="83">
        <f t="shared" si="117"/>
        <v>225137.03129554726</v>
      </c>
      <c r="J117" s="83">
        <f t="shared" si="117"/>
        <v>238330.06132946632</v>
      </c>
      <c r="K117" s="83">
        <f t="shared" si="117"/>
        <v>252296.20292337309</v>
      </c>
      <c r="L117" s="83">
        <f t="shared" si="117"/>
        <v>267080.76041468274</v>
      </c>
      <c r="M117" s="83">
        <f t="shared" si="117"/>
        <v>282731.69297498313</v>
      </c>
      <c r="N117" s="98">
        <f t="shared" si="117"/>
        <v>0</v>
      </c>
      <c r="O117" s="84">
        <f t="shared" si="117"/>
        <v>319831.73441789264</v>
      </c>
      <c r="P117" s="85">
        <f t="shared" si="117"/>
        <v>341772.19139896007</v>
      </c>
      <c r="R117" s="67" t="s">
        <v>155</v>
      </c>
      <c r="S117" s="67"/>
      <c r="T117" s="67">
        <v>1</v>
      </c>
      <c r="U117" s="67">
        <v>2</v>
      </c>
      <c r="V117" s="67">
        <v>3</v>
      </c>
      <c r="W117" s="67">
        <v>4</v>
      </c>
      <c r="X117" s="67">
        <v>5</v>
      </c>
      <c r="Y117" s="67">
        <v>6</v>
      </c>
      <c r="Z117" s="67">
        <v>7</v>
      </c>
      <c r="AA117" s="67">
        <v>8</v>
      </c>
      <c r="AB117" s="67">
        <v>9</v>
      </c>
      <c r="AC117" s="123">
        <v>10</v>
      </c>
      <c r="AD117" s="124">
        <v>11</v>
      </c>
    </row>
    <row r="118" spans="5:30" ht="14.25" customHeight="1">
      <c r="E118" s="77" t="s">
        <v>101</v>
      </c>
      <c r="F118" s="83">
        <f t="shared" ref="F118:P118" si="118">F82-T82</f>
        <v>170287.75999999998</v>
      </c>
      <c r="G118" s="83">
        <f t="shared" si="118"/>
        <v>180266.62273599999</v>
      </c>
      <c r="H118" s="83">
        <f t="shared" si="118"/>
        <v>190830.24682832957</v>
      </c>
      <c r="I118" s="83">
        <f t="shared" si="118"/>
        <v>202012.89929246972</v>
      </c>
      <c r="J118" s="83">
        <f t="shared" si="118"/>
        <v>213850.85519100842</v>
      </c>
      <c r="K118" s="83">
        <f t="shared" si="118"/>
        <v>226382.51530520152</v>
      </c>
      <c r="L118" s="83">
        <f t="shared" si="118"/>
        <v>239648.53070208631</v>
      </c>
      <c r="M118" s="83">
        <f t="shared" si="118"/>
        <v>253691.9346012286</v>
      </c>
      <c r="N118" s="83">
        <f t="shared" si="118"/>
        <v>268558.28196886054</v>
      </c>
      <c r="O118" s="99">
        <f t="shared" si="118"/>
        <v>0</v>
      </c>
      <c r="P118" s="85">
        <f t="shared" si="118"/>
        <v>303798.48898648313</v>
      </c>
      <c r="R118" s="65" t="s">
        <v>153</v>
      </c>
      <c r="S118" s="108" t="s">
        <v>165</v>
      </c>
      <c r="T118" s="109" t="s">
        <v>156</v>
      </c>
      <c r="U118" s="109"/>
      <c r="V118" s="109"/>
      <c r="W118" s="109"/>
      <c r="X118" s="109"/>
      <c r="Y118" s="109"/>
      <c r="Z118" s="109"/>
      <c r="AA118" s="109"/>
      <c r="AB118" s="109"/>
      <c r="AC118" s="125"/>
      <c r="AD118" s="126"/>
    </row>
    <row r="119" spans="5:30" ht="14.25" customHeight="1">
      <c r="E119" s="77" t="s">
        <v>102</v>
      </c>
      <c r="F119" s="83">
        <f t="shared" ref="F119:P119" si="119">F83-T83</f>
        <v>165090.32</v>
      </c>
      <c r="G119" s="83">
        <f t="shared" si="119"/>
        <v>174764.61275199999</v>
      </c>
      <c r="H119" s="83">
        <f t="shared" si="119"/>
        <v>185005.81905926717</v>
      </c>
      <c r="I119" s="83">
        <f t="shared" si="119"/>
        <v>195847.16005614024</v>
      </c>
      <c r="J119" s="83">
        <f t="shared" si="119"/>
        <v>207323.80363543006</v>
      </c>
      <c r="K119" s="83">
        <f t="shared" si="119"/>
        <v>219472.97852846625</v>
      </c>
      <c r="L119" s="83">
        <f t="shared" si="119"/>
        <v>232334.09507023438</v>
      </c>
      <c r="M119" s="83">
        <f t="shared" si="119"/>
        <v>245948.8730413501</v>
      </c>
      <c r="N119" s="83">
        <f t="shared" si="119"/>
        <v>260361.47700157319</v>
      </c>
      <c r="O119" s="84">
        <f t="shared" si="119"/>
        <v>275618.65955386538</v>
      </c>
      <c r="P119" s="100">
        <f t="shared" si="119"/>
        <v>0</v>
      </c>
      <c r="R119" s="103" t="s">
        <v>166</v>
      </c>
      <c r="S119" s="127">
        <f>C7*C42</f>
        <v>20246593.130107488</v>
      </c>
      <c r="T119" s="104">
        <f t="shared" ref="T119:AD119" si="120">$S$119*$C$39</f>
        <v>27940.298519548334</v>
      </c>
      <c r="U119" s="104">
        <f t="shared" si="120"/>
        <v>27940.298519548334</v>
      </c>
      <c r="V119" s="104">
        <f t="shared" si="120"/>
        <v>27940.298519548334</v>
      </c>
      <c r="W119" s="104">
        <f t="shared" si="120"/>
        <v>27940.298519548334</v>
      </c>
      <c r="X119" s="104">
        <f t="shared" si="120"/>
        <v>27940.298519548334</v>
      </c>
      <c r="Y119" s="104">
        <f t="shared" si="120"/>
        <v>27940.298519548334</v>
      </c>
      <c r="Z119" s="104">
        <f t="shared" si="120"/>
        <v>27940.298519548334</v>
      </c>
      <c r="AA119" s="104">
        <f t="shared" si="120"/>
        <v>27940.298519548334</v>
      </c>
      <c r="AB119" s="104">
        <f t="shared" si="120"/>
        <v>27940.298519548334</v>
      </c>
      <c r="AC119" s="104">
        <f t="shared" si="120"/>
        <v>27940.298519548334</v>
      </c>
      <c r="AD119" s="104">
        <f t="shared" si="120"/>
        <v>27940.298519548334</v>
      </c>
    </row>
    <row r="120" spans="5:30" ht="14.25" customHeight="1">
      <c r="E120" s="77" t="s">
        <v>103</v>
      </c>
      <c r="F120" s="83">
        <f t="shared" ref="F120:P120" si="121">F84-T84</f>
        <v>194173.53999999998</v>
      </c>
      <c r="G120" s="83">
        <f t="shared" si="121"/>
        <v>205552.10944399997</v>
      </c>
      <c r="H120" s="83">
        <f t="shared" si="121"/>
        <v>217597.46305741838</v>
      </c>
      <c r="I120" s="83">
        <f t="shared" si="121"/>
        <v>230348.67439258308</v>
      </c>
      <c r="J120" s="83">
        <f t="shared" si="121"/>
        <v>243847.10671198845</v>
      </c>
      <c r="K120" s="83">
        <f t="shared" si="121"/>
        <v>258136.547165311</v>
      </c>
      <c r="L120" s="83">
        <f t="shared" si="121"/>
        <v>273263.34882919822</v>
      </c>
      <c r="M120" s="83">
        <f t="shared" si="121"/>
        <v>289276.58107058919</v>
      </c>
      <c r="N120" s="83">
        <f t="shared" si="121"/>
        <v>306228.18872132571</v>
      </c>
      <c r="O120" s="84">
        <f t="shared" si="121"/>
        <v>324173.16058039537</v>
      </c>
      <c r="P120" s="85">
        <f t="shared" si="121"/>
        <v>343169.7077904066</v>
      </c>
      <c r="S120" s="41"/>
    </row>
    <row r="121" spans="5:30" ht="14.25" customHeight="1">
      <c r="E121" s="77" t="s">
        <v>104</v>
      </c>
      <c r="F121" s="83">
        <f t="shared" ref="F121:P121" si="122">F85-T85</f>
        <v>227036.7</v>
      </c>
      <c r="G121" s="83">
        <f t="shared" si="122"/>
        <v>240341.05061999997</v>
      </c>
      <c r="H121" s="83">
        <f t="shared" si="122"/>
        <v>254425.036186332</v>
      </c>
      <c r="I121" s="83">
        <f t="shared" si="122"/>
        <v>269334.34330685105</v>
      </c>
      <c r="J121" s="83">
        <f t="shared" si="122"/>
        <v>285117.33582463249</v>
      </c>
      <c r="K121" s="83">
        <f t="shared" si="122"/>
        <v>301825.21170395595</v>
      </c>
      <c r="L121" s="83">
        <f t="shared" si="122"/>
        <v>319512.16910980776</v>
      </c>
      <c r="M121" s="83">
        <f t="shared" si="122"/>
        <v>338235.58221964253</v>
      </c>
      <c r="N121" s="83">
        <f t="shared" si="122"/>
        <v>358056.18733771355</v>
      </c>
      <c r="O121" s="84">
        <f t="shared" si="122"/>
        <v>379038.27991570358</v>
      </c>
      <c r="P121" s="85">
        <f t="shared" si="122"/>
        <v>401249.92311876378</v>
      </c>
      <c r="S121" s="41"/>
    </row>
    <row r="122" spans="5:30" ht="14.25" customHeight="1">
      <c r="E122" s="77" t="s">
        <v>105</v>
      </c>
      <c r="F122" s="83">
        <f t="shared" ref="F122:P122" si="123">F86-T86</f>
        <v>213704.4</v>
      </c>
      <c r="G122" s="83">
        <f t="shared" si="123"/>
        <v>226227.47783999998</v>
      </c>
      <c r="H122" s="83">
        <f t="shared" si="123"/>
        <v>239484.40804142397</v>
      </c>
      <c r="I122" s="83">
        <f t="shared" si="123"/>
        <v>253518.19435265142</v>
      </c>
      <c r="J122" s="83">
        <f t="shared" si="123"/>
        <v>268374.3605417168</v>
      </c>
      <c r="K122" s="83">
        <f t="shared" si="123"/>
        <v>284101.09806946141</v>
      </c>
      <c r="L122" s="83">
        <f t="shared" si="123"/>
        <v>300749.42241633183</v>
      </c>
      <c r="M122" s="83">
        <f t="shared" si="123"/>
        <v>318373.33856992889</v>
      </c>
      <c r="N122" s="83">
        <f t="shared" si="123"/>
        <v>337030.01621012669</v>
      </c>
      <c r="O122" s="84">
        <f t="shared" si="123"/>
        <v>356779.97516004008</v>
      </c>
      <c r="P122" s="85">
        <f t="shared" si="123"/>
        <v>377687.28170441848</v>
      </c>
      <c r="S122" s="41"/>
    </row>
    <row r="123" spans="5:30" ht="14.25" customHeight="1">
      <c r="E123" s="77" t="s">
        <v>106</v>
      </c>
      <c r="F123" s="83">
        <f t="shared" ref="F123:P123" si="124">F87-T87</f>
        <v>172527.59999999998</v>
      </c>
      <c r="G123" s="83">
        <f t="shared" si="124"/>
        <v>182637.71735999998</v>
      </c>
      <c r="H123" s="83">
        <f t="shared" si="124"/>
        <v>193340.28759729597</v>
      </c>
      <c r="I123" s="83">
        <f t="shared" si="124"/>
        <v>204670.02845049754</v>
      </c>
      <c r="J123" s="83">
        <f t="shared" si="124"/>
        <v>216663.69211769669</v>
      </c>
      <c r="K123" s="83">
        <f t="shared" si="124"/>
        <v>229360.18447579368</v>
      </c>
      <c r="L123" s="83">
        <f t="shared" si="124"/>
        <v>242800.69128607522</v>
      </c>
      <c r="M123" s="83">
        <f t="shared" si="124"/>
        <v>257028.81179543919</v>
      </c>
      <c r="N123" s="83">
        <f t="shared" si="124"/>
        <v>272090.70016665192</v>
      </c>
      <c r="O123" s="84">
        <f t="shared" si="124"/>
        <v>288035.21519641776</v>
      </c>
      <c r="P123" s="85">
        <f t="shared" si="124"/>
        <v>304914.07880692778</v>
      </c>
      <c r="S123" s="41"/>
    </row>
    <row r="124" spans="5:30" ht="14.25" customHeight="1">
      <c r="E124" s="77" t="s">
        <v>107</v>
      </c>
      <c r="F124" s="83">
        <f t="shared" ref="F124:P124" si="125">F88-T88</f>
        <v>275399.03999999998</v>
      </c>
      <c r="G124" s="83">
        <f t="shared" si="125"/>
        <v>291537.42374399997</v>
      </c>
      <c r="H124" s="83">
        <f t="shared" si="125"/>
        <v>308621.5167753984</v>
      </c>
      <c r="I124" s="83">
        <f t="shared" si="125"/>
        <v>326706.7376584367</v>
      </c>
      <c r="J124" s="83">
        <f t="shared" si="125"/>
        <v>345851.75248522108</v>
      </c>
      <c r="K124" s="83">
        <f t="shared" si="125"/>
        <v>366118.66518085508</v>
      </c>
      <c r="L124" s="83">
        <f t="shared" si="125"/>
        <v>387573.21896045317</v>
      </c>
      <c r="M124" s="83">
        <f t="shared" si="125"/>
        <v>410285.00959153567</v>
      </c>
      <c r="N124" s="83">
        <f t="shared" si="125"/>
        <v>434327.71115359967</v>
      </c>
      <c r="O124" s="84">
        <f t="shared" si="125"/>
        <v>459779.31502720062</v>
      </c>
      <c r="P124" s="85">
        <f t="shared" si="125"/>
        <v>486722.38288779458</v>
      </c>
      <c r="S124" s="41"/>
    </row>
    <row r="125" spans="5:30" ht="14.25" customHeight="1">
      <c r="E125" s="103" t="s">
        <v>158</v>
      </c>
      <c r="F125" s="104">
        <f t="shared" ref="F125:P125" si="126">SUM(F95,F107:F109)</f>
        <v>4856094.0199999996</v>
      </c>
      <c r="G125" s="104">
        <f t="shared" si="126"/>
        <v>4955860.377191999</v>
      </c>
      <c r="H125" s="104">
        <f t="shared" si="126"/>
        <v>5152532.4665279789</v>
      </c>
      <c r="I125" s="104">
        <f t="shared" si="126"/>
        <v>5489427.0830729101</v>
      </c>
      <c r="J125" s="104">
        <f t="shared" si="126"/>
        <v>5818426.0055026673</v>
      </c>
      <c r="K125" s="104">
        <f t="shared" si="126"/>
        <v>6156798.5199780595</v>
      </c>
      <c r="L125" s="104">
        <f t="shared" si="126"/>
        <v>6418663.1748540448</v>
      </c>
      <c r="M125" s="104">
        <f t="shared" si="126"/>
        <v>6914904.8059077477</v>
      </c>
      <c r="N125" s="104">
        <f t="shared" si="126"/>
        <v>7332854.1296752132</v>
      </c>
      <c r="O125" s="105">
        <f t="shared" si="126"/>
        <v>7807509.6019962486</v>
      </c>
      <c r="P125" s="106">
        <f t="shared" si="126"/>
        <v>8290549.7610889077</v>
      </c>
      <c r="S125" s="41"/>
    </row>
    <row r="126" spans="5:30" ht="14.25" customHeight="1">
      <c r="S126" s="41"/>
    </row>
    <row r="127" spans="5:30" ht="14.25" customHeight="1">
      <c r="S127" s="41"/>
    </row>
    <row r="128" spans="5:30" ht="39" customHeight="1">
      <c r="E128" s="61" t="s">
        <v>167</v>
      </c>
      <c r="F128" s="62"/>
      <c r="G128" s="63"/>
      <c r="H128" s="63"/>
      <c r="I128" s="63"/>
      <c r="J128" s="63"/>
      <c r="K128" s="63"/>
      <c r="L128" s="63"/>
      <c r="M128" s="63"/>
      <c r="N128" s="63"/>
      <c r="O128" s="63"/>
      <c r="R128" s="61" t="s">
        <v>168</v>
      </c>
      <c r="S128" s="64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5:30" ht="14.25" customHeight="1">
      <c r="E129" s="67" t="s">
        <v>155</v>
      </c>
      <c r="F129" s="67">
        <v>1</v>
      </c>
      <c r="G129" s="67">
        <v>2</v>
      </c>
      <c r="H129" s="67">
        <v>3</v>
      </c>
      <c r="I129" s="67">
        <v>4</v>
      </c>
      <c r="J129" s="67">
        <v>5</v>
      </c>
      <c r="K129" s="67">
        <v>6</v>
      </c>
      <c r="L129" s="67">
        <v>7</v>
      </c>
      <c r="M129" s="67">
        <v>8</v>
      </c>
      <c r="N129" s="67">
        <v>9</v>
      </c>
      <c r="O129" s="67">
        <v>10</v>
      </c>
      <c r="P129" s="67"/>
      <c r="R129" s="128" t="s">
        <v>117</v>
      </c>
      <c r="S129" s="67" t="s">
        <v>169</v>
      </c>
      <c r="T129" s="67">
        <v>1</v>
      </c>
      <c r="U129" s="67">
        <v>2</v>
      </c>
      <c r="V129" s="67">
        <v>3</v>
      </c>
      <c r="W129" s="67">
        <v>4</v>
      </c>
      <c r="X129" s="67">
        <v>5</v>
      </c>
      <c r="Y129" s="67">
        <v>6</v>
      </c>
      <c r="Z129" s="67">
        <v>7</v>
      </c>
      <c r="AA129" s="67">
        <v>8</v>
      </c>
      <c r="AB129" s="67">
        <v>9</v>
      </c>
      <c r="AC129" s="124">
        <v>10</v>
      </c>
    </row>
    <row r="130" spans="5:30" ht="14.25" customHeight="1">
      <c r="E130" s="72" t="s">
        <v>153</v>
      </c>
      <c r="F130" s="73" t="s">
        <v>156</v>
      </c>
      <c r="G130" s="73"/>
      <c r="H130" s="73"/>
      <c r="I130" s="73"/>
      <c r="J130" s="73"/>
      <c r="K130" s="73"/>
      <c r="L130" s="73"/>
      <c r="M130" s="73"/>
      <c r="N130" s="73"/>
      <c r="O130" s="75"/>
      <c r="P130" s="129"/>
      <c r="R130" s="70" t="s">
        <v>12</v>
      </c>
      <c r="S130" s="45">
        <f t="shared" ref="S130:AC130" si="127">$S$119</f>
        <v>20246593.130107488</v>
      </c>
      <c r="T130" s="45">
        <f t="shared" si="127"/>
        <v>20246593.130107488</v>
      </c>
      <c r="U130" s="45">
        <f t="shared" si="127"/>
        <v>20246593.130107488</v>
      </c>
      <c r="V130" s="45">
        <f t="shared" si="127"/>
        <v>20246593.130107488</v>
      </c>
      <c r="W130" s="45">
        <f t="shared" si="127"/>
        <v>20246593.130107488</v>
      </c>
      <c r="X130" s="45">
        <f t="shared" si="127"/>
        <v>20246593.130107488</v>
      </c>
      <c r="Y130" s="45">
        <f t="shared" si="127"/>
        <v>20246593.130107488</v>
      </c>
      <c r="Z130" s="45">
        <f t="shared" si="127"/>
        <v>20246593.130107488</v>
      </c>
      <c r="AA130" s="45">
        <f t="shared" si="127"/>
        <v>20246593.130107488</v>
      </c>
      <c r="AB130" s="45">
        <f t="shared" si="127"/>
        <v>20246593.130107488</v>
      </c>
      <c r="AC130" s="130">
        <f t="shared" si="127"/>
        <v>20246593.130107488</v>
      </c>
    </row>
    <row r="131" spans="5:30" ht="14.25" customHeight="1">
      <c r="E131" s="65" t="s">
        <v>75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119">
        <v>0</v>
      </c>
      <c r="P131" s="131"/>
      <c r="R131" s="70" t="str">
        <f>"   "&amp;B46</f>
        <v xml:space="preserve">   Special building write off (capital allowance) – straight line</v>
      </c>
      <c r="S131" s="41"/>
      <c r="T131" s="45">
        <f t="shared" ref="T131:AC131" si="128">-T130*$C$46</f>
        <v>-506164.82825268724</v>
      </c>
      <c r="U131" s="45">
        <f t="shared" si="128"/>
        <v>-506164.82825268724</v>
      </c>
      <c r="V131" s="45">
        <f t="shared" si="128"/>
        <v>-506164.82825268724</v>
      </c>
      <c r="W131" s="45">
        <f t="shared" si="128"/>
        <v>-506164.82825268724</v>
      </c>
      <c r="X131" s="45">
        <f t="shared" si="128"/>
        <v>-506164.82825268724</v>
      </c>
      <c r="Y131" s="45">
        <f t="shared" si="128"/>
        <v>-506164.82825268724</v>
      </c>
      <c r="Z131" s="45">
        <f t="shared" si="128"/>
        <v>-506164.82825268724</v>
      </c>
      <c r="AA131" s="45">
        <f t="shared" si="128"/>
        <v>-506164.82825268724</v>
      </c>
      <c r="AB131" s="45">
        <f t="shared" si="128"/>
        <v>-506164.82825268724</v>
      </c>
      <c r="AC131" s="130">
        <f t="shared" si="128"/>
        <v>-506164.82825268724</v>
      </c>
    </row>
    <row r="132" spans="5:30" ht="14.25" customHeight="1">
      <c r="E132" s="65" t="s">
        <v>90</v>
      </c>
      <c r="F132" s="79">
        <v>0</v>
      </c>
      <c r="G132" s="79">
        <v>0</v>
      </c>
      <c r="H132" s="79">
        <v>0</v>
      </c>
      <c r="I132" s="79">
        <v>0</v>
      </c>
      <c r="J132" s="79">
        <v>0</v>
      </c>
      <c r="K132" s="79">
        <v>0</v>
      </c>
      <c r="L132" s="79">
        <v>0</v>
      </c>
      <c r="M132" s="79">
        <v>0</v>
      </c>
      <c r="N132" s="79">
        <v>0</v>
      </c>
      <c r="O132" s="82">
        <v>0</v>
      </c>
      <c r="P132" s="131"/>
      <c r="R132" s="70" t="s">
        <v>14</v>
      </c>
      <c r="S132" s="132">
        <f>$C$7*C43</f>
        <v>2573004.5436178264</v>
      </c>
      <c r="T132" s="45">
        <f t="shared" ref="T132:AC132" si="129">S132+T133</f>
        <v>2238513.952947509</v>
      </c>
      <c r="U132" s="45">
        <f t="shared" si="129"/>
        <v>1947507.1390643329</v>
      </c>
      <c r="V132" s="45">
        <f t="shared" si="129"/>
        <v>1694331.2109859698</v>
      </c>
      <c r="W132" s="45">
        <f t="shared" si="129"/>
        <v>1474068.1535577937</v>
      </c>
      <c r="X132" s="45">
        <f t="shared" si="129"/>
        <v>1282439.2935952805</v>
      </c>
      <c r="Y132" s="45">
        <f t="shared" si="129"/>
        <v>1115722.1854278941</v>
      </c>
      <c r="Z132" s="45">
        <f t="shared" si="129"/>
        <v>970678.30132226786</v>
      </c>
      <c r="AA132" s="45">
        <f t="shared" si="129"/>
        <v>844490.12215037306</v>
      </c>
      <c r="AB132" s="45">
        <f t="shared" si="129"/>
        <v>734706.40627082461</v>
      </c>
      <c r="AC132" s="130">
        <f t="shared" si="129"/>
        <v>639194.57345561741</v>
      </c>
    </row>
    <row r="133" spans="5:30" ht="14.25" customHeight="1">
      <c r="E133" s="91" t="s">
        <v>91</v>
      </c>
      <c r="F133" s="79">
        <v>0</v>
      </c>
      <c r="G133" s="79">
        <v>0</v>
      </c>
      <c r="H133" s="79">
        <v>0</v>
      </c>
      <c r="I133" s="79">
        <v>0</v>
      </c>
      <c r="J133" s="79">
        <v>0</v>
      </c>
      <c r="K133" s="79">
        <v>0</v>
      </c>
      <c r="L133" s="79">
        <v>0</v>
      </c>
      <c r="M133" s="79">
        <v>0</v>
      </c>
      <c r="N133" s="79">
        <v>0</v>
      </c>
      <c r="O133" s="82">
        <v>0</v>
      </c>
      <c r="P133" s="131"/>
      <c r="R133" s="70" t="str">
        <f>"   "&amp;"Depreciation of lift"</f>
        <v xml:space="preserve">   Depreciation of lift</v>
      </c>
      <c r="S133" s="41"/>
      <c r="T133" s="45">
        <f t="shared" ref="T133:AC133" si="130">-S132*$C$47</f>
        <v>-334490.59067031747</v>
      </c>
      <c r="U133" s="45">
        <f t="shared" si="130"/>
        <v>-291006.81388317619</v>
      </c>
      <c r="V133" s="45">
        <f t="shared" si="130"/>
        <v>-253175.9280783633</v>
      </c>
      <c r="W133" s="45">
        <f t="shared" si="130"/>
        <v>-220263.05742817608</v>
      </c>
      <c r="X133" s="45">
        <f t="shared" si="130"/>
        <v>-191628.85996251318</v>
      </c>
      <c r="Y133" s="45">
        <f t="shared" si="130"/>
        <v>-166717.10816738647</v>
      </c>
      <c r="Z133" s="45">
        <f t="shared" si="130"/>
        <v>-145043.88410562623</v>
      </c>
      <c r="AA133" s="45">
        <f t="shared" si="130"/>
        <v>-126188.17917189482</v>
      </c>
      <c r="AB133" s="45">
        <f t="shared" si="130"/>
        <v>-109783.7158795485</v>
      </c>
      <c r="AC133" s="130">
        <f t="shared" si="130"/>
        <v>-95511.832815207206</v>
      </c>
    </row>
    <row r="134" spans="5:30" ht="14.25" customHeight="1">
      <c r="E134" s="65" t="s">
        <v>92</v>
      </c>
      <c r="F134" s="79">
        <f t="shared" ref="F134:O134" si="131">SUM(F135:F149)</f>
        <v>0</v>
      </c>
      <c r="G134" s="79">
        <f t="shared" si="131"/>
        <v>140058.454096</v>
      </c>
      <c r="H134" s="79">
        <f t="shared" si="131"/>
        <v>216467.32163890172</v>
      </c>
      <c r="I134" s="79">
        <f t="shared" si="131"/>
        <v>196224.78406213329</v>
      </c>
      <c r="J134" s="79">
        <f t="shared" si="131"/>
        <v>198665.17264297963</v>
      </c>
      <c r="K134" s="79">
        <f t="shared" si="131"/>
        <v>211084.40227074991</v>
      </c>
      <c r="L134" s="79">
        <f t="shared" si="131"/>
        <v>303474.71619361331</v>
      </c>
      <c r="M134" s="79">
        <f t="shared" si="131"/>
        <v>229308.89454377943</v>
      </c>
      <c r="N134" s="79">
        <f t="shared" si="131"/>
        <v>239439.81614665373</v>
      </c>
      <c r="O134" s="82">
        <f t="shared" si="131"/>
        <v>227436.63783378864</v>
      </c>
      <c r="P134" s="131"/>
      <c r="R134" s="70" t="s">
        <v>16</v>
      </c>
      <c r="S134" s="132">
        <f>$C$7*C44</f>
        <v>3121349.7742249044</v>
      </c>
      <c r="T134" s="132">
        <f t="shared" ref="T134:AC134" si="132">S134+T135</f>
        <v>2590720.3126066704</v>
      </c>
      <c r="U134" s="132">
        <f t="shared" si="132"/>
        <v>2150297.8594635362</v>
      </c>
      <c r="V134" s="132">
        <f t="shared" si="132"/>
        <v>1784747.2233547349</v>
      </c>
      <c r="W134" s="132">
        <f t="shared" si="132"/>
        <v>1481340.19538443</v>
      </c>
      <c r="X134" s="132">
        <f t="shared" si="132"/>
        <v>1229512.3621690769</v>
      </c>
      <c r="Y134" s="132">
        <f t="shared" si="132"/>
        <v>1020495.2606003338</v>
      </c>
      <c r="Z134" s="132">
        <f t="shared" si="132"/>
        <v>847011.066298277</v>
      </c>
      <c r="AA134" s="132">
        <f t="shared" si="132"/>
        <v>703019.18502756988</v>
      </c>
      <c r="AB134" s="132">
        <f t="shared" si="132"/>
        <v>583505.92357288301</v>
      </c>
      <c r="AC134" s="133">
        <f t="shared" si="132"/>
        <v>484309.91656549287</v>
      </c>
    </row>
    <row r="135" spans="5:30" ht="14.25" customHeight="1">
      <c r="E135" s="77" t="s">
        <v>93</v>
      </c>
      <c r="F135" s="83">
        <v>0</v>
      </c>
      <c r="G135" s="98">
        <f>$C$52*(G74*$S74)</f>
        <v>140058.454096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5">
        <v>0</v>
      </c>
      <c r="P135" s="120"/>
      <c r="R135" s="70" t="str">
        <f>"   "&amp;"Depreciation of AirCon"</f>
        <v xml:space="preserve">   Depreciation of AirCon</v>
      </c>
      <c r="S135" s="41"/>
      <c r="T135" s="45">
        <f t="shared" ref="T135:AC135" si="133">-S134*$C$48</f>
        <v>-530629.46161823382</v>
      </c>
      <c r="U135" s="45">
        <f t="shared" si="133"/>
        <v>-440422.45314313401</v>
      </c>
      <c r="V135" s="45">
        <f t="shared" si="133"/>
        <v>-365550.63610880118</v>
      </c>
      <c r="W135" s="45">
        <f t="shared" si="133"/>
        <v>-303407.02797030495</v>
      </c>
      <c r="X135" s="45">
        <f t="shared" si="133"/>
        <v>-251827.83321535311</v>
      </c>
      <c r="Y135" s="45">
        <f t="shared" si="133"/>
        <v>-209017.10156874309</v>
      </c>
      <c r="Z135" s="45">
        <f t="shared" si="133"/>
        <v>-173484.19430205677</v>
      </c>
      <c r="AA135" s="45">
        <f t="shared" si="133"/>
        <v>-143991.88127070709</v>
      </c>
      <c r="AB135" s="45">
        <f t="shared" si="133"/>
        <v>-119513.26145468689</v>
      </c>
      <c r="AC135" s="130">
        <f t="shared" si="133"/>
        <v>-99196.007007390115</v>
      </c>
    </row>
    <row r="136" spans="5:30" ht="14.25" customHeight="1">
      <c r="E136" s="77" t="s">
        <v>94</v>
      </c>
      <c r="F136" s="83">
        <v>0</v>
      </c>
      <c r="G136" s="83">
        <v>0</v>
      </c>
      <c r="H136" s="98">
        <f>$C$52*(H75*$S75)</f>
        <v>216467.32163890172</v>
      </c>
      <c r="I136" s="83">
        <v>0</v>
      </c>
      <c r="J136" s="83">
        <v>0</v>
      </c>
      <c r="K136" s="83">
        <v>0</v>
      </c>
      <c r="L136" s="83">
        <v>0</v>
      </c>
      <c r="M136" s="83">
        <v>0</v>
      </c>
      <c r="N136" s="83">
        <v>0</v>
      </c>
      <c r="O136" s="85">
        <v>0</v>
      </c>
      <c r="P136" s="120"/>
      <c r="R136" s="70" t="s">
        <v>18</v>
      </c>
      <c r="S136" s="132">
        <f>$C$7*C45</f>
        <v>2776876.4883307139</v>
      </c>
      <c r="T136" s="45">
        <f t="shared" ref="T136:AC136" si="134">S136+T137</f>
        <v>2515850.0984276268</v>
      </c>
      <c r="U136" s="45">
        <f t="shared" si="134"/>
        <v>2279360.1891754298</v>
      </c>
      <c r="V136" s="45">
        <f t="shared" si="134"/>
        <v>2065100.3313929394</v>
      </c>
      <c r="W136" s="45">
        <f t="shared" si="134"/>
        <v>1870980.9002420031</v>
      </c>
      <c r="X136" s="45">
        <f t="shared" si="134"/>
        <v>1695108.6956192548</v>
      </c>
      <c r="Y136" s="45">
        <f t="shared" si="134"/>
        <v>1535768.478231045</v>
      </c>
      <c r="Z136" s="45">
        <f t="shared" si="134"/>
        <v>1391406.2412773268</v>
      </c>
      <c r="AA136" s="45">
        <f t="shared" si="134"/>
        <v>1260614.0545972581</v>
      </c>
      <c r="AB136" s="45">
        <f t="shared" si="134"/>
        <v>1142116.3334651159</v>
      </c>
      <c r="AC136" s="130">
        <f t="shared" si="134"/>
        <v>1034757.398119395</v>
      </c>
    </row>
    <row r="137" spans="5:30" ht="14.25" customHeight="1">
      <c r="E137" s="77" t="s">
        <v>95</v>
      </c>
      <c r="F137" s="83">
        <v>0</v>
      </c>
      <c r="G137" s="83">
        <v>0</v>
      </c>
      <c r="H137" s="83">
        <v>0</v>
      </c>
      <c r="I137" s="98">
        <f>$C$52*(I76*$S76)</f>
        <v>196224.78406213329</v>
      </c>
      <c r="J137" s="83">
        <v>0</v>
      </c>
      <c r="K137" s="83">
        <v>0</v>
      </c>
      <c r="L137" s="83">
        <v>0</v>
      </c>
      <c r="M137" s="83">
        <v>0</v>
      </c>
      <c r="N137" s="83">
        <v>0</v>
      </c>
      <c r="O137" s="85">
        <v>0</v>
      </c>
      <c r="P137" s="120"/>
      <c r="R137" s="70" t="str">
        <f>"   "&amp;"Depreciation of F&amp;F"</f>
        <v xml:space="preserve">   Depreciation of F&amp;F</v>
      </c>
      <c r="S137" s="41"/>
      <c r="T137" s="45">
        <f t="shared" ref="T137:AC137" si="135">-S136*$C$49</f>
        <v>-261026.38990308711</v>
      </c>
      <c r="U137" s="45">
        <f t="shared" si="135"/>
        <v>-236489.90925219693</v>
      </c>
      <c r="V137" s="45">
        <f t="shared" si="135"/>
        <v>-214259.85778249041</v>
      </c>
      <c r="W137" s="45">
        <f t="shared" si="135"/>
        <v>-194119.43115093632</v>
      </c>
      <c r="X137" s="45">
        <f t="shared" si="135"/>
        <v>-175872.20462274831</v>
      </c>
      <c r="Y137" s="45">
        <f t="shared" si="135"/>
        <v>-159340.21738820995</v>
      </c>
      <c r="Z137" s="45">
        <f t="shared" si="135"/>
        <v>-144362.23695371824</v>
      </c>
      <c r="AA137" s="45">
        <f t="shared" si="135"/>
        <v>-130792.18668006873</v>
      </c>
      <c r="AB137" s="45">
        <f t="shared" si="135"/>
        <v>-118497.72113214227</v>
      </c>
      <c r="AC137" s="130">
        <f t="shared" si="135"/>
        <v>-107358.93534572089</v>
      </c>
    </row>
    <row r="138" spans="5:30" ht="14.25" customHeight="1">
      <c r="E138" s="77" t="s">
        <v>96</v>
      </c>
      <c r="F138" s="83">
        <v>0</v>
      </c>
      <c r="G138" s="83">
        <v>0</v>
      </c>
      <c r="H138" s="83">
        <v>0</v>
      </c>
      <c r="I138" s="83">
        <v>0</v>
      </c>
      <c r="J138" s="98">
        <f>$C$52*(J77*$S77)</f>
        <v>198665.17264297963</v>
      </c>
      <c r="K138" s="83">
        <v>0</v>
      </c>
      <c r="L138" s="83">
        <v>0</v>
      </c>
      <c r="M138" s="83">
        <v>0</v>
      </c>
      <c r="N138" s="83">
        <v>0</v>
      </c>
      <c r="O138" s="85">
        <v>0</v>
      </c>
      <c r="P138" s="120"/>
      <c r="R138" s="134" t="s">
        <v>170</v>
      </c>
      <c r="S138" s="135">
        <f>$C$7-S130-S132-S134-S136</f>
        <v>13462578.418109667</v>
      </c>
      <c r="T138" s="136">
        <f t="shared" ref="T138:AC138" si="136">$S$138*(1+$C$18)^T$129</f>
        <v>14095319.60376082</v>
      </c>
      <c r="U138" s="136">
        <f t="shared" si="136"/>
        <v>14757799.625137577</v>
      </c>
      <c r="V138" s="136">
        <f t="shared" si="136"/>
        <v>15451416.207519041</v>
      </c>
      <c r="W138" s="136">
        <f t="shared" si="136"/>
        <v>16177632.769272435</v>
      </c>
      <c r="X138" s="136">
        <f t="shared" si="136"/>
        <v>16937981.50942824</v>
      </c>
      <c r="Y138" s="136">
        <f t="shared" si="136"/>
        <v>17734066.64037136</v>
      </c>
      <c r="Z138" s="136">
        <f t="shared" si="136"/>
        <v>18567567.772468816</v>
      </c>
      <c r="AA138" s="136">
        <f t="shared" si="136"/>
        <v>19440243.457774848</v>
      </c>
      <c r="AB138" s="136">
        <f t="shared" si="136"/>
        <v>20353934.900290266</v>
      </c>
      <c r="AC138" s="137">
        <f t="shared" si="136"/>
        <v>21310569.840603903</v>
      </c>
    </row>
    <row r="139" spans="5:30" ht="14.25" customHeight="1">
      <c r="E139" s="77" t="s">
        <v>97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98">
        <f>$C$52*(K78*$S78)</f>
        <v>211084.40227074991</v>
      </c>
      <c r="L139" s="83">
        <v>0</v>
      </c>
      <c r="M139" s="83">
        <v>0</v>
      </c>
      <c r="N139" s="83">
        <v>0</v>
      </c>
      <c r="O139" s="85">
        <v>0</v>
      </c>
      <c r="P139" s="120"/>
      <c r="S139" s="41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5:30" ht="14.25" customHeight="1">
      <c r="E140" s="77" t="s">
        <v>98</v>
      </c>
      <c r="F140" s="83">
        <v>0</v>
      </c>
      <c r="G140" s="83">
        <v>0</v>
      </c>
      <c r="H140" s="83">
        <v>0</v>
      </c>
      <c r="I140" s="83">
        <v>0</v>
      </c>
      <c r="J140" s="83">
        <v>0</v>
      </c>
      <c r="K140" s="83">
        <v>0</v>
      </c>
      <c r="L140" s="98">
        <f>$C$52*(L79*$S79)</f>
        <v>303474.71619361331</v>
      </c>
      <c r="M140" s="83">
        <v>0</v>
      </c>
      <c r="N140" s="83">
        <v>0</v>
      </c>
      <c r="O140" s="85">
        <v>0</v>
      </c>
      <c r="P140" s="120"/>
      <c r="S140" s="138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5:30" ht="14.25" customHeight="1">
      <c r="E141" s="77" t="s">
        <v>99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98">
        <f>$C$52*(M80*$S80)</f>
        <v>229308.89454377943</v>
      </c>
      <c r="N141" s="83">
        <v>0</v>
      </c>
      <c r="O141" s="85">
        <v>0</v>
      </c>
      <c r="P141" s="120"/>
      <c r="R141" s="61" t="s">
        <v>171</v>
      </c>
      <c r="S141" s="64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5:30" ht="14.25" customHeight="1">
      <c r="E142" s="77" t="s">
        <v>100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0</v>
      </c>
      <c r="N142" s="98">
        <f>$C$52*(N81*$S81)</f>
        <v>239439.81614665373</v>
      </c>
      <c r="O142" s="85">
        <v>0</v>
      </c>
      <c r="P142" s="120"/>
      <c r="R142" s="67" t="s">
        <v>155</v>
      </c>
      <c r="S142" s="67"/>
      <c r="T142" s="67">
        <v>1</v>
      </c>
      <c r="U142" s="67">
        <v>2</v>
      </c>
      <c r="V142" s="67">
        <v>3</v>
      </c>
      <c r="W142" s="67">
        <v>4</v>
      </c>
      <c r="X142" s="67">
        <v>5</v>
      </c>
      <c r="Y142" s="67">
        <v>6</v>
      </c>
      <c r="Z142" s="67">
        <v>7</v>
      </c>
      <c r="AA142" s="67">
        <v>8</v>
      </c>
      <c r="AB142" s="67">
        <v>9</v>
      </c>
      <c r="AC142" s="68">
        <v>10</v>
      </c>
      <c r="AD142" s="69">
        <v>11</v>
      </c>
    </row>
    <row r="143" spans="5:30" ht="14.25" customHeight="1">
      <c r="E143" s="77" t="s">
        <v>101</v>
      </c>
      <c r="F143" s="83">
        <v>0</v>
      </c>
      <c r="G143" s="83">
        <v>0</v>
      </c>
      <c r="H143" s="83">
        <v>0</v>
      </c>
      <c r="I143" s="83">
        <v>0</v>
      </c>
      <c r="J143" s="83">
        <v>0</v>
      </c>
      <c r="K143" s="83">
        <v>0</v>
      </c>
      <c r="L143" s="83">
        <v>0</v>
      </c>
      <c r="M143" s="83">
        <v>0</v>
      </c>
      <c r="N143" s="83">
        <v>0</v>
      </c>
      <c r="O143" s="98">
        <f>$C$52*(O82*$S82)</f>
        <v>227436.63783378864</v>
      </c>
      <c r="P143" s="120"/>
      <c r="R143" s="65" t="s">
        <v>153</v>
      </c>
      <c r="S143" s="108" t="s">
        <v>162</v>
      </c>
      <c r="T143" s="109" t="s">
        <v>156</v>
      </c>
      <c r="U143" s="109"/>
      <c r="V143" s="109"/>
      <c r="W143" s="109"/>
      <c r="X143" s="109"/>
      <c r="Y143" s="109"/>
      <c r="Z143" s="109"/>
      <c r="AA143" s="109"/>
      <c r="AB143" s="109"/>
      <c r="AC143" s="110"/>
      <c r="AD143" s="111"/>
    </row>
    <row r="144" spans="5:30" ht="14.25" customHeight="1">
      <c r="E144" s="77" t="s">
        <v>102</v>
      </c>
      <c r="F144" s="83">
        <v>0</v>
      </c>
      <c r="G144" s="83">
        <v>0</v>
      </c>
      <c r="H144" s="83">
        <v>0</v>
      </c>
      <c r="I144" s="83">
        <v>0</v>
      </c>
      <c r="J144" s="83">
        <v>0</v>
      </c>
      <c r="K144" s="83">
        <v>0</v>
      </c>
      <c r="L144" s="83">
        <v>0</v>
      </c>
      <c r="M144" s="83">
        <v>0</v>
      </c>
      <c r="N144" s="83">
        <v>0</v>
      </c>
      <c r="O144" s="85">
        <v>0</v>
      </c>
      <c r="P144" s="139"/>
      <c r="R144" s="72" t="s">
        <v>75</v>
      </c>
      <c r="S144" s="112">
        <f t="shared" ref="S144:S146" si="137">C32</f>
        <v>4.7500000000000001E-2</v>
      </c>
      <c r="T144" s="113">
        <f>F$95*$S144</f>
        <v>38868.323749999996</v>
      </c>
      <c r="U144" s="113">
        <f t="shared" ref="U144:AD144" si="138">G95*$S$144</f>
        <v>40990.534226749987</v>
      </c>
      <c r="V144" s="113">
        <f t="shared" si="138"/>
        <v>43228.617395530542</v>
      </c>
      <c r="W144" s="113">
        <f t="shared" si="138"/>
        <v>45588.899905326514</v>
      </c>
      <c r="X144" s="113">
        <f t="shared" si="138"/>
        <v>48078.053840157336</v>
      </c>
      <c r="Y144" s="113">
        <f t="shared" si="138"/>
        <v>50703.11557982993</v>
      </c>
      <c r="Z144" s="113">
        <f t="shared" si="138"/>
        <v>53471.505690488659</v>
      </c>
      <c r="AA144" s="113">
        <f t="shared" si="138"/>
        <v>56391.049901189319</v>
      </c>
      <c r="AB144" s="113">
        <f t="shared" si="138"/>
        <v>59470.001225794258</v>
      </c>
      <c r="AC144" s="114">
        <f t="shared" si="138"/>
        <v>62717.063292722632</v>
      </c>
      <c r="AD144" s="115">
        <f t="shared" si="138"/>
        <v>66141.414948505277</v>
      </c>
    </row>
    <row r="145" spans="5:30" ht="14.25" customHeight="1">
      <c r="E145" s="77" t="s">
        <v>103</v>
      </c>
      <c r="F145" s="83">
        <v>0</v>
      </c>
      <c r="G145" s="83">
        <v>0</v>
      </c>
      <c r="H145" s="83">
        <v>0</v>
      </c>
      <c r="I145" s="83">
        <v>0</v>
      </c>
      <c r="J145" s="83">
        <v>0</v>
      </c>
      <c r="K145" s="83">
        <v>0</v>
      </c>
      <c r="L145" s="83">
        <v>0</v>
      </c>
      <c r="M145" s="83">
        <v>0</v>
      </c>
      <c r="N145" s="83">
        <v>0</v>
      </c>
      <c r="O145" s="85">
        <v>0</v>
      </c>
      <c r="P145" s="120"/>
      <c r="R145" s="65" t="s">
        <v>90</v>
      </c>
      <c r="S145" s="116">
        <f t="shared" si="137"/>
        <v>3.7499999999999999E-2</v>
      </c>
      <c r="T145" s="113">
        <f t="shared" ref="T145:AD145" si="139">F$107*$S145</f>
        <v>13243.23</v>
      </c>
      <c r="U145" s="113">
        <f t="shared" si="139"/>
        <v>13913.337438</v>
      </c>
      <c r="V145" s="113">
        <f t="shared" si="139"/>
        <v>14617.352312362798</v>
      </c>
      <c r="W145" s="113">
        <f t="shared" si="139"/>
        <v>15356.990339368353</v>
      </c>
      <c r="X145" s="113">
        <f t="shared" si="139"/>
        <v>16134.054050540391</v>
      </c>
      <c r="Y145" s="113">
        <f t="shared" si="139"/>
        <v>16950.437185497733</v>
      </c>
      <c r="Z145" s="113">
        <f t="shared" si="139"/>
        <v>17808.129307083917</v>
      </c>
      <c r="AA145" s="113">
        <f t="shared" si="139"/>
        <v>18709.220650022362</v>
      </c>
      <c r="AB145" s="113">
        <f t="shared" si="139"/>
        <v>19655.907214913495</v>
      </c>
      <c r="AC145" s="93">
        <f t="shared" si="139"/>
        <v>20650.496119988122</v>
      </c>
      <c r="AD145" s="94">
        <f t="shared" si="139"/>
        <v>21695.411223659517</v>
      </c>
    </row>
    <row r="146" spans="5:30" ht="14.25" customHeight="1">
      <c r="E146" s="77" t="s">
        <v>104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5">
        <v>0</v>
      </c>
      <c r="P146" s="120"/>
      <c r="R146" s="91" t="s">
        <v>91</v>
      </c>
      <c r="S146" s="117">
        <f t="shared" si="137"/>
        <v>3.1399999999999997E-2</v>
      </c>
      <c r="T146" s="113">
        <f t="shared" ref="T146:AD146" si="140">F$108*$S146</f>
        <v>18993.547883999996</v>
      </c>
      <c r="U146" s="113">
        <f t="shared" si="140"/>
        <v>19992.6085026984</v>
      </c>
      <c r="V146" s="113">
        <f t="shared" si="140"/>
        <v>21044.219709940335</v>
      </c>
      <c r="W146" s="113">
        <f t="shared" si="140"/>
        <v>22151.145666683198</v>
      </c>
      <c r="X146" s="113">
        <f t="shared" si="140"/>
        <v>23316.295928750733</v>
      </c>
      <c r="Y146" s="113">
        <f t="shared" si="140"/>
        <v>24542.733094603016</v>
      </c>
      <c r="Z146" s="113">
        <f t="shared" si="140"/>
        <v>25833.680855379138</v>
      </c>
      <c r="AA146" s="113">
        <f t="shared" si="140"/>
        <v>27192.532468372079</v>
      </c>
      <c r="AB146" s="113">
        <f t="shared" si="140"/>
        <v>28622.859676208453</v>
      </c>
      <c r="AC146" s="114">
        <f t="shared" si="140"/>
        <v>30128.422095177015</v>
      </c>
      <c r="AD146" s="115">
        <f t="shared" si="140"/>
        <v>31713.177097383334</v>
      </c>
    </row>
    <row r="147" spans="5:30" ht="14.25" customHeight="1">
      <c r="E147" s="77" t="s">
        <v>105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5">
        <v>0</v>
      </c>
      <c r="P147" s="120"/>
      <c r="R147" s="65" t="s">
        <v>92</v>
      </c>
      <c r="S147" s="112"/>
      <c r="T147" s="79">
        <f t="shared" ref="T147:AD147" si="141">SUM(T148:T162)</f>
        <v>135817.88610599999</v>
      </c>
      <c r="U147" s="79">
        <f t="shared" si="141"/>
        <v>136056.09194976959</v>
      </c>
      <c r="V147" s="79">
        <f t="shared" si="141"/>
        <v>140346.5816632717</v>
      </c>
      <c r="W147" s="79">
        <f t="shared" si="141"/>
        <v>150587.85228279131</v>
      </c>
      <c r="X147" s="79">
        <f t="shared" si="141"/>
        <v>160235.48961689888</v>
      </c>
      <c r="Y147" s="79">
        <f t="shared" si="141"/>
        <v>170038.0081316056</v>
      </c>
      <c r="Z147" s="79">
        <f t="shared" si="141"/>
        <v>176194.27913289025</v>
      </c>
      <c r="AA147" s="79">
        <f t="shared" si="141"/>
        <v>192399.83450149905</v>
      </c>
      <c r="AB147" s="79">
        <f t="shared" si="141"/>
        <v>204850.69770350348</v>
      </c>
      <c r="AC147" s="118">
        <f t="shared" si="141"/>
        <v>219484.22661311642</v>
      </c>
      <c r="AD147" s="119">
        <f t="shared" si="141"/>
        <v>234152.51450861976</v>
      </c>
    </row>
    <row r="148" spans="5:30" ht="14.25" customHeight="1">
      <c r="E148" s="77" t="s">
        <v>106</v>
      </c>
      <c r="F148" s="83">
        <v>0</v>
      </c>
      <c r="G148" s="83">
        <v>0</v>
      </c>
      <c r="H148" s="83">
        <v>0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0</v>
      </c>
      <c r="O148" s="85">
        <v>0</v>
      </c>
      <c r="P148" s="120"/>
      <c r="R148" s="77" t="s">
        <v>93</v>
      </c>
      <c r="S148" s="112">
        <f t="shared" ref="S148:S162" si="142">$C$35</f>
        <v>4.41E-2</v>
      </c>
      <c r="T148" s="83">
        <f>F$110*$S148</f>
        <v>7293.3329699999995</v>
      </c>
      <c r="U148" s="98">
        <v>0</v>
      </c>
      <c r="V148" s="83">
        <f t="shared" ref="V148:AD148" si="143">H110*$S148</f>
        <v>8250.3638305900804</v>
      </c>
      <c r="W148" s="83">
        <f t="shared" si="143"/>
        <v>8816.3387893685594</v>
      </c>
      <c r="X148" s="83">
        <f t="shared" si="143"/>
        <v>9421.1396303192432</v>
      </c>
      <c r="Y148" s="83">
        <f t="shared" si="143"/>
        <v>10067.429808959143</v>
      </c>
      <c r="Z148" s="83">
        <f t="shared" si="143"/>
        <v>10758.055493853739</v>
      </c>
      <c r="AA148" s="83">
        <f t="shared" si="143"/>
        <v>11496.058100732105</v>
      </c>
      <c r="AB148" s="83">
        <f t="shared" si="143"/>
        <v>12284.68768644233</v>
      </c>
      <c r="AC148" s="84">
        <f t="shared" si="143"/>
        <v>13127.417261732267</v>
      </c>
      <c r="AD148" s="85">
        <f t="shared" si="143"/>
        <v>14027.958085887101</v>
      </c>
    </row>
    <row r="149" spans="5:30" ht="14.25" customHeight="1">
      <c r="E149" s="77" t="s">
        <v>107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122">
        <v>0</v>
      </c>
      <c r="P149" s="120"/>
      <c r="R149" s="77" t="s">
        <v>94</v>
      </c>
      <c r="S149" s="112">
        <f t="shared" si="142"/>
        <v>4.41E-2</v>
      </c>
      <c r="T149" s="83">
        <f t="shared" ref="T149:U149" si="144">F$111*$S149</f>
        <v>10648.223712000001</v>
      </c>
      <c r="U149" s="83">
        <f t="shared" si="144"/>
        <v>11272.2096215232</v>
      </c>
      <c r="V149" s="98">
        <v>0</v>
      </c>
      <c r="W149" s="83">
        <f t="shared" ref="W149:AD149" si="145">I$111*$S149</f>
        <v>12751.348517171087</v>
      </c>
      <c r="X149" s="83">
        <f t="shared" si="145"/>
        <v>13626.091025449025</v>
      </c>
      <c r="Y149" s="83">
        <f t="shared" si="145"/>
        <v>14560.840869794827</v>
      </c>
      <c r="Z149" s="83">
        <f t="shared" si="145"/>
        <v>15559.714553462749</v>
      </c>
      <c r="AA149" s="83">
        <f t="shared" si="145"/>
        <v>16627.110971830294</v>
      </c>
      <c r="AB149" s="83">
        <f t="shared" si="145"/>
        <v>17767.73078449785</v>
      </c>
      <c r="AC149" s="84">
        <f t="shared" si="145"/>
        <v>18986.597116314406</v>
      </c>
      <c r="AD149" s="85">
        <f t="shared" si="145"/>
        <v>20289.07767849357</v>
      </c>
    </row>
    <row r="150" spans="5:30" ht="14.25" customHeight="1">
      <c r="E150" s="103" t="s">
        <v>172</v>
      </c>
      <c r="F150" s="104">
        <f t="shared" ref="F150:O150" si="146">SUM(F131,F132:F134)</f>
        <v>0</v>
      </c>
      <c r="G150" s="104">
        <f t="shared" si="146"/>
        <v>140058.454096</v>
      </c>
      <c r="H150" s="104">
        <f t="shared" si="146"/>
        <v>216467.32163890172</v>
      </c>
      <c r="I150" s="104">
        <f t="shared" si="146"/>
        <v>196224.78406213329</v>
      </c>
      <c r="J150" s="104">
        <f t="shared" si="146"/>
        <v>198665.17264297963</v>
      </c>
      <c r="K150" s="104">
        <f t="shared" si="146"/>
        <v>211084.40227074991</v>
      </c>
      <c r="L150" s="104">
        <f t="shared" si="146"/>
        <v>303474.71619361331</v>
      </c>
      <c r="M150" s="104">
        <f t="shared" si="146"/>
        <v>229308.89454377943</v>
      </c>
      <c r="N150" s="104">
        <f t="shared" si="146"/>
        <v>239439.81614665373</v>
      </c>
      <c r="O150" s="106">
        <f t="shared" si="146"/>
        <v>227436.63783378864</v>
      </c>
      <c r="P150" s="45"/>
      <c r="R150" s="77" t="s">
        <v>95</v>
      </c>
      <c r="S150" s="112">
        <f t="shared" si="142"/>
        <v>4.41E-2</v>
      </c>
      <c r="T150" s="83">
        <f t="shared" ref="T150:V150" si="147">F$112*$S150</f>
        <v>9118.15128</v>
      </c>
      <c r="U150" s="83">
        <f t="shared" si="147"/>
        <v>9652.4749450079998</v>
      </c>
      <c r="V150" s="83">
        <f t="shared" si="147"/>
        <v>10218.109976785468</v>
      </c>
      <c r="W150" s="98">
        <v>0</v>
      </c>
      <c r="X150" s="83">
        <f t="shared" ref="X150:AD150" si="148">J$112*$S150</f>
        <v>11558.92995921486</v>
      </c>
      <c r="Y150" s="83">
        <f t="shared" si="148"/>
        <v>12351.872554416999</v>
      </c>
      <c r="Z150" s="83">
        <f t="shared" si="148"/>
        <v>13199.211011650003</v>
      </c>
      <c r="AA150" s="83">
        <f t="shared" si="148"/>
        <v>14104.676887049191</v>
      </c>
      <c r="AB150" s="83">
        <f t="shared" si="148"/>
        <v>15072.257721500768</v>
      </c>
      <c r="AC150" s="84">
        <f t="shared" si="148"/>
        <v>16106.214601195719</v>
      </c>
      <c r="AD150" s="85">
        <f t="shared" si="148"/>
        <v>17211.100922837744</v>
      </c>
    </row>
    <row r="151" spans="5:30" ht="14.25" customHeight="1">
      <c r="R151" s="77" t="s">
        <v>96</v>
      </c>
      <c r="S151" s="112">
        <f t="shared" si="142"/>
        <v>4.41E-2</v>
      </c>
      <c r="T151" s="83">
        <f t="shared" ref="T151:W151" si="149">F$113*$S151</f>
        <v>8720.5280399999992</v>
      </c>
      <c r="U151" s="83">
        <f t="shared" si="149"/>
        <v>9231.5509831439995</v>
      </c>
      <c r="V151" s="83">
        <f t="shared" si="149"/>
        <v>9772.5198707562377</v>
      </c>
      <c r="W151" s="83">
        <f t="shared" si="149"/>
        <v>10345.189535182553</v>
      </c>
      <c r="X151" s="98">
        <v>0</v>
      </c>
      <c r="Y151" s="83">
        <f t="shared" ref="Y151:AD151" si="150">K$113*$S151</f>
        <v>11702.684892181627</v>
      </c>
      <c r="Z151" s="83">
        <f t="shared" si="150"/>
        <v>12505.489075785283</v>
      </c>
      <c r="AA151" s="83">
        <f t="shared" si="150"/>
        <v>13363.365626384155</v>
      </c>
      <c r="AB151" s="83">
        <f t="shared" si="150"/>
        <v>14280.092508354108</v>
      </c>
      <c r="AC151" s="84">
        <f t="shared" si="150"/>
        <v>15259.706854427199</v>
      </c>
      <c r="AD151" s="85">
        <f t="shared" si="150"/>
        <v>16306.522744640904</v>
      </c>
    </row>
    <row r="152" spans="5:30" ht="14.25" customHeight="1">
      <c r="R152" s="77" t="s">
        <v>97</v>
      </c>
      <c r="S152" s="112">
        <f t="shared" si="142"/>
        <v>4.41E-2</v>
      </c>
      <c r="T152" s="83">
        <f t="shared" ref="T152:X152" si="151">F$114*$S152</f>
        <v>8752.7655809999997</v>
      </c>
      <c r="U152" s="83">
        <f t="shared" si="151"/>
        <v>9265.6776440466001</v>
      </c>
      <c r="V152" s="83">
        <f t="shared" si="151"/>
        <v>9808.6463539877277</v>
      </c>
      <c r="W152" s="83">
        <f t="shared" si="151"/>
        <v>10383.433030331409</v>
      </c>
      <c r="X152" s="83">
        <f t="shared" si="151"/>
        <v>10991.902205908831</v>
      </c>
      <c r="Y152" s="98">
        <v>0</v>
      </c>
      <c r="Z152" s="83">
        <f t="shared" ref="Z152:AD152" si="152">L$114*$S152</f>
        <v>12434.259173692099</v>
      </c>
      <c r="AA152" s="83">
        <f t="shared" si="152"/>
        <v>13287.249353007375</v>
      </c>
      <c r="AB152" s="83">
        <f t="shared" si="152"/>
        <v>14198.754658623682</v>
      </c>
      <c r="AC152" s="84">
        <f t="shared" si="152"/>
        <v>15172.789228205265</v>
      </c>
      <c r="AD152" s="85">
        <f t="shared" si="152"/>
        <v>16213.642569260144</v>
      </c>
    </row>
    <row r="153" spans="5:30" ht="14.25" customHeight="1">
      <c r="R153" s="77" t="s">
        <v>98</v>
      </c>
      <c r="S153" s="112">
        <f t="shared" si="142"/>
        <v>4.41E-2</v>
      </c>
      <c r="T153" s="83">
        <f t="shared" ref="T153:Y153" si="153">F$115*$S153</f>
        <v>11887.205715000002</v>
      </c>
      <c r="U153" s="83">
        <f t="shared" si="153"/>
        <v>12583.795969898998</v>
      </c>
      <c r="V153" s="83">
        <f t="shared" si="153"/>
        <v>13321.206413735079</v>
      </c>
      <c r="W153" s="83">
        <f t="shared" si="153"/>
        <v>14101.829109579958</v>
      </c>
      <c r="X153" s="83">
        <f t="shared" si="153"/>
        <v>14928.196295401342</v>
      </c>
      <c r="Y153" s="83">
        <f t="shared" si="153"/>
        <v>15802.988598311858</v>
      </c>
      <c r="Z153" s="98">
        <v>0</v>
      </c>
      <c r="AA153" s="83">
        <f t="shared" ref="AA153:AD153" si="154">M$115*$S153</f>
        <v>17876.656130062798</v>
      </c>
      <c r="AB153" s="83">
        <f t="shared" si="154"/>
        <v>19102.994740585102</v>
      </c>
      <c r="AC153" s="84">
        <f t="shared" si="154"/>
        <v>20413.460179789243</v>
      </c>
      <c r="AD153" s="85">
        <f t="shared" si="154"/>
        <v>21813.823548122782</v>
      </c>
    </row>
    <row r="154" spans="5:30" ht="14.25" customHeight="1">
      <c r="R154" s="77" t="s">
        <v>99</v>
      </c>
      <c r="S154" s="112">
        <f t="shared" si="142"/>
        <v>4.41E-2</v>
      </c>
      <c r="T154" s="83">
        <f t="shared" ref="T154:Z154" si="155">F$116*$S154</f>
        <v>8484.8911559999997</v>
      </c>
      <c r="U154" s="83">
        <f t="shared" si="155"/>
        <v>8982.1057777416008</v>
      </c>
      <c r="V154" s="83">
        <f t="shared" si="155"/>
        <v>9508.4571763172571</v>
      </c>
      <c r="W154" s="83">
        <f t="shared" si="155"/>
        <v>10065.652766849449</v>
      </c>
      <c r="X154" s="83">
        <f t="shared" si="155"/>
        <v>10655.500018986826</v>
      </c>
      <c r="Y154" s="83">
        <f t="shared" si="155"/>
        <v>11279.912320099453</v>
      </c>
      <c r="Z154" s="83">
        <f t="shared" si="155"/>
        <v>11940.915182057281</v>
      </c>
      <c r="AA154" s="98">
        <v>0</v>
      </c>
      <c r="AB154" s="83">
        <f t="shared" ref="AB154:AD154" si="156">N$116*$S154</f>
        <v>13507.801594610231</v>
      </c>
      <c r="AC154" s="84">
        <f t="shared" si="156"/>
        <v>14434.436784000491</v>
      </c>
      <c r="AD154" s="85">
        <f t="shared" si="156"/>
        <v>15424.639147382926</v>
      </c>
    </row>
    <row r="155" spans="5:30" ht="14.25" customHeight="1">
      <c r="R155" s="77" t="s">
        <v>100</v>
      </c>
      <c r="S155" s="112">
        <f t="shared" si="142"/>
        <v>4.41E-2</v>
      </c>
      <c r="T155" s="83">
        <f t="shared" ref="T155:AA155" si="157">F$117*$S155</f>
        <v>8369.3138760000002</v>
      </c>
      <c r="U155" s="83">
        <f t="shared" si="157"/>
        <v>8859.7556691335994</v>
      </c>
      <c r="V155" s="83">
        <f t="shared" si="157"/>
        <v>9378.9373513448281</v>
      </c>
      <c r="W155" s="83">
        <f t="shared" si="157"/>
        <v>9928.5430801336352</v>
      </c>
      <c r="X155" s="83">
        <f t="shared" si="157"/>
        <v>10510.355704629465</v>
      </c>
      <c r="Y155" s="83">
        <f t="shared" si="157"/>
        <v>11126.262548920753</v>
      </c>
      <c r="Z155" s="83">
        <f t="shared" si="157"/>
        <v>11778.261534287509</v>
      </c>
      <c r="AA155" s="83">
        <f t="shared" si="157"/>
        <v>12468.467660196757</v>
      </c>
      <c r="AB155" s="98">
        <v>0</v>
      </c>
      <c r="AC155" s="84">
        <f t="shared" ref="AC155:AD155" si="158">O$117*$S155</f>
        <v>14104.579487829065</v>
      </c>
      <c r="AD155" s="85">
        <f t="shared" si="158"/>
        <v>15072.15364069414</v>
      </c>
    </row>
    <row r="156" spans="5:30" ht="14.25" customHeight="1">
      <c r="R156" s="77" t="s">
        <v>101</v>
      </c>
      <c r="S156" s="112">
        <f t="shared" si="142"/>
        <v>4.41E-2</v>
      </c>
      <c r="T156" s="83">
        <f t="shared" ref="T156:AB156" si="159">F$118*$S156</f>
        <v>7509.6902159999991</v>
      </c>
      <c r="U156" s="83">
        <f t="shared" si="159"/>
        <v>7949.7580626576</v>
      </c>
      <c r="V156" s="83">
        <f t="shared" si="159"/>
        <v>8415.6138851293344</v>
      </c>
      <c r="W156" s="83">
        <f t="shared" si="159"/>
        <v>8908.7688587979155</v>
      </c>
      <c r="X156" s="83">
        <f t="shared" si="159"/>
        <v>9430.8227139234714</v>
      </c>
      <c r="Y156" s="83">
        <f t="shared" si="159"/>
        <v>9983.4689249593866</v>
      </c>
      <c r="Z156" s="83">
        <f t="shared" si="159"/>
        <v>10568.500203962007</v>
      </c>
      <c r="AA156" s="83">
        <f t="shared" si="159"/>
        <v>11187.814315914182</v>
      </c>
      <c r="AB156" s="83">
        <f t="shared" si="159"/>
        <v>11843.42023482675</v>
      </c>
      <c r="AC156" s="99">
        <v>0</v>
      </c>
      <c r="AD156" s="85">
        <f>P$118*$S156</f>
        <v>13397.513364303906</v>
      </c>
    </row>
    <row r="157" spans="5:30" ht="14.25" customHeight="1">
      <c r="R157" s="77" t="s">
        <v>102</v>
      </c>
      <c r="S157" s="112">
        <f t="shared" si="142"/>
        <v>4.41E-2</v>
      </c>
      <c r="T157" s="83">
        <f t="shared" ref="T157:AC157" si="160">F$119*$S157</f>
        <v>7280.4831120000008</v>
      </c>
      <c r="U157" s="83">
        <f t="shared" si="160"/>
        <v>7707.1194223631992</v>
      </c>
      <c r="V157" s="83">
        <f t="shared" si="160"/>
        <v>8158.7566205136827</v>
      </c>
      <c r="W157" s="83">
        <f t="shared" si="160"/>
        <v>8636.8597584757845</v>
      </c>
      <c r="X157" s="83">
        <f t="shared" si="160"/>
        <v>9142.9797403224657</v>
      </c>
      <c r="Y157" s="83">
        <f t="shared" si="160"/>
        <v>9678.7583531053624</v>
      </c>
      <c r="Z157" s="83">
        <f t="shared" si="160"/>
        <v>10245.933592597336</v>
      </c>
      <c r="AA157" s="83">
        <f t="shared" si="160"/>
        <v>10846.34530112354</v>
      </c>
      <c r="AB157" s="83">
        <f t="shared" si="160"/>
        <v>11481.941135769377</v>
      </c>
      <c r="AC157" s="84">
        <f t="shared" si="160"/>
        <v>12154.782886325464</v>
      </c>
      <c r="AD157" s="100">
        <v>0</v>
      </c>
    </row>
    <row r="158" spans="5:30" ht="14.25" customHeight="1">
      <c r="R158" s="77" t="s">
        <v>103</v>
      </c>
      <c r="S158" s="112">
        <f t="shared" si="142"/>
        <v>4.41E-2</v>
      </c>
      <c r="T158" s="83">
        <f t="shared" ref="T158:AD158" si="161">F$120*$S158</f>
        <v>8563.0531139999985</v>
      </c>
      <c r="U158" s="83">
        <f t="shared" si="161"/>
        <v>9064.8480264803984</v>
      </c>
      <c r="V158" s="83">
        <f t="shared" si="161"/>
        <v>9596.0481208321507</v>
      </c>
      <c r="W158" s="83">
        <f t="shared" si="161"/>
        <v>10158.376540712914</v>
      </c>
      <c r="X158" s="83">
        <f t="shared" si="161"/>
        <v>10753.657405998691</v>
      </c>
      <c r="Y158" s="83">
        <f t="shared" si="161"/>
        <v>11383.821729990215</v>
      </c>
      <c r="Z158" s="83">
        <f t="shared" si="161"/>
        <v>12050.913683367642</v>
      </c>
      <c r="AA158" s="83">
        <f t="shared" si="161"/>
        <v>12757.097225212983</v>
      </c>
      <c r="AB158" s="83">
        <f t="shared" si="161"/>
        <v>13504.663122610464</v>
      </c>
      <c r="AC158" s="84">
        <f t="shared" si="161"/>
        <v>14296.036381595435</v>
      </c>
      <c r="AD158" s="85">
        <f t="shared" si="161"/>
        <v>15133.784113556931</v>
      </c>
    </row>
    <row r="159" spans="5:30" ht="14.25" customHeight="1">
      <c r="R159" s="77" t="s">
        <v>104</v>
      </c>
      <c r="S159" s="112">
        <f t="shared" si="142"/>
        <v>4.41E-2</v>
      </c>
      <c r="T159" s="83">
        <f t="shared" ref="T159:AD159" si="162">F$121*$S159</f>
        <v>10012.31847</v>
      </c>
      <c r="U159" s="83">
        <f t="shared" si="162"/>
        <v>10599.040332341998</v>
      </c>
      <c r="V159" s="83">
        <f t="shared" si="162"/>
        <v>11220.144095817241</v>
      </c>
      <c r="W159" s="83">
        <f t="shared" si="162"/>
        <v>11877.644539832132</v>
      </c>
      <c r="X159" s="83">
        <f t="shared" si="162"/>
        <v>12573.674509866292</v>
      </c>
      <c r="Y159" s="83">
        <f t="shared" si="162"/>
        <v>13310.491836144458</v>
      </c>
      <c r="Z159" s="83">
        <f t="shared" si="162"/>
        <v>14090.486657742522</v>
      </c>
      <c r="AA159" s="83">
        <f t="shared" si="162"/>
        <v>14916.189175886235</v>
      </c>
      <c r="AB159" s="83">
        <f t="shared" si="162"/>
        <v>15790.277861593167</v>
      </c>
      <c r="AC159" s="84">
        <f t="shared" si="162"/>
        <v>16715.588144282527</v>
      </c>
      <c r="AD159" s="85">
        <f t="shared" si="162"/>
        <v>17695.121609537484</v>
      </c>
    </row>
    <row r="160" spans="5:30" ht="14.25" customHeight="1">
      <c r="R160" s="77" t="s">
        <v>105</v>
      </c>
      <c r="S160" s="112">
        <f t="shared" si="142"/>
        <v>4.41E-2</v>
      </c>
      <c r="T160" s="83">
        <f t="shared" ref="T160:AD160" si="163">F$122*$S160</f>
        <v>9424.3640400000004</v>
      </c>
      <c r="U160" s="83">
        <f t="shared" si="163"/>
        <v>9976.6317727439982</v>
      </c>
      <c r="V160" s="83">
        <f t="shared" si="163"/>
        <v>10561.262394626798</v>
      </c>
      <c r="W160" s="83">
        <f t="shared" si="163"/>
        <v>11180.152370951928</v>
      </c>
      <c r="X160" s="83">
        <f t="shared" si="163"/>
        <v>11835.309299889712</v>
      </c>
      <c r="Y160" s="83">
        <f t="shared" si="163"/>
        <v>12528.858424863249</v>
      </c>
      <c r="Z160" s="83">
        <f t="shared" si="163"/>
        <v>13263.049528560234</v>
      </c>
      <c r="AA160" s="83">
        <f t="shared" si="163"/>
        <v>14040.264230933864</v>
      </c>
      <c r="AB160" s="83">
        <f t="shared" si="163"/>
        <v>14863.023714866587</v>
      </c>
      <c r="AC160" s="84">
        <f t="shared" si="163"/>
        <v>15733.996904557767</v>
      </c>
      <c r="AD160" s="85">
        <f t="shared" si="163"/>
        <v>16656.009123164855</v>
      </c>
    </row>
    <row r="161" spans="18:30" ht="14.25" customHeight="1">
      <c r="R161" s="77" t="s">
        <v>106</v>
      </c>
      <c r="S161" s="112">
        <f t="shared" si="142"/>
        <v>4.41E-2</v>
      </c>
      <c r="T161" s="83">
        <f t="shared" ref="T161:AD161" si="164">F$123*$S161</f>
        <v>7608.4671599999992</v>
      </c>
      <c r="U161" s="83">
        <f t="shared" si="164"/>
        <v>8054.3233355759994</v>
      </c>
      <c r="V161" s="83">
        <f t="shared" si="164"/>
        <v>8526.3066830407533</v>
      </c>
      <c r="W161" s="83">
        <f t="shared" si="164"/>
        <v>9025.9482546669424</v>
      </c>
      <c r="X161" s="83">
        <f t="shared" si="164"/>
        <v>9554.8688223904246</v>
      </c>
      <c r="Y161" s="83">
        <f t="shared" si="164"/>
        <v>10114.784135382501</v>
      </c>
      <c r="Z161" s="83">
        <f t="shared" si="164"/>
        <v>10707.510485715917</v>
      </c>
      <c r="AA161" s="83">
        <f t="shared" si="164"/>
        <v>11334.970600178869</v>
      </c>
      <c r="AB161" s="83">
        <f t="shared" si="164"/>
        <v>11999.199877349351</v>
      </c>
      <c r="AC161" s="84">
        <f t="shared" si="164"/>
        <v>12702.352990162024</v>
      </c>
      <c r="AD161" s="85">
        <f t="shared" si="164"/>
        <v>13446.710875385515</v>
      </c>
    </row>
    <row r="162" spans="18:30" ht="14.25" customHeight="1">
      <c r="R162" s="77" t="s">
        <v>107</v>
      </c>
      <c r="S162" s="112">
        <f t="shared" si="142"/>
        <v>4.41E-2</v>
      </c>
      <c r="T162" s="83">
        <f t="shared" ref="T162:AD162" si="165">F$124*$S162</f>
        <v>12145.097663999999</v>
      </c>
      <c r="U162" s="83">
        <f t="shared" si="165"/>
        <v>12856.800387110399</v>
      </c>
      <c r="V162" s="83">
        <f t="shared" si="165"/>
        <v>13610.208889795069</v>
      </c>
      <c r="W162" s="83">
        <f t="shared" si="165"/>
        <v>14407.767130737058</v>
      </c>
      <c r="X162" s="83">
        <f t="shared" si="165"/>
        <v>15252.062284598249</v>
      </c>
      <c r="Y162" s="83">
        <f t="shared" si="165"/>
        <v>16145.83313447571</v>
      </c>
      <c r="Z162" s="83">
        <f t="shared" si="165"/>
        <v>17091.978956155985</v>
      </c>
      <c r="AA162" s="83">
        <f t="shared" si="165"/>
        <v>18093.568922986724</v>
      </c>
      <c r="AB162" s="83">
        <f t="shared" si="165"/>
        <v>19153.852061873746</v>
      </c>
      <c r="AC162" s="121">
        <f t="shared" si="165"/>
        <v>20276.267792699546</v>
      </c>
      <c r="AD162" s="122">
        <f t="shared" si="165"/>
        <v>21464.45708535174</v>
      </c>
    </row>
    <row r="163" spans="18:30" ht="14.25" customHeight="1">
      <c r="R163" s="103" t="s">
        <v>173</v>
      </c>
      <c r="S163" s="107"/>
      <c r="T163" s="104">
        <f t="shared" ref="T163:AD163" si="166">SUM(T144:T147)</f>
        <v>206922.98773999998</v>
      </c>
      <c r="U163" s="104">
        <f t="shared" si="166"/>
        <v>210952.57211721799</v>
      </c>
      <c r="V163" s="104">
        <f t="shared" si="166"/>
        <v>219236.77108110537</v>
      </c>
      <c r="W163" s="104">
        <f t="shared" si="166"/>
        <v>233684.88819416938</v>
      </c>
      <c r="X163" s="104">
        <f t="shared" si="166"/>
        <v>247763.89343634734</v>
      </c>
      <c r="Y163" s="104">
        <f t="shared" si="166"/>
        <v>262234.29399153625</v>
      </c>
      <c r="Z163" s="104">
        <f t="shared" si="166"/>
        <v>273307.59498584195</v>
      </c>
      <c r="AA163" s="104">
        <f t="shared" si="166"/>
        <v>294692.63752108283</v>
      </c>
      <c r="AB163" s="104">
        <f t="shared" si="166"/>
        <v>312599.46582041966</v>
      </c>
      <c r="AC163" s="105">
        <f t="shared" si="166"/>
        <v>332980.20812100417</v>
      </c>
      <c r="AD163" s="106">
        <f t="shared" si="166"/>
        <v>353702.51777816785</v>
      </c>
    </row>
    <row r="164" spans="18:30" ht="14.25" customHeight="1">
      <c r="S164" s="41"/>
    </row>
    <row r="165" spans="18:30" ht="14.25" customHeight="1">
      <c r="R165" s="61" t="s">
        <v>174</v>
      </c>
      <c r="S165" s="64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8:30" ht="14.25" customHeight="1">
      <c r="R166" s="67" t="s">
        <v>155</v>
      </c>
      <c r="S166" s="67"/>
      <c r="T166" s="67">
        <v>1</v>
      </c>
      <c r="U166" s="67">
        <v>2</v>
      </c>
      <c r="V166" s="67">
        <v>3</v>
      </c>
      <c r="W166" s="67">
        <v>4</v>
      </c>
      <c r="X166" s="67">
        <v>5</v>
      </c>
      <c r="Y166" s="67">
        <v>6</v>
      </c>
      <c r="Z166" s="67">
        <v>7</v>
      </c>
      <c r="AA166" s="67">
        <v>8</v>
      </c>
      <c r="AB166" s="67">
        <v>9</v>
      </c>
      <c r="AC166" s="68">
        <v>10</v>
      </c>
      <c r="AD166" s="69">
        <v>11</v>
      </c>
    </row>
    <row r="167" spans="18:30" ht="14.25" customHeight="1">
      <c r="R167" s="65" t="s">
        <v>153</v>
      </c>
      <c r="S167" s="108" t="s">
        <v>162</v>
      </c>
      <c r="T167" s="109" t="s">
        <v>156</v>
      </c>
      <c r="U167" s="109"/>
      <c r="V167" s="109"/>
      <c r="W167" s="109"/>
      <c r="X167" s="109"/>
      <c r="Y167" s="109"/>
      <c r="Z167" s="109"/>
      <c r="AA167" s="109"/>
      <c r="AB167" s="109"/>
      <c r="AC167" s="110"/>
      <c r="AD167" s="111"/>
    </row>
    <row r="168" spans="18:30" ht="14.25" customHeight="1">
      <c r="R168" s="72" t="s">
        <v>75</v>
      </c>
      <c r="S168" s="112">
        <f t="shared" ref="S168:S170" si="167">$C$36</f>
        <v>3.7600000000000001E-2</v>
      </c>
      <c r="T168" s="113">
        <f t="shared" ref="T168:AD168" si="168">F$95*$S168</f>
        <v>30767.346799999996</v>
      </c>
      <c r="U168" s="113">
        <f t="shared" si="168"/>
        <v>32447.243935279992</v>
      </c>
      <c r="V168" s="113">
        <f t="shared" si="168"/>
        <v>34218.863454146282</v>
      </c>
      <c r="W168" s="113">
        <f t="shared" si="168"/>
        <v>36087.213398742679</v>
      </c>
      <c r="X168" s="113">
        <f t="shared" si="168"/>
        <v>38057.575250314017</v>
      </c>
      <c r="Y168" s="113">
        <f t="shared" si="168"/>
        <v>40135.518858981166</v>
      </c>
      <c r="Z168" s="113">
        <f t="shared" si="168"/>
        <v>42326.91818868155</v>
      </c>
      <c r="AA168" s="113">
        <f t="shared" si="168"/>
        <v>44637.967921783544</v>
      </c>
      <c r="AB168" s="113">
        <f t="shared" si="168"/>
        <v>47075.20097031293</v>
      </c>
      <c r="AC168" s="113">
        <f t="shared" si="168"/>
        <v>49645.506943292021</v>
      </c>
      <c r="AD168" s="115">
        <f t="shared" si="168"/>
        <v>52356.151622395766</v>
      </c>
    </row>
    <row r="169" spans="18:30" ht="14.25" customHeight="1">
      <c r="R169" s="65" t="s">
        <v>90</v>
      </c>
      <c r="S169" s="116">
        <f t="shared" si="167"/>
        <v>3.7600000000000001E-2</v>
      </c>
      <c r="T169" s="113">
        <f t="shared" ref="T169:AD169" si="169">F$107*$S169</f>
        <v>13278.54528</v>
      </c>
      <c r="U169" s="113">
        <f t="shared" si="169"/>
        <v>13950.439671168</v>
      </c>
      <c r="V169" s="113">
        <f t="shared" si="169"/>
        <v>14656.3319185291</v>
      </c>
      <c r="W169" s="113">
        <f t="shared" si="169"/>
        <v>15397.942313606669</v>
      </c>
      <c r="X169" s="113">
        <f t="shared" si="169"/>
        <v>16177.078194675167</v>
      </c>
      <c r="Y169" s="113">
        <f t="shared" si="169"/>
        <v>16995.638351325728</v>
      </c>
      <c r="Z169" s="113">
        <f t="shared" si="169"/>
        <v>17855.617651902809</v>
      </c>
      <c r="AA169" s="113">
        <f t="shared" si="169"/>
        <v>18759.111905089092</v>
      </c>
      <c r="AB169" s="113">
        <f t="shared" si="169"/>
        <v>19708.322967486602</v>
      </c>
      <c r="AC169" s="113">
        <f t="shared" si="169"/>
        <v>20705.564109641426</v>
      </c>
      <c r="AD169" s="115">
        <f t="shared" si="169"/>
        <v>21753.265653589278</v>
      </c>
    </row>
    <row r="170" spans="18:30" ht="14.25" customHeight="1">
      <c r="R170" s="91" t="s">
        <v>91</v>
      </c>
      <c r="S170" s="117">
        <f t="shared" si="167"/>
        <v>3.7600000000000001E-2</v>
      </c>
      <c r="T170" s="113">
        <f t="shared" ref="T170:AD170" si="170">F$108*$S170</f>
        <v>22743.866255999998</v>
      </c>
      <c r="U170" s="113">
        <f t="shared" si="170"/>
        <v>23940.193621065602</v>
      </c>
      <c r="V170" s="113">
        <f t="shared" si="170"/>
        <v>25199.447805533651</v>
      </c>
      <c r="W170" s="113">
        <f t="shared" si="170"/>
        <v>26524.938760104724</v>
      </c>
      <c r="X170" s="113">
        <f t="shared" si="170"/>
        <v>27920.150538886232</v>
      </c>
      <c r="Y170" s="113">
        <f t="shared" si="170"/>
        <v>29388.750457231643</v>
      </c>
      <c r="Z170" s="113">
        <f t="shared" si="170"/>
        <v>30934.598731282029</v>
      </c>
      <c r="AA170" s="113">
        <f t="shared" si="170"/>
        <v>32561.758624547463</v>
      </c>
      <c r="AB170" s="113">
        <f t="shared" si="170"/>
        <v>34274.50712819866</v>
      </c>
      <c r="AC170" s="113">
        <f t="shared" si="170"/>
        <v>36077.346203141904</v>
      </c>
      <c r="AD170" s="115">
        <f t="shared" si="170"/>
        <v>37975.014613427178</v>
      </c>
    </row>
    <row r="171" spans="18:30" ht="14.25" customHeight="1">
      <c r="R171" s="65" t="s">
        <v>92</v>
      </c>
      <c r="S171" s="112"/>
      <c r="T171" s="79">
        <f t="shared" ref="T171:AD171" si="171">SUM(T172:T186)</f>
        <v>115799.37681600002</v>
      </c>
      <c r="U171" s="79">
        <f t="shared" si="171"/>
        <v>116002.47295490561</v>
      </c>
      <c r="V171" s="79">
        <f t="shared" si="171"/>
        <v>119660.57756324302</v>
      </c>
      <c r="W171" s="79">
        <f t="shared" si="171"/>
        <v>128392.3638510874</v>
      </c>
      <c r="X171" s="79">
        <f t="shared" si="171"/>
        <v>136618.0138230249</v>
      </c>
      <c r="Y171" s="79">
        <f t="shared" si="171"/>
        <v>144975.71668363648</v>
      </c>
      <c r="Z171" s="79">
        <f t="shared" si="171"/>
        <v>150224.60080264573</v>
      </c>
      <c r="AA171" s="79">
        <f t="shared" si="171"/>
        <v>164041.58225071122</v>
      </c>
      <c r="AB171" s="79">
        <f t="shared" si="171"/>
        <v>174657.28420978982</v>
      </c>
      <c r="AC171" s="79">
        <f t="shared" si="171"/>
        <v>187133.94377898361</v>
      </c>
      <c r="AD171" s="82">
        <f t="shared" si="171"/>
        <v>199640.23912753066</v>
      </c>
    </row>
    <row r="172" spans="18:30" ht="14.25" customHeight="1">
      <c r="R172" s="77" t="s">
        <v>93</v>
      </c>
      <c r="S172" s="112">
        <f t="shared" ref="S172:S186" si="172">$C$36</f>
        <v>3.7600000000000001E-2</v>
      </c>
      <c r="T172" s="83">
        <f>F$110*$S172</f>
        <v>6218.3519199999992</v>
      </c>
      <c r="U172" s="98">
        <v>0</v>
      </c>
      <c r="V172" s="83">
        <f t="shared" ref="V172:AD172" si="173">H$110*$S172</f>
        <v>7034.3238102083233</v>
      </c>
      <c r="W172" s="83">
        <f t="shared" si="173"/>
        <v>7516.8784235886133</v>
      </c>
      <c r="X172" s="83">
        <f t="shared" si="173"/>
        <v>8032.5362834467924</v>
      </c>
      <c r="Y172" s="83">
        <f t="shared" si="173"/>
        <v>8583.5682724912422</v>
      </c>
      <c r="Z172" s="83">
        <f t="shared" si="173"/>
        <v>9172.4010559841408</v>
      </c>
      <c r="AA172" s="83">
        <f t="shared" si="173"/>
        <v>9801.6277684246525</v>
      </c>
      <c r="AB172" s="83">
        <f t="shared" si="173"/>
        <v>10474.019433338584</v>
      </c>
      <c r="AC172" s="83">
        <f t="shared" si="173"/>
        <v>11192.537166465609</v>
      </c>
      <c r="AD172" s="85">
        <f t="shared" si="173"/>
        <v>11960.345216085148</v>
      </c>
    </row>
    <row r="173" spans="18:30" ht="14.25" customHeight="1">
      <c r="R173" s="77" t="s">
        <v>94</v>
      </c>
      <c r="S173" s="112">
        <f t="shared" si="172"/>
        <v>3.7600000000000001E-2</v>
      </c>
      <c r="T173" s="83">
        <f t="shared" ref="T173:U173" si="174">F$111*$S173</f>
        <v>9078.7576320000007</v>
      </c>
      <c r="U173" s="83">
        <f t="shared" si="174"/>
        <v>9610.7728292352003</v>
      </c>
      <c r="V173" s="98">
        <v>0</v>
      </c>
      <c r="W173" s="83">
        <f t="shared" ref="W173:AD173" si="175">I$111*$S173</f>
        <v>10871.898055456528</v>
      </c>
      <c r="X173" s="83">
        <f t="shared" si="175"/>
        <v>11617.710262060848</v>
      </c>
      <c r="Y173" s="83">
        <f t="shared" si="175"/>
        <v>12414.685186038219</v>
      </c>
      <c r="Z173" s="83">
        <f t="shared" si="175"/>
        <v>13266.332589800439</v>
      </c>
      <c r="AA173" s="83">
        <f t="shared" si="175"/>
        <v>14176.40300546075</v>
      </c>
      <c r="AB173" s="83">
        <f t="shared" si="175"/>
        <v>15148.904251635355</v>
      </c>
      <c r="AC173" s="83">
        <f t="shared" si="175"/>
        <v>16188.119083297543</v>
      </c>
      <c r="AD173" s="85">
        <f t="shared" si="175"/>
        <v>17298.624052411749</v>
      </c>
    </row>
    <row r="174" spans="18:30" ht="14.25" customHeight="1">
      <c r="R174" s="77" t="s">
        <v>95</v>
      </c>
      <c r="S174" s="112">
        <f t="shared" si="172"/>
        <v>3.7600000000000001E-2</v>
      </c>
      <c r="T174" s="83">
        <f t="shared" ref="T174:V174" si="176">F$112*$S174</f>
        <v>7774.2060799999999</v>
      </c>
      <c r="U174" s="83">
        <f t="shared" si="176"/>
        <v>8229.7745562880009</v>
      </c>
      <c r="V174" s="83">
        <f t="shared" si="176"/>
        <v>8712.0393452864773</v>
      </c>
      <c r="W174" s="98">
        <v>0</v>
      </c>
      <c r="X174" s="83">
        <f t="shared" ref="X174:AD174" si="177">J$112*$S174</f>
        <v>9855.2327996933964</v>
      </c>
      <c r="Y174" s="83">
        <f t="shared" si="177"/>
        <v>10531.301769752363</v>
      </c>
      <c r="Z174" s="83">
        <f t="shared" si="177"/>
        <v>11253.749071157374</v>
      </c>
      <c r="AA174" s="83">
        <f t="shared" si="177"/>
        <v>12025.756257438767</v>
      </c>
      <c r="AB174" s="83">
        <f t="shared" si="177"/>
        <v>12850.723136699067</v>
      </c>
      <c r="AC174" s="83">
        <f t="shared" si="177"/>
        <v>13732.282743876622</v>
      </c>
      <c r="AD174" s="85">
        <f t="shared" si="177"/>
        <v>14674.31734010656</v>
      </c>
    </row>
    <row r="175" spans="18:30" ht="14.25" customHeight="1">
      <c r="R175" s="77" t="s">
        <v>96</v>
      </c>
      <c r="S175" s="112">
        <f t="shared" si="172"/>
        <v>3.7600000000000001E-2</v>
      </c>
      <c r="T175" s="83">
        <f t="shared" ref="T175:W175" si="178">F$113*$S175</f>
        <v>7435.1894400000001</v>
      </c>
      <c r="U175" s="83">
        <f t="shared" si="178"/>
        <v>7870.8915411839998</v>
      </c>
      <c r="V175" s="83">
        <f t="shared" si="178"/>
        <v>8332.125785497381</v>
      </c>
      <c r="W175" s="83">
        <f t="shared" si="178"/>
        <v>8820.3883565275282</v>
      </c>
      <c r="X175" s="98">
        <v>0</v>
      </c>
      <c r="Y175" s="83">
        <f t="shared" ref="Y175:AD175" si="179">K$113*$S175</f>
        <v>9977.7993638555363</v>
      </c>
      <c r="Z175" s="83">
        <f t="shared" si="179"/>
        <v>10662.276400216024</v>
      </c>
      <c r="AA175" s="83">
        <f t="shared" si="179"/>
        <v>11393.708561270843</v>
      </c>
      <c r="AB175" s="83">
        <f t="shared" si="179"/>
        <v>12175.316968574023</v>
      </c>
      <c r="AC175" s="83">
        <f t="shared" si="179"/>
        <v>13010.543712618202</v>
      </c>
      <c r="AD175" s="85">
        <f t="shared" si="179"/>
        <v>13903.06701130381</v>
      </c>
    </row>
    <row r="176" spans="18:30" ht="14.25" customHeight="1">
      <c r="R176" s="77" t="s">
        <v>97</v>
      </c>
      <c r="S176" s="112">
        <f t="shared" si="172"/>
        <v>3.7600000000000001E-2</v>
      </c>
      <c r="T176" s="83">
        <f t="shared" ref="T176:X176" si="180">F$114*$S176</f>
        <v>7462.6754159999991</v>
      </c>
      <c r="U176" s="83">
        <f t="shared" si="180"/>
        <v>7899.9881953775994</v>
      </c>
      <c r="V176" s="83">
        <f t="shared" si="180"/>
        <v>8362.9275036267263</v>
      </c>
      <c r="W176" s="83">
        <f t="shared" si="180"/>
        <v>8852.9950553392518</v>
      </c>
      <c r="X176" s="83">
        <f t="shared" si="180"/>
        <v>9371.7805655821321</v>
      </c>
      <c r="Y176" s="98">
        <v>0</v>
      </c>
      <c r="Z176" s="83">
        <f t="shared" ref="Z176:AD176" si="181">L$114*$S176</f>
        <v>10601.545236526597</v>
      </c>
      <c r="AA176" s="83">
        <f t="shared" si="181"/>
        <v>11328.81123975232</v>
      </c>
      <c r="AB176" s="83">
        <f t="shared" si="181"/>
        <v>12105.967690799331</v>
      </c>
      <c r="AC176" s="83">
        <f t="shared" si="181"/>
        <v>12936.437074388163</v>
      </c>
      <c r="AD176" s="85">
        <f t="shared" si="181"/>
        <v>13823.876657691189</v>
      </c>
    </row>
    <row r="177" spans="18:30" ht="14.25" customHeight="1">
      <c r="R177" s="77" t="s">
        <v>98</v>
      </c>
      <c r="S177" s="112">
        <f t="shared" si="172"/>
        <v>3.7600000000000001E-2</v>
      </c>
      <c r="T177" s="83">
        <f t="shared" ref="T177:Y177" si="182">F$115*$S177</f>
        <v>10135.123240000001</v>
      </c>
      <c r="U177" s="83">
        <f t="shared" si="182"/>
        <v>10729.041461863999</v>
      </c>
      <c r="V177" s="83">
        <f t="shared" si="182"/>
        <v>11357.763291529229</v>
      </c>
      <c r="W177" s="83">
        <f t="shared" si="182"/>
        <v>12023.328220412845</v>
      </c>
      <c r="X177" s="83">
        <f t="shared" si="182"/>
        <v>12727.895254129036</v>
      </c>
      <c r="Y177" s="83">
        <f t="shared" si="182"/>
        <v>13473.749916020995</v>
      </c>
      <c r="Z177" s="98">
        <v>0</v>
      </c>
      <c r="AA177" s="83">
        <f t="shared" ref="AA177:AD177" si="183">M$115*$S177</f>
        <v>15241.774841051276</v>
      </c>
      <c r="AB177" s="83">
        <f t="shared" si="183"/>
        <v>16287.360595147389</v>
      </c>
      <c r="AC177" s="83">
        <f t="shared" si="183"/>
        <v>17404.673531974502</v>
      </c>
      <c r="AD177" s="85">
        <f t="shared" si="183"/>
        <v>18598.634136267949</v>
      </c>
    </row>
    <row r="178" spans="18:30" ht="14.25" customHeight="1">
      <c r="R178" s="77" t="s">
        <v>99</v>
      </c>
      <c r="S178" s="112">
        <f t="shared" si="172"/>
        <v>3.7600000000000001E-2</v>
      </c>
      <c r="T178" s="83">
        <f t="shared" ref="T178:Z178" si="184">F$116*$S178</f>
        <v>7234.2836160000006</v>
      </c>
      <c r="U178" s="83">
        <f t="shared" si="184"/>
        <v>7658.2126358976002</v>
      </c>
      <c r="V178" s="83">
        <f t="shared" si="184"/>
        <v>8106.9838963611983</v>
      </c>
      <c r="W178" s="83">
        <f t="shared" si="184"/>
        <v>8582.0531526879658</v>
      </c>
      <c r="X178" s="83">
        <f t="shared" si="184"/>
        <v>9084.9614674354798</v>
      </c>
      <c r="Y178" s="83">
        <f t="shared" si="184"/>
        <v>9617.3402094271987</v>
      </c>
      <c r="Z178" s="83">
        <f t="shared" si="184"/>
        <v>10180.916345699632</v>
      </c>
      <c r="AA178" s="98">
        <v>0</v>
      </c>
      <c r="AB178" s="83">
        <f t="shared" ref="AB178:AD178" si="185">N$116*$S178</f>
        <v>11516.855781345685</v>
      </c>
      <c r="AC178" s="83">
        <f t="shared" si="185"/>
        <v>12306.912087945997</v>
      </c>
      <c r="AD178" s="85">
        <f t="shared" si="185"/>
        <v>13151.166257179093</v>
      </c>
    </row>
    <row r="179" spans="18:30" ht="14.25" customHeight="1">
      <c r="R179" s="77" t="s">
        <v>100</v>
      </c>
      <c r="S179" s="112">
        <f t="shared" si="172"/>
        <v>3.7600000000000001E-2</v>
      </c>
      <c r="T179" s="83">
        <f t="shared" ref="T179:AA179" si="186">F$117*$S179</f>
        <v>7135.7415359999995</v>
      </c>
      <c r="U179" s="83">
        <f t="shared" si="186"/>
        <v>7553.8959900096006</v>
      </c>
      <c r="V179" s="83">
        <f t="shared" si="186"/>
        <v>7996.5542950241625</v>
      </c>
      <c r="W179" s="83">
        <f t="shared" si="186"/>
        <v>8465.1523767125782</v>
      </c>
      <c r="X179" s="83">
        <f t="shared" si="186"/>
        <v>8961.2103059879337</v>
      </c>
      <c r="Y179" s="83">
        <f t="shared" si="186"/>
        <v>9486.3372299188286</v>
      </c>
      <c r="Z179" s="83">
        <f t="shared" si="186"/>
        <v>10042.236591592071</v>
      </c>
      <c r="AA179" s="83">
        <f t="shared" si="186"/>
        <v>10630.711655859366</v>
      </c>
      <c r="AB179" s="98">
        <v>0</v>
      </c>
      <c r="AC179" s="84">
        <f t="shared" ref="AC179:AD179" si="187">O$117*$S179</f>
        <v>12025.673214112763</v>
      </c>
      <c r="AD179" s="85">
        <f t="shared" si="187"/>
        <v>12850.634396600899</v>
      </c>
    </row>
    <row r="180" spans="18:30" ht="14.25" customHeight="1">
      <c r="R180" s="77" t="s">
        <v>101</v>
      </c>
      <c r="S180" s="112">
        <f t="shared" si="172"/>
        <v>3.7600000000000001E-2</v>
      </c>
      <c r="T180" s="83">
        <f t="shared" ref="T180:AB180" si="188">F$118*$S180</f>
        <v>6402.8197759999994</v>
      </c>
      <c r="U180" s="83">
        <f t="shared" si="188"/>
        <v>6778.0250148735995</v>
      </c>
      <c r="V180" s="83">
        <f t="shared" si="188"/>
        <v>7175.2172807451925</v>
      </c>
      <c r="W180" s="83">
        <f t="shared" si="188"/>
        <v>7595.6850133968619</v>
      </c>
      <c r="X180" s="83">
        <f t="shared" si="188"/>
        <v>8040.7921551819172</v>
      </c>
      <c r="Y180" s="83">
        <f t="shared" si="188"/>
        <v>8511.9825754755784</v>
      </c>
      <c r="Z180" s="83">
        <f t="shared" si="188"/>
        <v>9010.7847543984462</v>
      </c>
      <c r="AA180" s="83">
        <f t="shared" si="188"/>
        <v>9538.816741006196</v>
      </c>
      <c r="AB180" s="83">
        <f t="shared" si="188"/>
        <v>10097.791402029157</v>
      </c>
      <c r="AC180" s="99">
        <v>0</v>
      </c>
      <c r="AD180" s="85">
        <f>P$118*$S180</f>
        <v>11422.823185891766</v>
      </c>
    </row>
    <row r="181" spans="18:30" ht="14.25" customHeight="1">
      <c r="R181" s="77" t="s">
        <v>102</v>
      </c>
      <c r="S181" s="112">
        <f t="shared" si="172"/>
        <v>3.7600000000000001E-2</v>
      </c>
      <c r="T181" s="83">
        <f t="shared" ref="T181:AC181" si="189">F$119*$S181</f>
        <v>6207.3960320000006</v>
      </c>
      <c r="U181" s="83">
        <f t="shared" si="189"/>
        <v>6571.1494394751999</v>
      </c>
      <c r="V181" s="83">
        <f t="shared" si="189"/>
        <v>6956.2187966284464</v>
      </c>
      <c r="W181" s="83">
        <f t="shared" si="189"/>
        <v>7363.8532181108731</v>
      </c>
      <c r="X181" s="83">
        <f t="shared" si="189"/>
        <v>7795.37501669217</v>
      </c>
      <c r="Y181" s="83">
        <f t="shared" si="189"/>
        <v>8252.1839926703306</v>
      </c>
      <c r="Z181" s="83">
        <f t="shared" si="189"/>
        <v>8735.7619746408127</v>
      </c>
      <c r="AA181" s="83">
        <f t="shared" si="189"/>
        <v>9247.6776263547636</v>
      </c>
      <c r="AB181" s="83">
        <f t="shared" si="189"/>
        <v>9789.5915352591528</v>
      </c>
      <c r="AC181" s="84">
        <f t="shared" si="189"/>
        <v>10363.26159922534</v>
      </c>
      <c r="AD181" s="100">
        <v>0</v>
      </c>
    </row>
    <row r="182" spans="18:30" ht="14.25" customHeight="1">
      <c r="R182" s="77" t="s">
        <v>103</v>
      </c>
      <c r="S182" s="112">
        <f t="shared" si="172"/>
        <v>3.7600000000000001E-2</v>
      </c>
      <c r="T182" s="83">
        <f t="shared" ref="T182:AD182" si="190">F$120*$S182</f>
        <v>7300.9251039999999</v>
      </c>
      <c r="U182" s="83">
        <f t="shared" si="190"/>
        <v>7728.7593150943994</v>
      </c>
      <c r="V182" s="83">
        <f t="shared" si="190"/>
        <v>8181.6646109589319</v>
      </c>
      <c r="W182" s="83">
        <f t="shared" si="190"/>
        <v>8661.1101571611234</v>
      </c>
      <c r="X182" s="83">
        <f t="shared" si="190"/>
        <v>9168.6512123707671</v>
      </c>
      <c r="Y182" s="83">
        <f t="shared" si="190"/>
        <v>9705.9341734156933</v>
      </c>
      <c r="Z182" s="83">
        <f t="shared" si="190"/>
        <v>10274.701915977854</v>
      </c>
      <c r="AA182" s="83">
        <f t="shared" si="190"/>
        <v>10876.799448254154</v>
      </c>
      <c r="AB182" s="83">
        <f t="shared" si="190"/>
        <v>11514.179895921847</v>
      </c>
      <c r="AC182" s="84">
        <f t="shared" si="190"/>
        <v>12188.910837822867</v>
      </c>
      <c r="AD182" s="85">
        <f t="shared" si="190"/>
        <v>12903.181012919289</v>
      </c>
    </row>
    <row r="183" spans="18:30" ht="14.25" customHeight="1">
      <c r="R183" s="77" t="s">
        <v>104</v>
      </c>
      <c r="S183" s="112">
        <f t="shared" si="172"/>
        <v>3.7600000000000001E-2</v>
      </c>
      <c r="T183" s="83">
        <f t="shared" ref="T183:AD183" si="191">F$121*$S183</f>
        <v>8536.5799200000001</v>
      </c>
      <c r="U183" s="83">
        <f t="shared" si="191"/>
        <v>9036.823503312</v>
      </c>
      <c r="V183" s="83">
        <f t="shared" si="191"/>
        <v>9566.381360606083</v>
      </c>
      <c r="W183" s="83">
        <f t="shared" si="191"/>
        <v>10126.971308337599</v>
      </c>
      <c r="X183" s="83">
        <f t="shared" si="191"/>
        <v>10720.411827006183</v>
      </c>
      <c r="Y183" s="83">
        <f t="shared" si="191"/>
        <v>11348.627960068745</v>
      </c>
      <c r="Z183" s="83">
        <f t="shared" si="191"/>
        <v>12013.657558528772</v>
      </c>
      <c r="AA183" s="83">
        <f t="shared" si="191"/>
        <v>12717.657891458559</v>
      </c>
      <c r="AB183" s="83">
        <f t="shared" si="191"/>
        <v>13462.912643898029</v>
      </c>
      <c r="AC183" s="84">
        <f t="shared" si="191"/>
        <v>14251.839324830455</v>
      </c>
      <c r="AD183" s="85">
        <f t="shared" si="191"/>
        <v>15086.997109265518</v>
      </c>
    </row>
    <row r="184" spans="18:30" ht="14.25" customHeight="1">
      <c r="R184" s="77" t="s">
        <v>105</v>
      </c>
      <c r="S184" s="112">
        <f t="shared" si="172"/>
        <v>3.7600000000000001E-2</v>
      </c>
      <c r="T184" s="83">
        <f t="shared" ref="T184:AD184" si="192">F$122*$S184</f>
        <v>8035.2854399999997</v>
      </c>
      <c r="U184" s="83">
        <f t="shared" si="192"/>
        <v>8506.153166783999</v>
      </c>
      <c r="V184" s="83">
        <f t="shared" si="192"/>
        <v>9004.6137423575419</v>
      </c>
      <c r="W184" s="83">
        <f t="shared" si="192"/>
        <v>9532.2841076596942</v>
      </c>
      <c r="X184" s="83">
        <f t="shared" si="192"/>
        <v>10090.875956368553</v>
      </c>
      <c r="Y184" s="83">
        <f t="shared" si="192"/>
        <v>10682.20128741175</v>
      </c>
      <c r="Z184" s="83">
        <f t="shared" si="192"/>
        <v>11308.178282854076</v>
      </c>
      <c r="AA184" s="83">
        <f t="shared" si="192"/>
        <v>11970.837530229326</v>
      </c>
      <c r="AB184" s="83">
        <f t="shared" si="192"/>
        <v>12672.328609500764</v>
      </c>
      <c r="AC184" s="84">
        <f t="shared" si="192"/>
        <v>13414.927066017508</v>
      </c>
      <c r="AD184" s="85">
        <f t="shared" si="192"/>
        <v>14201.041792086135</v>
      </c>
    </row>
    <row r="185" spans="18:30" ht="14.25" customHeight="1">
      <c r="R185" s="77" t="s">
        <v>106</v>
      </c>
      <c r="S185" s="112">
        <f t="shared" si="172"/>
        <v>3.7600000000000001E-2</v>
      </c>
      <c r="T185" s="83">
        <f t="shared" ref="T185:AD185" si="193">F$123*$S185</f>
        <v>6487.0377599999993</v>
      </c>
      <c r="U185" s="83">
        <f t="shared" si="193"/>
        <v>6867.1781727359994</v>
      </c>
      <c r="V185" s="83">
        <f t="shared" si="193"/>
        <v>7269.5948136583293</v>
      </c>
      <c r="W185" s="83">
        <f t="shared" si="193"/>
        <v>7695.5930697387075</v>
      </c>
      <c r="X185" s="83">
        <f t="shared" si="193"/>
        <v>8146.5548236253953</v>
      </c>
      <c r="Y185" s="83">
        <f t="shared" si="193"/>
        <v>8623.9429362898427</v>
      </c>
      <c r="Z185" s="83">
        <f t="shared" si="193"/>
        <v>9129.3059923564288</v>
      </c>
      <c r="AA185" s="83">
        <f t="shared" si="193"/>
        <v>9664.2833235085145</v>
      </c>
      <c r="AB185" s="83">
        <f t="shared" si="193"/>
        <v>10230.610326266113</v>
      </c>
      <c r="AC185" s="84">
        <f t="shared" si="193"/>
        <v>10830.124091385309</v>
      </c>
      <c r="AD185" s="85">
        <f t="shared" si="193"/>
        <v>11464.769363140485</v>
      </c>
    </row>
    <row r="186" spans="18:30" ht="14.25" customHeight="1">
      <c r="R186" s="77" t="s">
        <v>107</v>
      </c>
      <c r="S186" s="112">
        <f t="shared" si="172"/>
        <v>3.7600000000000001E-2</v>
      </c>
      <c r="T186" s="83">
        <f t="shared" ref="T186:AD186" si="194">F$124*$S186</f>
        <v>10355.003903999999</v>
      </c>
      <c r="U186" s="83">
        <f t="shared" si="194"/>
        <v>10961.8071327744</v>
      </c>
      <c r="V186" s="83">
        <f t="shared" si="194"/>
        <v>11604.16903075498</v>
      </c>
      <c r="W186" s="83">
        <f t="shared" si="194"/>
        <v>12284.173335957221</v>
      </c>
      <c r="X186" s="83">
        <f t="shared" si="194"/>
        <v>13004.025893444314</v>
      </c>
      <c r="Y186" s="83">
        <f t="shared" si="194"/>
        <v>13766.061810800151</v>
      </c>
      <c r="Z186" s="83">
        <f t="shared" si="194"/>
        <v>14572.75303291304</v>
      </c>
      <c r="AA186" s="83">
        <f t="shared" si="194"/>
        <v>15426.716360641742</v>
      </c>
      <c r="AB186" s="83">
        <f t="shared" si="194"/>
        <v>16330.721939375348</v>
      </c>
      <c r="AC186" s="121">
        <f t="shared" si="194"/>
        <v>17287.702245022745</v>
      </c>
      <c r="AD186" s="122">
        <f t="shared" si="194"/>
        <v>18300.761596581076</v>
      </c>
    </row>
    <row r="187" spans="18:30" ht="14.25" customHeight="1">
      <c r="R187" s="103" t="s">
        <v>175</v>
      </c>
      <c r="S187" s="107"/>
      <c r="T187" s="104">
        <f t="shared" ref="T187:AD187" si="195">SUM(T168:T171)</f>
        <v>182589.135152</v>
      </c>
      <c r="U187" s="104">
        <f t="shared" si="195"/>
        <v>186340.35018241921</v>
      </c>
      <c r="V187" s="104">
        <f t="shared" si="195"/>
        <v>193735.22074145207</v>
      </c>
      <c r="W187" s="104">
        <f t="shared" si="195"/>
        <v>206402.45832354148</v>
      </c>
      <c r="X187" s="104">
        <f t="shared" si="195"/>
        <v>218772.8178069003</v>
      </c>
      <c r="Y187" s="104">
        <f t="shared" si="195"/>
        <v>231495.62435117501</v>
      </c>
      <c r="Z187" s="104">
        <f t="shared" si="195"/>
        <v>241341.73537451212</v>
      </c>
      <c r="AA187" s="104">
        <f t="shared" si="195"/>
        <v>260000.42070213132</v>
      </c>
      <c r="AB187" s="104">
        <f t="shared" si="195"/>
        <v>275715.31527578802</v>
      </c>
      <c r="AC187" s="105">
        <f t="shared" si="195"/>
        <v>293562.36103505897</v>
      </c>
      <c r="AD187" s="106">
        <f t="shared" si="195"/>
        <v>311724.67101694288</v>
      </c>
    </row>
    <row r="188" spans="18:30" ht="14.25" customHeight="1">
      <c r="S188" s="41"/>
    </row>
    <row r="189" spans="18:30" ht="14.25" customHeight="1">
      <c r="R189" s="61" t="s">
        <v>176</v>
      </c>
      <c r="S189" s="64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8:30" ht="14.25" customHeight="1">
      <c r="R190" s="67" t="s">
        <v>155</v>
      </c>
      <c r="S190" s="67"/>
      <c r="T190" s="67">
        <v>1</v>
      </c>
      <c r="U190" s="67">
        <v>2</v>
      </c>
      <c r="V190" s="67">
        <v>3</v>
      </c>
      <c r="W190" s="67">
        <v>4</v>
      </c>
      <c r="X190" s="67">
        <v>5</v>
      </c>
      <c r="Y190" s="67">
        <v>6</v>
      </c>
      <c r="Z190" s="67">
        <v>7</v>
      </c>
      <c r="AA190" s="67">
        <v>8</v>
      </c>
      <c r="AB190" s="67">
        <v>9</v>
      </c>
      <c r="AC190" s="68">
        <v>10</v>
      </c>
      <c r="AD190" s="69">
        <v>11</v>
      </c>
    </row>
    <row r="191" spans="18:30" ht="14.25" customHeight="1">
      <c r="R191" s="65" t="s">
        <v>153</v>
      </c>
      <c r="S191" s="108" t="s">
        <v>162</v>
      </c>
      <c r="T191" s="109" t="s">
        <v>156</v>
      </c>
      <c r="U191" s="109"/>
      <c r="V191" s="109"/>
      <c r="W191" s="109"/>
      <c r="X191" s="109"/>
      <c r="Y191" s="109"/>
      <c r="Z191" s="109"/>
      <c r="AA191" s="109"/>
      <c r="AB191" s="109"/>
      <c r="AC191" s="110"/>
      <c r="AD191" s="111"/>
    </row>
    <row r="192" spans="18:30" ht="14.25" customHeight="1">
      <c r="R192" s="72" t="s">
        <v>75</v>
      </c>
      <c r="S192" s="112">
        <f t="shared" ref="S192:S194" si="196">$C$37</f>
        <v>4.4900000000000002E-2</v>
      </c>
      <c r="T192" s="113">
        <f t="shared" ref="T192:AD192" si="197">F$95*$S192</f>
        <v>36740.794449999994</v>
      </c>
      <c r="U192" s="113">
        <f t="shared" si="197"/>
        <v>38746.841826969991</v>
      </c>
      <c r="V192" s="113">
        <f t="shared" si="197"/>
        <v>40862.419390722556</v>
      </c>
      <c r="W192" s="113">
        <f t="shared" si="197"/>
        <v>43093.507489456017</v>
      </c>
      <c r="X192" s="113">
        <f t="shared" si="197"/>
        <v>45446.412998380307</v>
      </c>
      <c r="Y192" s="113">
        <f t="shared" si="197"/>
        <v>47927.787148091869</v>
      </c>
      <c r="Z192" s="113">
        <f t="shared" si="197"/>
        <v>50544.644326377696</v>
      </c>
      <c r="AA192" s="113">
        <f t="shared" si="197"/>
        <v>53304.381906597904</v>
      </c>
      <c r="AB192" s="113">
        <f t="shared" si="197"/>
        <v>56214.801158698152</v>
      </c>
      <c r="AC192" s="113">
        <f t="shared" si="197"/>
        <v>59284.129301963076</v>
      </c>
      <c r="AD192" s="115">
        <f t="shared" si="197"/>
        <v>62521.042761850258</v>
      </c>
    </row>
    <row r="193" spans="18:30" ht="14.25" customHeight="1">
      <c r="R193" s="65" t="s">
        <v>90</v>
      </c>
      <c r="S193" s="116">
        <f t="shared" si="196"/>
        <v>4.4900000000000002E-2</v>
      </c>
      <c r="T193" s="113">
        <f t="shared" ref="T193:AD193" si="198">F$107*$S193</f>
        <v>15856.560719999999</v>
      </c>
      <c r="U193" s="113">
        <f t="shared" si="198"/>
        <v>16658.902692432002</v>
      </c>
      <c r="V193" s="113">
        <f t="shared" si="198"/>
        <v>17501.843168669056</v>
      </c>
      <c r="W193" s="113">
        <f t="shared" si="198"/>
        <v>18387.43643300371</v>
      </c>
      <c r="X193" s="113">
        <f t="shared" si="198"/>
        <v>19317.840716513696</v>
      </c>
      <c r="Y193" s="113">
        <f t="shared" si="198"/>
        <v>20295.323456769289</v>
      </c>
      <c r="Z193" s="113">
        <f t="shared" si="198"/>
        <v>21322.266823681814</v>
      </c>
      <c r="AA193" s="113">
        <f t="shared" si="198"/>
        <v>22401.173524960112</v>
      </c>
      <c r="AB193" s="113">
        <f t="shared" si="198"/>
        <v>23534.672905323096</v>
      </c>
      <c r="AC193" s="113">
        <f t="shared" si="198"/>
        <v>24725.527354332447</v>
      </c>
      <c r="AD193" s="115">
        <f t="shared" si="198"/>
        <v>25976.639038461664</v>
      </c>
    </row>
    <row r="194" spans="18:30" ht="14.25" customHeight="1">
      <c r="R194" s="91" t="s">
        <v>91</v>
      </c>
      <c r="S194" s="117">
        <f t="shared" si="196"/>
        <v>4.4900000000000002E-2</v>
      </c>
      <c r="T194" s="113">
        <f t="shared" ref="T194:AD194" si="199">F$108*$S194</f>
        <v>27159.563694</v>
      </c>
      <c r="U194" s="113">
        <f t="shared" si="199"/>
        <v>28588.156744304404</v>
      </c>
      <c r="V194" s="113">
        <f t="shared" si="199"/>
        <v>30091.893789054815</v>
      </c>
      <c r="W194" s="113">
        <f t="shared" si="199"/>
        <v>31674.727402359098</v>
      </c>
      <c r="X194" s="113">
        <f t="shared" si="199"/>
        <v>33340.818063723185</v>
      </c>
      <c r="Y194" s="113">
        <f t="shared" si="199"/>
        <v>35094.545093875022</v>
      </c>
      <c r="Z194" s="113">
        <f t="shared" si="199"/>
        <v>36940.518165812849</v>
      </c>
      <c r="AA194" s="113">
        <f t="shared" si="199"/>
        <v>38883.589421334604</v>
      </c>
      <c r="AB194" s="113">
        <f t="shared" si="199"/>
        <v>40928.86622489681</v>
      </c>
      <c r="AC194" s="113">
        <f t="shared" si="199"/>
        <v>43081.724588326375</v>
      </c>
      <c r="AD194" s="115">
        <f t="shared" si="199"/>
        <v>45347.823301672353</v>
      </c>
    </row>
    <row r="195" spans="18:30" ht="14.25" customHeight="1">
      <c r="R195" s="65" t="s">
        <v>92</v>
      </c>
      <c r="S195" s="112"/>
      <c r="T195" s="79">
        <f t="shared" ref="T195:AD195" si="200">SUM(T196:T210)</f>
        <v>138281.70263400002</v>
      </c>
      <c r="U195" s="79">
        <f t="shared" si="200"/>
        <v>138524.22967221439</v>
      </c>
      <c r="V195" s="79">
        <f t="shared" si="200"/>
        <v>142892.55139865988</v>
      </c>
      <c r="W195" s="79">
        <f t="shared" si="200"/>
        <v>153319.6047051549</v>
      </c>
      <c r="X195" s="79">
        <f t="shared" si="200"/>
        <v>163142.2558684526</v>
      </c>
      <c r="Y195" s="79">
        <f t="shared" si="200"/>
        <v>173122.59784827864</v>
      </c>
      <c r="Z195" s="79">
        <f t="shared" si="200"/>
        <v>179390.54723507425</v>
      </c>
      <c r="AA195" s="79">
        <f t="shared" si="200"/>
        <v>195890.08093236524</v>
      </c>
      <c r="AB195" s="79">
        <f t="shared" si="200"/>
        <v>208566.81013349904</v>
      </c>
      <c r="AC195" s="79">
        <f t="shared" si="200"/>
        <v>223465.79988500971</v>
      </c>
      <c r="AD195" s="82">
        <f t="shared" si="200"/>
        <v>238400.17917090765</v>
      </c>
    </row>
    <row r="196" spans="18:30" ht="14.25" customHeight="1">
      <c r="R196" s="77" t="s">
        <v>93</v>
      </c>
      <c r="S196" s="112">
        <f t="shared" ref="S196:S210" si="201">$C$37</f>
        <v>4.4900000000000002E-2</v>
      </c>
      <c r="T196" s="83">
        <f>F$110*$S196</f>
        <v>7425.6383299999998</v>
      </c>
      <c r="U196" s="98">
        <v>0</v>
      </c>
      <c r="V196" s="83">
        <f t="shared" ref="V196:AD196" si="202">H$110*$S196</f>
        <v>8400.0302946370666</v>
      </c>
      <c r="W196" s="83">
        <f t="shared" si="202"/>
        <v>8976.2723728491692</v>
      </c>
      <c r="X196" s="83">
        <f t="shared" si="202"/>
        <v>9592.0446576266222</v>
      </c>
      <c r="Y196" s="83">
        <f t="shared" si="202"/>
        <v>10250.058921139807</v>
      </c>
      <c r="Z196" s="83">
        <f t="shared" si="202"/>
        <v>10953.212963129998</v>
      </c>
      <c r="AA196" s="83">
        <f t="shared" si="202"/>
        <v>11704.603372400714</v>
      </c>
      <c r="AB196" s="83">
        <f t="shared" si="202"/>
        <v>12507.539163747406</v>
      </c>
      <c r="AC196" s="83">
        <f t="shared" si="202"/>
        <v>13365.556350380473</v>
      </c>
      <c r="AD196" s="85">
        <f t="shared" si="202"/>
        <v>14282.433516016574</v>
      </c>
    </row>
    <row r="197" spans="18:30" ht="14.25" customHeight="1">
      <c r="R197" s="77" t="s">
        <v>94</v>
      </c>
      <c r="S197" s="112">
        <f t="shared" si="201"/>
        <v>4.4900000000000002E-2</v>
      </c>
      <c r="T197" s="83">
        <f t="shared" ref="T197:U197" si="203">F$111*$S197</f>
        <v>10841.388768000001</v>
      </c>
      <c r="U197" s="83">
        <f t="shared" si="203"/>
        <v>11476.6941498048</v>
      </c>
      <c r="V197" s="98">
        <v>0</v>
      </c>
      <c r="W197" s="83">
        <f t="shared" ref="W197:AD197" si="204">I$111*$S197</f>
        <v>12982.665497074418</v>
      </c>
      <c r="X197" s="83">
        <f t="shared" si="204"/>
        <v>13873.276350173724</v>
      </c>
      <c r="Y197" s="83">
        <f t="shared" si="204"/>
        <v>14824.983107795641</v>
      </c>
      <c r="Z197" s="83">
        <f t="shared" si="204"/>
        <v>15841.976948990417</v>
      </c>
      <c r="AA197" s="83">
        <f t="shared" si="204"/>
        <v>16928.736567691161</v>
      </c>
      <c r="AB197" s="83">
        <f t="shared" si="204"/>
        <v>18090.047896234773</v>
      </c>
      <c r="AC197" s="83">
        <f t="shared" si="204"/>
        <v>19331.025181916481</v>
      </c>
      <c r="AD197" s="85">
        <f t="shared" si="204"/>
        <v>20657.133509395946</v>
      </c>
    </row>
    <row r="198" spans="18:30" ht="14.25" customHeight="1">
      <c r="R198" s="77" t="s">
        <v>95</v>
      </c>
      <c r="S198" s="112">
        <f t="shared" si="201"/>
        <v>4.4900000000000002E-2</v>
      </c>
      <c r="T198" s="83">
        <f t="shared" ref="T198:V198" si="205">F$112*$S198</f>
        <v>9283.5599199999997</v>
      </c>
      <c r="U198" s="83">
        <f t="shared" si="205"/>
        <v>9827.576531312001</v>
      </c>
      <c r="V198" s="83">
        <f t="shared" si="205"/>
        <v>10403.472516046882</v>
      </c>
      <c r="W198" s="98">
        <v>0</v>
      </c>
      <c r="X198" s="83">
        <f t="shared" ref="X198:AD198" si="206">J$112*$S198</f>
        <v>11768.615763463657</v>
      </c>
      <c r="Y198" s="83">
        <f t="shared" si="206"/>
        <v>12575.942804837263</v>
      </c>
      <c r="Z198" s="83">
        <f t="shared" si="206"/>
        <v>13438.652481249097</v>
      </c>
      <c r="AA198" s="83">
        <f t="shared" si="206"/>
        <v>14360.544041462783</v>
      </c>
      <c r="AB198" s="83">
        <f t="shared" si="206"/>
        <v>15345.677362707131</v>
      </c>
      <c r="AC198" s="83">
        <f t="shared" si="206"/>
        <v>16398.390829788837</v>
      </c>
      <c r="AD198" s="85">
        <f t="shared" si="206"/>
        <v>17523.320440712356</v>
      </c>
    </row>
    <row r="199" spans="18:30" ht="14.25" customHeight="1">
      <c r="R199" s="77" t="s">
        <v>96</v>
      </c>
      <c r="S199" s="112">
        <f t="shared" si="201"/>
        <v>4.4900000000000002E-2</v>
      </c>
      <c r="T199" s="83">
        <f t="shared" ref="T199:W199" si="207">F$113*$S199</f>
        <v>8878.7235600000004</v>
      </c>
      <c r="U199" s="83">
        <f t="shared" si="207"/>
        <v>9399.0167606159994</v>
      </c>
      <c r="V199" s="83">
        <f t="shared" si="207"/>
        <v>9949.799142788097</v>
      </c>
      <c r="W199" s="83">
        <f t="shared" si="207"/>
        <v>10532.85737255548</v>
      </c>
      <c r="X199" s="98">
        <v>0</v>
      </c>
      <c r="Y199" s="83">
        <f t="shared" ref="Y199:AD199" si="208">K$113*$S199</f>
        <v>11914.978495667916</v>
      </c>
      <c r="Z199" s="83">
        <f t="shared" si="208"/>
        <v>12732.346020470732</v>
      </c>
      <c r="AA199" s="83">
        <f t="shared" si="208"/>
        <v>13605.784957475023</v>
      </c>
      <c r="AB199" s="83">
        <f t="shared" si="208"/>
        <v>14539.141805557811</v>
      </c>
      <c r="AC199" s="83">
        <f t="shared" si="208"/>
        <v>15536.526933419076</v>
      </c>
      <c r="AD199" s="85">
        <f t="shared" si="208"/>
        <v>16602.332681051623</v>
      </c>
    </row>
    <row r="200" spans="18:30" ht="14.25" customHeight="1">
      <c r="R200" s="77" t="s">
        <v>97</v>
      </c>
      <c r="S200" s="112">
        <f t="shared" si="201"/>
        <v>4.4900000000000002E-2</v>
      </c>
      <c r="T200" s="83">
        <f t="shared" ref="T200:X200" si="209">F$114*$S200</f>
        <v>8911.5459089999986</v>
      </c>
      <c r="U200" s="83">
        <f t="shared" si="209"/>
        <v>9433.7624992673991</v>
      </c>
      <c r="V200" s="83">
        <f t="shared" si="209"/>
        <v>9986.5809817244681</v>
      </c>
      <c r="W200" s="83">
        <f t="shared" si="209"/>
        <v>10571.794627253523</v>
      </c>
      <c r="X200" s="83">
        <f t="shared" si="209"/>
        <v>11191.301792410579</v>
      </c>
      <c r="Y200" s="98">
        <v>0</v>
      </c>
      <c r="Z200" s="83">
        <f t="shared" ref="Z200:AD200" si="210">L$114*$S200</f>
        <v>12659.823965958622</v>
      </c>
      <c r="AA200" s="83">
        <f t="shared" si="210"/>
        <v>13528.287890023383</v>
      </c>
      <c r="AB200" s="83">
        <f t="shared" si="210"/>
        <v>14456.328439278988</v>
      </c>
      <c r="AC200" s="83">
        <f t="shared" si="210"/>
        <v>15448.032570213525</v>
      </c>
      <c r="AD200" s="85">
        <f t="shared" si="210"/>
        <v>16507.767604530171</v>
      </c>
    </row>
    <row r="201" spans="18:30" ht="14.25" customHeight="1">
      <c r="R201" s="77" t="s">
        <v>98</v>
      </c>
      <c r="S201" s="112">
        <f t="shared" si="201"/>
        <v>4.4900000000000002E-2</v>
      </c>
      <c r="T201" s="83">
        <f t="shared" ref="T201:Y201" si="211">F$115*$S201</f>
        <v>12102.846635000002</v>
      </c>
      <c r="U201" s="83">
        <f t="shared" si="211"/>
        <v>12812.073447810999</v>
      </c>
      <c r="V201" s="83">
        <f t="shared" si="211"/>
        <v>13562.860951852723</v>
      </c>
      <c r="W201" s="83">
        <f t="shared" si="211"/>
        <v>14357.644603631295</v>
      </c>
      <c r="X201" s="83">
        <f t="shared" si="211"/>
        <v>15199.002577404088</v>
      </c>
      <c r="Y201" s="83">
        <f t="shared" si="211"/>
        <v>16089.664128439967</v>
      </c>
      <c r="Z201" s="98">
        <v>0</v>
      </c>
      <c r="AA201" s="83">
        <f t="shared" ref="AA201:AD201" si="212">M$115*$S201</f>
        <v>18200.949211787294</v>
      </c>
      <c r="AB201" s="83">
        <f t="shared" si="212"/>
        <v>19449.534327715901</v>
      </c>
      <c r="AC201" s="83">
        <f t="shared" si="212"/>
        <v>20783.77238259721</v>
      </c>
      <c r="AD201" s="85">
        <f t="shared" si="212"/>
        <v>22209.539168043375</v>
      </c>
    </row>
    <row r="202" spans="18:30" ht="14.25" customHeight="1">
      <c r="R202" s="77" t="s">
        <v>99</v>
      </c>
      <c r="S202" s="112">
        <f t="shared" si="201"/>
        <v>4.4900000000000002E-2</v>
      </c>
      <c r="T202" s="83">
        <f t="shared" ref="T202:Z202" si="213">F$116*$S202</f>
        <v>8638.8120840000011</v>
      </c>
      <c r="U202" s="83">
        <f t="shared" si="213"/>
        <v>9145.0464721224016</v>
      </c>
      <c r="V202" s="83">
        <f t="shared" si="213"/>
        <v>9680.9461953887712</v>
      </c>
      <c r="W202" s="83">
        <f t="shared" si="213"/>
        <v>10248.249642438555</v>
      </c>
      <c r="X202" s="83">
        <f t="shared" si="213"/>
        <v>10848.797071485453</v>
      </c>
      <c r="Y202" s="83">
        <f t="shared" si="213"/>
        <v>11484.536579874501</v>
      </c>
      <c r="Z202" s="83">
        <f t="shared" si="213"/>
        <v>12157.530423455146</v>
      </c>
      <c r="AA202" s="98">
        <v>0</v>
      </c>
      <c r="AB202" s="83">
        <f t="shared" ref="AB202:AD202" si="214">N$116*$S202</f>
        <v>13752.841079319714</v>
      </c>
      <c r="AC202" s="83">
        <f t="shared" si="214"/>
        <v>14696.285977361045</v>
      </c>
      <c r="AD202" s="85">
        <f t="shared" si="214"/>
        <v>15704.451195408014</v>
      </c>
    </row>
    <row r="203" spans="18:30" ht="14.25" customHeight="1">
      <c r="R203" s="77" t="s">
        <v>100</v>
      </c>
      <c r="S203" s="112">
        <f t="shared" si="201"/>
        <v>4.4900000000000002E-2</v>
      </c>
      <c r="T203" s="83">
        <f t="shared" ref="T203:AA203" si="215">F$117*$S203</f>
        <v>8521.138164</v>
      </c>
      <c r="U203" s="83">
        <f t="shared" si="215"/>
        <v>9020.4768604104011</v>
      </c>
      <c r="V203" s="83">
        <f t="shared" si="215"/>
        <v>9549.0768044304496</v>
      </c>
      <c r="W203" s="83">
        <f t="shared" si="215"/>
        <v>10108.652705170072</v>
      </c>
      <c r="X203" s="83">
        <f t="shared" si="215"/>
        <v>10701.019753693039</v>
      </c>
      <c r="Y203" s="83">
        <f t="shared" si="215"/>
        <v>11328.099511259452</v>
      </c>
      <c r="Z203" s="83">
        <f t="shared" si="215"/>
        <v>11991.926142619255</v>
      </c>
      <c r="AA203" s="83">
        <f t="shared" si="215"/>
        <v>12694.653014576743</v>
      </c>
      <c r="AB203" s="98">
        <v>0</v>
      </c>
      <c r="AC203" s="84">
        <f t="shared" ref="AC203:AD203" si="216">O$117*$S203</f>
        <v>14360.444875363381</v>
      </c>
      <c r="AD203" s="85">
        <f t="shared" si="216"/>
        <v>15345.571393813309</v>
      </c>
    </row>
    <row r="204" spans="18:30" ht="14.25" customHeight="1">
      <c r="R204" s="77" t="s">
        <v>101</v>
      </c>
      <c r="S204" s="112">
        <f t="shared" si="201"/>
        <v>4.4900000000000002E-2</v>
      </c>
      <c r="T204" s="83">
        <f t="shared" ref="T204:AB204" si="217">F$118*$S204</f>
        <v>7645.9204239999999</v>
      </c>
      <c r="U204" s="83">
        <f t="shared" si="217"/>
        <v>8093.9713608463999</v>
      </c>
      <c r="V204" s="83">
        <f t="shared" si="217"/>
        <v>8568.2780825919981</v>
      </c>
      <c r="W204" s="83">
        <f t="shared" si="217"/>
        <v>9070.3791782318913</v>
      </c>
      <c r="X204" s="83">
        <f t="shared" si="217"/>
        <v>9601.9033980762779</v>
      </c>
      <c r="Y204" s="83">
        <f t="shared" si="217"/>
        <v>10164.57493720355</v>
      </c>
      <c r="Z204" s="83">
        <f t="shared" si="217"/>
        <v>10760.219028523676</v>
      </c>
      <c r="AA204" s="83">
        <f t="shared" si="217"/>
        <v>11390.767863595165</v>
      </c>
      <c r="AB204" s="83">
        <f t="shared" si="217"/>
        <v>12058.266860401838</v>
      </c>
      <c r="AC204" s="99">
        <v>0</v>
      </c>
      <c r="AD204" s="85">
        <f>P$118*$S204</f>
        <v>13640.552155493093</v>
      </c>
    </row>
    <row r="205" spans="18:30" ht="14.25" customHeight="1">
      <c r="R205" s="77" t="s">
        <v>102</v>
      </c>
      <c r="S205" s="112">
        <f t="shared" si="201"/>
        <v>4.4900000000000002E-2</v>
      </c>
      <c r="T205" s="83">
        <f t="shared" ref="T205:AC205" si="218">F$119*$S205</f>
        <v>7412.5553680000003</v>
      </c>
      <c r="U205" s="83">
        <f t="shared" si="218"/>
        <v>7846.9311125648001</v>
      </c>
      <c r="V205" s="83">
        <f t="shared" si="218"/>
        <v>8306.7612757610968</v>
      </c>
      <c r="W205" s="83">
        <f t="shared" si="218"/>
        <v>8793.5374865206977</v>
      </c>
      <c r="X205" s="83">
        <f t="shared" si="218"/>
        <v>9308.8387832308108</v>
      </c>
      <c r="Y205" s="83">
        <f t="shared" si="218"/>
        <v>9854.3367359281347</v>
      </c>
      <c r="Z205" s="83">
        <f t="shared" si="218"/>
        <v>10431.800868653525</v>
      </c>
      <c r="AA205" s="83">
        <f t="shared" si="218"/>
        <v>11043.10439955662</v>
      </c>
      <c r="AB205" s="83">
        <f t="shared" si="218"/>
        <v>11690.230317370637</v>
      </c>
      <c r="AC205" s="84">
        <f t="shared" si="218"/>
        <v>12375.277813968556</v>
      </c>
      <c r="AD205" s="100">
        <v>0</v>
      </c>
    </row>
    <row r="206" spans="18:30" ht="14.25" customHeight="1">
      <c r="R206" s="77" t="s">
        <v>103</v>
      </c>
      <c r="S206" s="112">
        <f t="shared" si="201"/>
        <v>4.4900000000000002E-2</v>
      </c>
      <c r="T206" s="83">
        <f t="shared" ref="T206:AD206" si="219">F$120*$S206</f>
        <v>8718.3919459999997</v>
      </c>
      <c r="U206" s="83">
        <f t="shared" si="219"/>
        <v>9229.2897140355999</v>
      </c>
      <c r="V206" s="83">
        <f t="shared" si="219"/>
        <v>9770.1260912780854</v>
      </c>
      <c r="W206" s="83">
        <f t="shared" si="219"/>
        <v>10342.65548022698</v>
      </c>
      <c r="X206" s="83">
        <f t="shared" si="219"/>
        <v>10948.735091368282</v>
      </c>
      <c r="Y206" s="83">
        <f t="shared" si="219"/>
        <v>11590.330967722464</v>
      </c>
      <c r="Z206" s="83">
        <f t="shared" si="219"/>
        <v>12269.524362431001</v>
      </c>
      <c r="AA206" s="83">
        <f t="shared" si="219"/>
        <v>12988.518490069455</v>
      </c>
      <c r="AB206" s="83">
        <f t="shared" si="219"/>
        <v>13749.645673587525</v>
      </c>
      <c r="AC206" s="84">
        <f t="shared" si="219"/>
        <v>14555.374910059752</v>
      </c>
      <c r="AD206" s="85">
        <f t="shared" si="219"/>
        <v>15408.319879789256</v>
      </c>
    </row>
    <row r="207" spans="18:30" ht="14.25" customHeight="1">
      <c r="R207" s="77" t="s">
        <v>104</v>
      </c>
      <c r="S207" s="112">
        <f t="shared" si="201"/>
        <v>4.4900000000000002E-2</v>
      </c>
      <c r="T207" s="83">
        <f t="shared" ref="T207:AD207" si="220">F$121*$S207</f>
        <v>10193.947830000001</v>
      </c>
      <c r="U207" s="83">
        <f t="shared" si="220"/>
        <v>10791.313172837999</v>
      </c>
      <c r="V207" s="83">
        <f t="shared" si="220"/>
        <v>11423.684124766307</v>
      </c>
      <c r="W207" s="83">
        <f t="shared" si="220"/>
        <v>12093.112014477612</v>
      </c>
      <c r="X207" s="83">
        <f t="shared" si="220"/>
        <v>12801.768378526</v>
      </c>
      <c r="Y207" s="83">
        <f t="shared" si="220"/>
        <v>13551.952005507623</v>
      </c>
      <c r="Z207" s="83">
        <f t="shared" si="220"/>
        <v>14346.09639303037</v>
      </c>
      <c r="AA207" s="83">
        <f t="shared" si="220"/>
        <v>15186.777641661951</v>
      </c>
      <c r="AB207" s="83">
        <f t="shared" si="220"/>
        <v>16076.72281146334</v>
      </c>
      <c r="AC207" s="84">
        <f t="shared" si="220"/>
        <v>17018.818768215093</v>
      </c>
      <c r="AD207" s="85">
        <f t="shared" si="220"/>
        <v>18016.121548032494</v>
      </c>
    </row>
    <row r="208" spans="18:30" ht="14.25" customHeight="1">
      <c r="R208" s="77" t="s">
        <v>105</v>
      </c>
      <c r="S208" s="112">
        <f t="shared" si="201"/>
        <v>4.4900000000000002E-2</v>
      </c>
      <c r="T208" s="83">
        <f t="shared" ref="T208:AD208" si="221">F$122*$S208</f>
        <v>9595.3275599999997</v>
      </c>
      <c r="U208" s="83">
        <f t="shared" si="221"/>
        <v>10157.613755016</v>
      </c>
      <c r="V208" s="83">
        <f t="shared" si="221"/>
        <v>10752.849921059937</v>
      </c>
      <c r="W208" s="83">
        <f t="shared" si="221"/>
        <v>11382.96692643405</v>
      </c>
      <c r="X208" s="83">
        <f t="shared" si="221"/>
        <v>12050.008788323084</v>
      </c>
      <c r="Y208" s="83">
        <f t="shared" si="221"/>
        <v>12756.139303318818</v>
      </c>
      <c r="Z208" s="83">
        <f t="shared" si="221"/>
        <v>13503.649066493299</v>
      </c>
      <c r="AA208" s="83">
        <f t="shared" si="221"/>
        <v>14294.962901789808</v>
      </c>
      <c r="AB208" s="83">
        <f t="shared" si="221"/>
        <v>15132.647727834688</v>
      </c>
      <c r="AC208" s="84">
        <f t="shared" si="221"/>
        <v>16019.4208846858</v>
      </c>
      <c r="AD208" s="85">
        <f t="shared" si="221"/>
        <v>16958.158948528391</v>
      </c>
    </row>
    <row r="209" spans="18:30" ht="14.25" customHeight="1">
      <c r="R209" s="77" t="s">
        <v>106</v>
      </c>
      <c r="S209" s="112">
        <f t="shared" si="201"/>
        <v>4.4900000000000002E-2</v>
      </c>
      <c r="T209" s="83">
        <f t="shared" ref="T209:AD209" si="222">F$123*$S209</f>
        <v>7746.489239999999</v>
      </c>
      <c r="U209" s="83">
        <f t="shared" si="222"/>
        <v>8200.4335094639991</v>
      </c>
      <c r="V209" s="83">
        <f t="shared" si="222"/>
        <v>8680.9789131185898</v>
      </c>
      <c r="W209" s="83">
        <f t="shared" si="222"/>
        <v>9189.6842774273409</v>
      </c>
      <c r="X209" s="83">
        <f t="shared" si="222"/>
        <v>9728.1997760845825</v>
      </c>
      <c r="Y209" s="83">
        <f t="shared" si="222"/>
        <v>10298.272282963137</v>
      </c>
      <c r="Z209" s="83">
        <f t="shared" si="222"/>
        <v>10901.751038744778</v>
      </c>
      <c r="AA209" s="83">
        <f t="shared" si="222"/>
        <v>11540.593649615221</v>
      </c>
      <c r="AB209" s="83">
        <f t="shared" si="222"/>
        <v>12216.872437482672</v>
      </c>
      <c r="AC209" s="84">
        <f t="shared" si="222"/>
        <v>12932.781162319157</v>
      </c>
      <c r="AD209" s="85">
        <f t="shared" si="222"/>
        <v>13690.642138431058</v>
      </c>
    </row>
    <row r="210" spans="18:30" ht="14.25" customHeight="1">
      <c r="R210" s="77" t="s">
        <v>107</v>
      </c>
      <c r="S210" s="112">
        <f t="shared" si="201"/>
        <v>4.4900000000000002E-2</v>
      </c>
      <c r="T210" s="83">
        <f t="shared" ref="T210:AD210" si="223">F$124*$S210</f>
        <v>12365.416895999999</v>
      </c>
      <c r="U210" s="83">
        <f t="shared" si="223"/>
        <v>13090.0303261056</v>
      </c>
      <c r="V210" s="83">
        <f t="shared" si="223"/>
        <v>13857.106103215388</v>
      </c>
      <c r="W210" s="83">
        <f t="shared" si="223"/>
        <v>14669.132520863808</v>
      </c>
      <c r="X210" s="83">
        <f t="shared" si="223"/>
        <v>15528.743686586427</v>
      </c>
      <c r="Y210" s="83">
        <f t="shared" si="223"/>
        <v>16438.728066620395</v>
      </c>
      <c r="Z210" s="83">
        <f t="shared" si="223"/>
        <v>17402.037531324349</v>
      </c>
      <c r="AA210" s="83">
        <f t="shared" si="223"/>
        <v>18421.796930659952</v>
      </c>
      <c r="AB210" s="83">
        <f t="shared" si="223"/>
        <v>19501.314230796626</v>
      </c>
      <c r="AC210" s="121">
        <f t="shared" si="223"/>
        <v>20644.091244721309</v>
      </c>
      <c r="AD210" s="122">
        <f t="shared" si="223"/>
        <v>21853.834991661977</v>
      </c>
    </row>
    <row r="211" spans="18:30" ht="14.25" customHeight="1">
      <c r="R211" s="103" t="s">
        <v>177</v>
      </c>
      <c r="S211" s="107"/>
      <c r="T211" s="104">
        <f t="shared" ref="T211:AD211" si="224">SUM(T192:T195)</f>
        <v>218038.62149799999</v>
      </c>
      <c r="U211" s="104">
        <f t="shared" si="224"/>
        <v>222518.13093592081</v>
      </c>
      <c r="V211" s="104">
        <f t="shared" si="224"/>
        <v>231348.70774710632</v>
      </c>
      <c r="W211" s="104">
        <f t="shared" si="224"/>
        <v>246475.27602997373</v>
      </c>
      <c r="X211" s="104">
        <f t="shared" si="224"/>
        <v>261247.32764706979</v>
      </c>
      <c r="Y211" s="104">
        <f t="shared" si="224"/>
        <v>276440.25354701478</v>
      </c>
      <c r="Z211" s="104">
        <f t="shared" si="224"/>
        <v>288197.97655094659</v>
      </c>
      <c r="AA211" s="104">
        <f t="shared" si="224"/>
        <v>310479.22578525788</v>
      </c>
      <c r="AB211" s="104">
        <f t="shared" si="224"/>
        <v>329245.15042241709</v>
      </c>
      <c r="AC211" s="105">
        <f t="shared" si="224"/>
        <v>350557.18112963159</v>
      </c>
      <c r="AD211" s="106">
        <f t="shared" si="224"/>
        <v>372245.68427289196</v>
      </c>
    </row>
    <row r="212" spans="18:30" ht="14.25" customHeight="1">
      <c r="S212" s="41"/>
    </row>
    <row r="213" spans="18:30" ht="14.25" customHeight="1">
      <c r="S213" s="41"/>
    </row>
    <row r="214" spans="18:30" ht="14.25" customHeight="1">
      <c r="S214" s="41"/>
    </row>
    <row r="215" spans="18:30" ht="14.25" customHeight="1">
      <c r="S215" s="41"/>
    </row>
    <row r="216" spans="18:30" ht="14.25" customHeight="1">
      <c r="S216" s="41"/>
    </row>
    <row r="217" spans="18:30" ht="14.25" customHeight="1">
      <c r="S217" s="41"/>
    </row>
    <row r="218" spans="18:30" ht="14.25" customHeight="1">
      <c r="S218" s="41"/>
    </row>
    <row r="219" spans="18:30" ht="14.25" customHeight="1">
      <c r="S219" s="41"/>
    </row>
    <row r="220" spans="18:30" ht="14.25" customHeight="1">
      <c r="S220" s="41"/>
    </row>
    <row r="221" spans="18:30" ht="14.25" customHeight="1">
      <c r="S221" s="41"/>
    </row>
    <row r="222" spans="18:30" ht="14.25" customHeight="1">
      <c r="S222" s="41"/>
    </row>
    <row r="223" spans="18:30" ht="14.25" customHeight="1">
      <c r="S223" s="41"/>
    </row>
    <row r="224" spans="18:30" ht="14.25" customHeight="1">
      <c r="S224" s="41"/>
    </row>
    <row r="225" spans="19:19" ht="14.25" customHeight="1">
      <c r="S225" s="41"/>
    </row>
    <row r="226" spans="19:19" ht="14.25" customHeight="1">
      <c r="S226" s="41"/>
    </row>
    <row r="227" spans="19:19" ht="14.25" customHeight="1">
      <c r="S227" s="41"/>
    </row>
    <row r="228" spans="19:19" ht="14.25" customHeight="1">
      <c r="S228" s="41"/>
    </row>
    <row r="229" spans="19:19" ht="14.25" customHeight="1">
      <c r="S229" s="41"/>
    </row>
    <row r="230" spans="19:19" ht="14.25" customHeight="1">
      <c r="S230" s="41"/>
    </row>
    <row r="231" spans="19:19" ht="14.25" customHeight="1">
      <c r="S231" s="41"/>
    </row>
    <row r="232" spans="19:19" ht="14.25" customHeight="1">
      <c r="S232" s="41"/>
    </row>
    <row r="233" spans="19:19" ht="14.25" customHeight="1">
      <c r="S233" s="41"/>
    </row>
    <row r="234" spans="19:19" ht="14.25" customHeight="1">
      <c r="S234" s="41"/>
    </row>
    <row r="235" spans="19:19" ht="14.25" customHeight="1">
      <c r="S235" s="41"/>
    </row>
    <row r="236" spans="19:19" ht="14.25" customHeight="1">
      <c r="S236" s="41"/>
    </row>
    <row r="237" spans="19:19" ht="14.25" customHeight="1">
      <c r="S237" s="41"/>
    </row>
    <row r="238" spans="19:19" ht="14.25" customHeight="1">
      <c r="S238" s="41"/>
    </row>
    <row r="239" spans="19:19" ht="14.25" customHeight="1">
      <c r="S239" s="41"/>
    </row>
    <row r="240" spans="19:19" ht="14.25" customHeight="1">
      <c r="S240" s="41"/>
    </row>
    <row r="241" spans="19:19" ht="14.25" customHeight="1">
      <c r="S241" s="41"/>
    </row>
    <row r="242" spans="19:19" ht="14.25" customHeight="1">
      <c r="S242" s="41"/>
    </row>
    <row r="243" spans="19:19" ht="14.25" customHeight="1">
      <c r="S243" s="41"/>
    </row>
    <row r="244" spans="19:19" ht="14.25" customHeight="1">
      <c r="S244" s="41"/>
    </row>
    <row r="245" spans="19:19" ht="14.25" customHeight="1">
      <c r="S245" s="41"/>
    </row>
    <row r="246" spans="19:19" ht="14.25" customHeight="1">
      <c r="S246" s="41"/>
    </row>
    <row r="247" spans="19:19" ht="14.25" customHeight="1">
      <c r="S247" s="41"/>
    </row>
    <row r="248" spans="19:19" ht="14.25" customHeight="1">
      <c r="S248" s="41"/>
    </row>
    <row r="249" spans="19:19" ht="14.25" customHeight="1">
      <c r="S249" s="41"/>
    </row>
    <row r="250" spans="19:19" ht="14.25" customHeight="1">
      <c r="S250" s="41"/>
    </row>
    <row r="251" spans="19:19" ht="14.25" customHeight="1">
      <c r="S251" s="41"/>
    </row>
    <row r="252" spans="19:19" ht="14.25" customHeight="1">
      <c r="S252" s="41"/>
    </row>
    <row r="253" spans="19:19" ht="14.25" customHeight="1">
      <c r="S253" s="41"/>
    </row>
    <row r="254" spans="19:19" ht="14.25" customHeight="1">
      <c r="S254" s="41"/>
    </row>
    <row r="255" spans="19:19" ht="14.25" customHeight="1">
      <c r="S255" s="41"/>
    </row>
    <row r="256" spans="19:19" ht="14.25" customHeight="1">
      <c r="S256" s="41"/>
    </row>
    <row r="257" spans="19:19" ht="14.25" customHeight="1">
      <c r="S257" s="41"/>
    </row>
    <row r="258" spans="19:19" ht="14.25" customHeight="1">
      <c r="S258" s="41"/>
    </row>
    <row r="259" spans="19:19" ht="14.25" customHeight="1">
      <c r="S259" s="41"/>
    </row>
    <row r="260" spans="19:19" ht="14.25" customHeight="1">
      <c r="S260" s="41"/>
    </row>
    <row r="261" spans="19:19" ht="14.25" customHeight="1">
      <c r="S261" s="41"/>
    </row>
    <row r="262" spans="19:19" ht="14.25" customHeight="1">
      <c r="S262" s="41"/>
    </row>
    <row r="263" spans="19:19" ht="14.25" customHeight="1">
      <c r="S263" s="41"/>
    </row>
    <row r="264" spans="19:19" ht="14.25" customHeight="1">
      <c r="S264" s="41"/>
    </row>
    <row r="265" spans="19:19" ht="14.25" customHeight="1">
      <c r="S265" s="41"/>
    </row>
    <row r="266" spans="19:19" ht="14.25" customHeight="1">
      <c r="S266" s="41"/>
    </row>
    <row r="267" spans="19:19" ht="14.25" customHeight="1">
      <c r="S267" s="41"/>
    </row>
    <row r="268" spans="19:19" ht="14.25" customHeight="1">
      <c r="S268" s="41"/>
    </row>
    <row r="269" spans="19:19" ht="14.25" customHeight="1">
      <c r="S269" s="41"/>
    </row>
    <row r="270" spans="19:19" ht="14.25" customHeight="1">
      <c r="S270" s="41"/>
    </row>
    <row r="271" spans="19:19" ht="14.25" customHeight="1">
      <c r="S271" s="41"/>
    </row>
    <row r="272" spans="19:19" ht="14.25" customHeight="1">
      <c r="S272" s="41"/>
    </row>
    <row r="273" spans="19:19" ht="14.25" customHeight="1">
      <c r="S273" s="41"/>
    </row>
    <row r="274" spans="19:19" ht="14.25" customHeight="1">
      <c r="S274" s="41"/>
    </row>
    <row r="275" spans="19:19" ht="14.25" customHeight="1">
      <c r="S275" s="41"/>
    </row>
    <row r="276" spans="19:19" ht="14.25" customHeight="1">
      <c r="S276" s="41"/>
    </row>
    <row r="277" spans="19:19" ht="14.25" customHeight="1">
      <c r="S277" s="41"/>
    </row>
    <row r="278" spans="19:19" ht="14.25" customHeight="1">
      <c r="S278" s="41"/>
    </row>
    <row r="279" spans="19:19" ht="14.25" customHeight="1">
      <c r="S279" s="41"/>
    </row>
    <row r="280" spans="19:19" ht="14.25" customHeight="1">
      <c r="S280" s="41"/>
    </row>
    <row r="281" spans="19:19" ht="14.25" customHeight="1">
      <c r="S281" s="41"/>
    </row>
    <row r="282" spans="19:19" ht="14.25" customHeight="1">
      <c r="S282" s="41"/>
    </row>
    <row r="283" spans="19:19" ht="14.25" customHeight="1">
      <c r="S283" s="41"/>
    </row>
    <row r="284" spans="19:19" ht="14.25" customHeight="1">
      <c r="S284" s="41"/>
    </row>
    <row r="285" spans="19:19" ht="14.25" customHeight="1">
      <c r="S285" s="41"/>
    </row>
    <row r="286" spans="19:19" ht="14.25" customHeight="1">
      <c r="S286" s="41"/>
    </row>
    <row r="287" spans="19:19" ht="14.25" customHeight="1">
      <c r="S287" s="41"/>
    </row>
    <row r="288" spans="19:19" ht="14.25" customHeight="1">
      <c r="S288" s="41"/>
    </row>
    <row r="289" spans="19:19" ht="14.25" customHeight="1">
      <c r="S289" s="41"/>
    </row>
    <row r="290" spans="19:19" ht="14.25" customHeight="1">
      <c r="S290" s="41"/>
    </row>
    <row r="291" spans="19:19" ht="14.25" customHeight="1">
      <c r="S291" s="41"/>
    </row>
    <row r="292" spans="19:19" ht="14.25" customHeight="1">
      <c r="S292" s="41"/>
    </row>
    <row r="293" spans="19:19" ht="14.25" customHeight="1">
      <c r="S293" s="41"/>
    </row>
    <row r="294" spans="19:19" ht="14.25" customHeight="1">
      <c r="S294" s="41"/>
    </row>
    <row r="295" spans="19:19" ht="14.25" customHeight="1">
      <c r="S295" s="41"/>
    </row>
    <row r="296" spans="19:19" ht="14.25" customHeight="1">
      <c r="S296" s="41"/>
    </row>
    <row r="297" spans="19:19" ht="14.25" customHeight="1">
      <c r="S297" s="41"/>
    </row>
    <row r="298" spans="19:19" ht="14.25" customHeight="1">
      <c r="S298" s="41"/>
    </row>
    <row r="299" spans="19:19" ht="14.25" customHeight="1">
      <c r="S299" s="41"/>
    </row>
    <row r="300" spans="19:19" ht="14.25" customHeight="1">
      <c r="S300" s="41"/>
    </row>
    <row r="301" spans="19:19" ht="14.25" customHeight="1">
      <c r="S301" s="41"/>
    </row>
    <row r="302" spans="19:19" ht="14.25" customHeight="1">
      <c r="S302" s="41"/>
    </row>
    <row r="303" spans="19:19" ht="14.25" customHeight="1">
      <c r="S303" s="41"/>
    </row>
    <row r="304" spans="19:19" ht="14.25" customHeight="1">
      <c r="S304" s="41"/>
    </row>
    <row r="305" spans="19:19" ht="14.25" customHeight="1">
      <c r="S305" s="41"/>
    </row>
    <row r="306" spans="19:19" ht="14.25" customHeight="1">
      <c r="S306" s="41"/>
    </row>
    <row r="307" spans="19:19" ht="14.25" customHeight="1">
      <c r="S307" s="41"/>
    </row>
    <row r="308" spans="19:19" ht="14.25" customHeight="1">
      <c r="S308" s="41"/>
    </row>
    <row r="309" spans="19:19" ht="14.25" customHeight="1">
      <c r="S309" s="41"/>
    </row>
    <row r="310" spans="19:19" ht="14.25" customHeight="1">
      <c r="S310" s="41"/>
    </row>
    <row r="311" spans="19:19" ht="14.25" customHeight="1">
      <c r="S311" s="41"/>
    </row>
    <row r="312" spans="19:19" ht="14.25" customHeight="1">
      <c r="S312" s="41"/>
    </row>
    <row r="313" spans="19:19" ht="14.25" customHeight="1">
      <c r="S313" s="41"/>
    </row>
    <row r="314" spans="19:19" ht="14.25" customHeight="1">
      <c r="S314" s="41"/>
    </row>
    <row r="315" spans="19:19" ht="14.25" customHeight="1">
      <c r="S315" s="41"/>
    </row>
    <row r="316" spans="19:19" ht="14.25" customHeight="1">
      <c r="S316" s="41"/>
    </row>
    <row r="317" spans="19:19" ht="14.25" customHeight="1">
      <c r="S317" s="41"/>
    </row>
    <row r="318" spans="19:19" ht="14.25" customHeight="1">
      <c r="S318" s="41"/>
    </row>
    <row r="319" spans="19:19" ht="14.25" customHeight="1">
      <c r="S319" s="41"/>
    </row>
    <row r="320" spans="19:19" ht="14.25" customHeight="1">
      <c r="S320" s="41"/>
    </row>
    <row r="321" spans="19:19" ht="14.25" customHeight="1">
      <c r="S321" s="41"/>
    </row>
    <row r="322" spans="19:19" ht="14.25" customHeight="1">
      <c r="S322" s="41"/>
    </row>
    <row r="323" spans="19:19" ht="14.25" customHeight="1">
      <c r="S323" s="41"/>
    </row>
    <row r="324" spans="19:19" ht="14.25" customHeight="1">
      <c r="S324" s="41"/>
    </row>
    <row r="325" spans="19:19" ht="14.25" customHeight="1">
      <c r="S325" s="41"/>
    </row>
    <row r="326" spans="19:19" ht="14.25" customHeight="1">
      <c r="S326" s="41"/>
    </row>
    <row r="327" spans="19:19" ht="14.25" customHeight="1">
      <c r="S327" s="41"/>
    </row>
    <row r="328" spans="19:19" ht="14.25" customHeight="1">
      <c r="S328" s="41"/>
    </row>
    <row r="329" spans="19:19" ht="14.25" customHeight="1">
      <c r="S329" s="41"/>
    </row>
    <row r="330" spans="19:19" ht="14.25" customHeight="1">
      <c r="S330" s="41"/>
    </row>
    <row r="331" spans="19:19" ht="14.25" customHeight="1">
      <c r="S331" s="41"/>
    </row>
    <row r="332" spans="19:19" ht="14.25" customHeight="1">
      <c r="S332" s="41"/>
    </row>
    <row r="333" spans="19:19" ht="14.25" customHeight="1">
      <c r="S333" s="41"/>
    </row>
    <row r="334" spans="19:19" ht="14.25" customHeight="1">
      <c r="S334" s="41"/>
    </row>
    <row r="335" spans="19:19" ht="14.25" customHeight="1">
      <c r="S335" s="41"/>
    </row>
    <row r="336" spans="19:19" ht="14.25" customHeight="1">
      <c r="S336" s="41"/>
    </row>
    <row r="337" spans="19:19" ht="14.25" customHeight="1">
      <c r="S337" s="41"/>
    </row>
    <row r="338" spans="19:19" ht="14.25" customHeight="1">
      <c r="S338" s="41"/>
    </row>
    <row r="339" spans="19:19" ht="14.25" customHeight="1">
      <c r="S339" s="41"/>
    </row>
    <row r="340" spans="19:19" ht="14.25" customHeight="1">
      <c r="S340" s="41"/>
    </row>
    <row r="341" spans="19:19" ht="14.25" customHeight="1">
      <c r="S341" s="41"/>
    </row>
    <row r="342" spans="19:19" ht="14.25" customHeight="1">
      <c r="S342" s="41"/>
    </row>
    <row r="343" spans="19:19" ht="14.25" customHeight="1">
      <c r="S343" s="41"/>
    </row>
    <row r="344" spans="19:19" ht="14.25" customHeight="1">
      <c r="S344" s="41"/>
    </row>
    <row r="345" spans="19:19" ht="14.25" customHeight="1">
      <c r="S345" s="41"/>
    </row>
    <row r="346" spans="19:19" ht="14.25" customHeight="1">
      <c r="S346" s="41"/>
    </row>
    <row r="347" spans="19:19" ht="14.25" customHeight="1">
      <c r="S347" s="41"/>
    </row>
    <row r="348" spans="19:19" ht="14.25" customHeight="1">
      <c r="S348" s="41"/>
    </row>
    <row r="349" spans="19:19" ht="14.25" customHeight="1">
      <c r="S349" s="41"/>
    </row>
    <row r="350" spans="19:19" ht="14.25" customHeight="1">
      <c r="S350" s="41"/>
    </row>
    <row r="351" spans="19:19" ht="14.25" customHeight="1">
      <c r="S351" s="41"/>
    </row>
    <row r="352" spans="19:19" ht="14.25" customHeight="1">
      <c r="S352" s="41"/>
    </row>
    <row r="353" spans="19:19" ht="14.25" customHeight="1">
      <c r="S353" s="41"/>
    </row>
    <row r="354" spans="19:19" ht="14.25" customHeight="1">
      <c r="S354" s="41"/>
    </row>
    <row r="355" spans="19:19" ht="14.25" customHeight="1">
      <c r="S355" s="41"/>
    </row>
    <row r="356" spans="19:19" ht="14.25" customHeight="1">
      <c r="S356" s="41"/>
    </row>
    <row r="357" spans="19:19" ht="14.25" customHeight="1">
      <c r="S357" s="41"/>
    </row>
    <row r="358" spans="19:19" ht="14.25" customHeight="1">
      <c r="S358" s="41"/>
    </row>
    <row r="359" spans="19:19" ht="14.25" customHeight="1">
      <c r="S359" s="41"/>
    </row>
    <row r="360" spans="19:19" ht="14.25" customHeight="1">
      <c r="S360" s="41"/>
    </row>
    <row r="361" spans="19:19" ht="14.25" customHeight="1">
      <c r="S361" s="41"/>
    </row>
    <row r="362" spans="19:19" ht="14.25" customHeight="1">
      <c r="S362" s="41"/>
    </row>
    <row r="363" spans="19:19" ht="14.25" customHeight="1">
      <c r="S363" s="41"/>
    </row>
    <row r="364" spans="19:19" ht="14.25" customHeight="1">
      <c r="S364" s="41"/>
    </row>
    <row r="365" spans="19:19" ht="14.25" customHeight="1">
      <c r="S365" s="41"/>
    </row>
    <row r="366" spans="19:19" ht="14.25" customHeight="1">
      <c r="S366" s="41"/>
    </row>
    <row r="367" spans="19:19" ht="14.25" customHeight="1">
      <c r="S367" s="41"/>
    </row>
    <row r="368" spans="19:19" ht="14.25" customHeight="1">
      <c r="S368" s="41"/>
    </row>
    <row r="369" spans="19:19" ht="14.25" customHeight="1">
      <c r="S369" s="41"/>
    </row>
    <row r="370" spans="19:19" ht="14.25" customHeight="1">
      <c r="S370" s="41"/>
    </row>
    <row r="371" spans="19:19" ht="14.25" customHeight="1">
      <c r="S371" s="41"/>
    </row>
    <row r="372" spans="19:19" ht="14.25" customHeight="1">
      <c r="S372" s="41"/>
    </row>
    <row r="373" spans="19:19" ht="14.25" customHeight="1">
      <c r="S373" s="41"/>
    </row>
    <row r="374" spans="19:19" ht="14.25" customHeight="1">
      <c r="S374" s="41"/>
    </row>
    <row r="375" spans="19:19" ht="14.25" customHeight="1">
      <c r="S375" s="41"/>
    </row>
    <row r="376" spans="19:19" ht="14.25" customHeight="1">
      <c r="S376" s="41"/>
    </row>
    <row r="377" spans="19:19" ht="14.25" customHeight="1">
      <c r="S377" s="41"/>
    </row>
    <row r="378" spans="19:19" ht="14.25" customHeight="1">
      <c r="S378" s="41"/>
    </row>
    <row r="379" spans="19:19" ht="14.25" customHeight="1">
      <c r="S379" s="41"/>
    </row>
    <row r="380" spans="19:19" ht="14.25" customHeight="1">
      <c r="S380" s="41"/>
    </row>
    <row r="381" spans="19:19" ht="14.25" customHeight="1">
      <c r="S381" s="41"/>
    </row>
    <row r="382" spans="19:19" ht="14.25" customHeight="1">
      <c r="S382" s="41"/>
    </row>
    <row r="383" spans="19:19" ht="14.25" customHeight="1">
      <c r="S383" s="41"/>
    </row>
    <row r="384" spans="19:19" ht="14.25" customHeight="1">
      <c r="S384" s="41"/>
    </row>
    <row r="385" spans="19:19" ht="14.25" customHeight="1">
      <c r="S385" s="41"/>
    </row>
    <row r="386" spans="19:19" ht="14.25" customHeight="1">
      <c r="S386" s="41"/>
    </row>
    <row r="387" spans="19:19" ht="14.25" customHeight="1">
      <c r="S387" s="41"/>
    </row>
    <row r="388" spans="19:19" ht="14.25" customHeight="1">
      <c r="S388" s="41"/>
    </row>
    <row r="389" spans="19:19" ht="14.25" customHeight="1">
      <c r="S389" s="41"/>
    </row>
    <row r="390" spans="19:19" ht="14.25" customHeight="1">
      <c r="S390" s="41"/>
    </row>
    <row r="391" spans="19:19" ht="14.25" customHeight="1">
      <c r="S391" s="41"/>
    </row>
    <row r="392" spans="19:19" ht="14.25" customHeight="1">
      <c r="S392" s="41"/>
    </row>
    <row r="393" spans="19:19" ht="14.25" customHeight="1">
      <c r="S393" s="41"/>
    </row>
    <row r="394" spans="19:19" ht="14.25" customHeight="1">
      <c r="S394" s="41"/>
    </row>
    <row r="395" spans="19:19" ht="14.25" customHeight="1">
      <c r="S395" s="41"/>
    </row>
    <row r="396" spans="19:19" ht="14.25" customHeight="1">
      <c r="S396" s="41"/>
    </row>
    <row r="397" spans="19:19" ht="14.25" customHeight="1">
      <c r="S397" s="41"/>
    </row>
    <row r="398" spans="19:19" ht="14.25" customHeight="1">
      <c r="S398" s="41"/>
    </row>
    <row r="399" spans="19:19" ht="14.25" customHeight="1">
      <c r="S399" s="41"/>
    </row>
    <row r="400" spans="19:19" ht="14.25" customHeight="1">
      <c r="S400" s="41"/>
    </row>
    <row r="401" spans="19:19" ht="14.25" customHeight="1">
      <c r="S401" s="41"/>
    </row>
    <row r="402" spans="19:19" ht="14.25" customHeight="1">
      <c r="S402" s="41"/>
    </row>
    <row r="403" spans="19:19" ht="14.25" customHeight="1">
      <c r="S403" s="41"/>
    </row>
    <row r="404" spans="19:19" ht="14.25" customHeight="1">
      <c r="S404" s="41"/>
    </row>
    <row r="405" spans="19:19" ht="14.25" customHeight="1">
      <c r="S405" s="41"/>
    </row>
    <row r="406" spans="19:19" ht="14.25" customHeight="1">
      <c r="S406" s="41"/>
    </row>
    <row r="407" spans="19:19" ht="14.25" customHeight="1">
      <c r="S407" s="41"/>
    </row>
    <row r="408" spans="19:19" ht="14.25" customHeight="1">
      <c r="S408" s="41"/>
    </row>
    <row r="409" spans="19:19" ht="14.25" customHeight="1">
      <c r="S409" s="41"/>
    </row>
    <row r="410" spans="19:19" ht="14.25" customHeight="1">
      <c r="S410" s="41"/>
    </row>
    <row r="411" spans="19:19" ht="14.25" customHeight="1">
      <c r="S411" s="41"/>
    </row>
    <row r="412" spans="19:19" ht="14.25" customHeight="1">
      <c r="S412" s="41"/>
    </row>
    <row r="413" spans="19:19" ht="14.25" customHeight="1">
      <c r="S413" s="41"/>
    </row>
    <row r="414" spans="19:19" ht="14.25" customHeight="1">
      <c r="S414" s="41"/>
    </row>
    <row r="415" spans="19:19" ht="14.25" customHeight="1">
      <c r="S415" s="41"/>
    </row>
    <row r="416" spans="19:19" ht="14.25" customHeight="1">
      <c r="S416" s="41"/>
    </row>
    <row r="417" spans="19:19" ht="14.25" customHeight="1">
      <c r="S417" s="41"/>
    </row>
    <row r="418" spans="19:19" ht="14.25" customHeight="1">
      <c r="S418" s="41"/>
    </row>
    <row r="419" spans="19:19" ht="14.25" customHeight="1">
      <c r="S419" s="41"/>
    </row>
    <row r="420" spans="19:19" ht="14.25" customHeight="1">
      <c r="S420" s="41"/>
    </row>
    <row r="421" spans="19:19" ht="14.25" customHeight="1">
      <c r="S421" s="41"/>
    </row>
    <row r="422" spans="19:19" ht="14.25" customHeight="1">
      <c r="S422" s="41"/>
    </row>
    <row r="423" spans="19:19" ht="14.25" customHeight="1">
      <c r="S423" s="41"/>
    </row>
    <row r="424" spans="19:19" ht="14.25" customHeight="1">
      <c r="S424" s="41"/>
    </row>
    <row r="425" spans="19:19" ht="14.25" customHeight="1">
      <c r="S425" s="41"/>
    </row>
    <row r="426" spans="19:19" ht="14.25" customHeight="1">
      <c r="S426" s="41"/>
    </row>
    <row r="427" spans="19:19" ht="14.25" customHeight="1">
      <c r="S427" s="41"/>
    </row>
    <row r="428" spans="19:19" ht="14.25" customHeight="1">
      <c r="S428" s="41"/>
    </row>
    <row r="429" spans="19:19" ht="14.25" customHeight="1">
      <c r="S429" s="41"/>
    </row>
    <row r="430" spans="19:19" ht="14.25" customHeight="1">
      <c r="S430" s="41"/>
    </row>
    <row r="431" spans="19:19" ht="14.25" customHeight="1">
      <c r="S431" s="41"/>
    </row>
    <row r="432" spans="19:19" ht="14.25" customHeight="1">
      <c r="S432" s="41"/>
    </row>
    <row r="433" spans="19:19" ht="14.25" customHeight="1">
      <c r="S433" s="41"/>
    </row>
    <row r="434" spans="19:19" ht="14.25" customHeight="1">
      <c r="S434" s="41"/>
    </row>
    <row r="435" spans="19:19" ht="14.25" customHeight="1">
      <c r="S435" s="41"/>
    </row>
    <row r="436" spans="19:19" ht="14.25" customHeight="1">
      <c r="S436" s="41"/>
    </row>
    <row r="437" spans="19:19" ht="14.25" customHeight="1">
      <c r="S437" s="41"/>
    </row>
    <row r="438" spans="19:19" ht="14.25" customHeight="1">
      <c r="S438" s="41"/>
    </row>
    <row r="439" spans="19:19" ht="14.25" customHeight="1">
      <c r="S439" s="41"/>
    </row>
    <row r="440" spans="19:19" ht="14.25" customHeight="1">
      <c r="S440" s="41"/>
    </row>
    <row r="441" spans="19:19" ht="14.25" customHeight="1">
      <c r="S441" s="41"/>
    </row>
    <row r="442" spans="19:19" ht="14.25" customHeight="1">
      <c r="S442" s="41"/>
    </row>
    <row r="443" spans="19:19" ht="14.25" customHeight="1">
      <c r="S443" s="41"/>
    </row>
    <row r="444" spans="19:19" ht="14.25" customHeight="1">
      <c r="S444" s="41"/>
    </row>
    <row r="445" spans="19:19" ht="14.25" customHeight="1">
      <c r="S445" s="41"/>
    </row>
    <row r="446" spans="19:19" ht="14.25" customHeight="1">
      <c r="S446" s="41"/>
    </row>
    <row r="447" spans="19:19" ht="14.25" customHeight="1">
      <c r="S447" s="41"/>
    </row>
    <row r="448" spans="19:19" ht="14.25" customHeight="1">
      <c r="S448" s="41"/>
    </row>
    <row r="449" spans="19:19" ht="14.25" customHeight="1">
      <c r="S449" s="41"/>
    </row>
    <row r="450" spans="19:19" ht="14.25" customHeight="1">
      <c r="S450" s="41"/>
    </row>
    <row r="451" spans="19:19" ht="14.25" customHeight="1">
      <c r="S451" s="41"/>
    </row>
    <row r="452" spans="19:19" ht="14.25" customHeight="1">
      <c r="S452" s="41"/>
    </row>
    <row r="453" spans="19:19" ht="14.25" customHeight="1">
      <c r="S453" s="41"/>
    </row>
    <row r="454" spans="19:19" ht="14.25" customHeight="1">
      <c r="S454" s="41"/>
    </row>
    <row r="455" spans="19:19" ht="14.25" customHeight="1">
      <c r="S455" s="41"/>
    </row>
    <row r="456" spans="19:19" ht="14.25" customHeight="1">
      <c r="S456" s="41"/>
    </row>
    <row r="457" spans="19:19" ht="14.25" customHeight="1">
      <c r="S457" s="41"/>
    </row>
    <row r="458" spans="19:19" ht="14.25" customHeight="1">
      <c r="S458" s="41"/>
    </row>
    <row r="459" spans="19:19" ht="14.25" customHeight="1">
      <c r="S459" s="41"/>
    </row>
    <row r="460" spans="19:19" ht="14.25" customHeight="1">
      <c r="S460" s="41"/>
    </row>
    <row r="461" spans="19:19" ht="14.25" customHeight="1">
      <c r="S461" s="41"/>
    </row>
    <row r="462" spans="19:19" ht="14.25" customHeight="1">
      <c r="S462" s="41"/>
    </row>
    <row r="463" spans="19:19" ht="14.25" customHeight="1">
      <c r="S463" s="41"/>
    </row>
    <row r="464" spans="19:19" ht="14.25" customHeight="1">
      <c r="S464" s="41"/>
    </row>
    <row r="465" spans="19:19" ht="14.25" customHeight="1">
      <c r="S465" s="41"/>
    </row>
    <row r="466" spans="19:19" ht="14.25" customHeight="1">
      <c r="S466" s="41"/>
    </row>
    <row r="467" spans="19:19" ht="14.25" customHeight="1">
      <c r="S467" s="41"/>
    </row>
    <row r="468" spans="19:19" ht="14.25" customHeight="1">
      <c r="S468" s="41"/>
    </row>
    <row r="469" spans="19:19" ht="14.25" customHeight="1">
      <c r="S469" s="41"/>
    </row>
    <row r="470" spans="19:19" ht="14.25" customHeight="1">
      <c r="S470" s="41"/>
    </row>
    <row r="471" spans="19:19" ht="14.25" customHeight="1">
      <c r="S471" s="41"/>
    </row>
    <row r="472" spans="19:19" ht="14.25" customHeight="1">
      <c r="S472" s="41"/>
    </row>
    <row r="473" spans="19:19" ht="14.25" customHeight="1">
      <c r="S473" s="41"/>
    </row>
    <row r="474" spans="19:19" ht="14.25" customHeight="1">
      <c r="S474" s="41"/>
    </row>
    <row r="475" spans="19:19" ht="14.25" customHeight="1">
      <c r="S475" s="41"/>
    </row>
    <row r="476" spans="19:19" ht="14.25" customHeight="1">
      <c r="S476" s="41"/>
    </row>
    <row r="477" spans="19:19" ht="14.25" customHeight="1">
      <c r="S477" s="41"/>
    </row>
    <row r="478" spans="19:19" ht="14.25" customHeight="1">
      <c r="S478" s="41"/>
    </row>
    <row r="479" spans="19:19" ht="14.25" customHeight="1">
      <c r="S479" s="41"/>
    </row>
    <row r="480" spans="19:19" ht="14.25" customHeight="1">
      <c r="S480" s="41"/>
    </row>
    <row r="481" spans="19:19" ht="14.25" customHeight="1">
      <c r="S481" s="41"/>
    </row>
    <row r="482" spans="19:19" ht="14.25" customHeight="1">
      <c r="S482" s="41"/>
    </row>
    <row r="483" spans="19:19" ht="14.25" customHeight="1">
      <c r="S483" s="41"/>
    </row>
    <row r="484" spans="19:19" ht="14.25" customHeight="1">
      <c r="S484" s="41"/>
    </row>
    <row r="485" spans="19:19" ht="14.25" customHeight="1">
      <c r="S485" s="41"/>
    </row>
    <row r="486" spans="19:19" ht="14.25" customHeight="1">
      <c r="S486" s="41"/>
    </row>
    <row r="487" spans="19:19" ht="14.25" customHeight="1">
      <c r="S487" s="41"/>
    </row>
    <row r="488" spans="19:19" ht="14.25" customHeight="1">
      <c r="S488" s="41"/>
    </row>
    <row r="489" spans="19:19" ht="14.25" customHeight="1">
      <c r="S489" s="41"/>
    </row>
    <row r="490" spans="19:19" ht="14.25" customHeight="1">
      <c r="S490" s="41"/>
    </row>
    <row r="491" spans="19:19" ht="14.25" customHeight="1">
      <c r="S491" s="41"/>
    </row>
    <row r="492" spans="19:19" ht="14.25" customHeight="1">
      <c r="S492" s="41"/>
    </row>
    <row r="493" spans="19:19" ht="14.25" customHeight="1">
      <c r="S493" s="41"/>
    </row>
    <row r="494" spans="19:19" ht="14.25" customHeight="1">
      <c r="S494" s="41"/>
    </row>
    <row r="495" spans="19:19" ht="14.25" customHeight="1">
      <c r="S495" s="41"/>
    </row>
    <row r="496" spans="19:19" ht="14.25" customHeight="1">
      <c r="S496" s="41"/>
    </row>
    <row r="497" spans="19:19" ht="14.25" customHeight="1">
      <c r="S497" s="41"/>
    </row>
    <row r="498" spans="19:19" ht="14.25" customHeight="1">
      <c r="S498" s="41"/>
    </row>
    <row r="499" spans="19:19" ht="14.25" customHeight="1">
      <c r="S499" s="41"/>
    </row>
    <row r="500" spans="19:19" ht="14.25" customHeight="1">
      <c r="S500" s="41"/>
    </row>
    <row r="501" spans="19:19" ht="14.25" customHeight="1">
      <c r="S501" s="41"/>
    </row>
    <row r="502" spans="19:19" ht="14.25" customHeight="1">
      <c r="S502" s="41"/>
    </row>
    <row r="503" spans="19:19" ht="14.25" customHeight="1">
      <c r="S503" s="41"/>
    </row>
    <row r="504" spans="19:19" ht="14.25" customHeight="1">
      <c r="S504" s="41"/>
    </row>
    <row r="505" spans="19:19" ht="14.25" customHeight="1">
      <c r="S505" s="41"/>
    </row>
    <row r="506" spans="19:19" ht="14.25" customHeight="1">
      <c r="S506" s="41"/>
    </row>
    <row r="507" spans="19:19" ht="14.25" customHeight="1">
      <c r="S507" s="41"/>
    </row>
    <row r="508" spans="19:19" ht="14.25" customHeight="1">
      <c r="S508" s="41"/>
    </row>
    <row r="509" spans="19:19" ht="14.25" customHeight="1">
      <c r="S509" s="41"/>
    </row>
    <row r="510" spans="19:19" ht="14.25" customHeight="1">
      <c r="S510" s="41"/>
    </row>
    <row r="511" spans="19:19" ht="14.25" customHeight="1">
      <c r="S511" s="41"/>
    </row>
    <row r="512" spans="19:19" ht="14.25" customHeight="1">
      <c r="S512" s="41"/>
    </row>
    <row r="513" spans="19:19" ht="14.25" customHeight="1">
      <c r="S513" s="41"/>
    </row>
    <row r="514" spans="19:19" ht="14.25" customHeight="1">
      <c r="S514" s="41"/>
    </row>
    <row r="515" spans="19:19" ht="14.25" customHeight="1">
      <c r="S515" s="41"/>
    </row>
    <row r="516" spans="19:19" ht="14.25" customHeight="1">
      <c r="S516" s="41"/>
    </row>
    <row r="517" spans="19:19" ht="14.25" customHeight="1">
      <c r="S517" s="41"/>
    </row>
    <row r="518" spans="19:19" ht="14.25" customHeight="1">
      <c r="S518" s="41"/>
    </row>
    <row r="519" spans="19:19" ht="14.25" customHeight="1">
      <c r="S519" s="41"/>
    </row>
    <row r="520" spans="19:19" ht="14.25" customHeight="1">
      <c r="S520" s="41"/>
    </row>
    <row r="521" spans="19:19" ht="14.25" customHeight="1">
      <c r="S521" s="41"/>
    </row>
    <row r="522" spans="19:19" ht="14.25" customHeight="1">
      <c r="S522" s="41"/>
    </row>
    <row r="523" spans="19:19" ht="14.25" customHeight="1">
      <c r="S523" s="41"/>
    </row>
    <row r="524" spans="19:19" ht="14.25" customHeight="1">
      <c r="S524" s="41"/>
    </row>
    <row r="525" spans="19:19" ht="14.25" customHeight="1">
      <c r="S525" s="41"/>
    </row>
    <row r="526" spans="19:19" ht="14.25" customHeight="1">
      <c r="S526" s="41"/>
    </row>
    <row r="527" spans="19:19" ht="14.25" customHeight="1">
      <c r="S527" s="41"/>
    </row>
    <row r="528" spans="19:19" ht="14.25" customHeight="1">
      <c r="S528" s="41"/>
    </row>
    <row r="529" spans="19:19" ht="14.25" customHeight="1">
      <c r="S529" s="41"/>
    </row>
    <row r="530" spans="19:19" ht="14.25" customHeight="1">
      <c r="S530" s="41"/>
    </row>
    <row r="531" spans="19:19" ht="14.25" customHeight="1">
      <c r="S531" s="41"/>
    </row>
    <row r="532" spans="19:19" ht="14.25" customHeight="1">
      <c r="S532" s="41"/>
    </row>
    <row r="533" spans="19:19" ht="14.25" customHeight="1">
      <c r="S533" s="41"/>
    </row>
    <row r="534" spans="19:19" ht="14.25" customHeight="1">
      <c r="S534" s="41"/>
    </row>
    <row r="535" spans="19:19" ht="14.25" customHeight="1">
      <c r="S535" s="41"/>
    </row>
    <row r="536" spans="19:19" ht="14.25" customHeight="1">
      <c r="S536" s="41"/>
    </row>
    <row r="537" spans="19:19" ht="14.25" customHeight="1">
      <c r="S537" s="41"/>
    </row>
    <row r="538" spans="19:19" ht="14.25" customHeight="1">
      <c r="S538" s="41"/>
    </row>
    <row r="539" spans="19:19" ht="14.25" customHeight="1">
      <c r="S539" s="41"/>
    </row>
    <row r="540" spans="19:19" ht="14.25" customHeight="1">
      <c r="S540" s="41"/>
    </row>
    <row r="541" spans="19:19" ht="14.25" customHeight="1">
      <c r="S541" s="41"/>
    </row>
    <row r="542" spans="19:19" ht="14.25" customHeight="1">
      <c r="S542" s="41"/>
    </row>
    <row r="543" spans="19:19" ht="14.25" customHeight="1">
      <c r="S543" s="41"/>
    </row>
    <row r="544" spans="19:19" ht="14.25" customHeight="1">
      <c r="S544" s="41"/>
    </row>
    <row r="545" spans="19:19" ht="14.25" customHeight="1">
      <c r="S545" s="41"/>
    </row>
    <row r="546" spans="19:19" ht="14.25" customHeight="1">
      <c r="S546" s="41"/>
    </row>
    <row r="547" spans="19:19" ht="14.25" customHeight="1">
      <c r="S547" s="41"/>
    </row>
    <row r="548" spans="19:19" ht="14.25" customHeight="1">
      <c r="S548" s="41"/>
    </row>
    <row r="549" spans="19:19" ht="14.25" customHeight="1">
      <c r="S549" s="41"/>
    </row>
    <row r="550" spans="19:19" ht="14.25" customHeight="1">
      <c r="S550" s="41"/>
    </row>
    <row r="551" spans="19:19" ht="14.25" customHeight="1">
      <c r="S551" s="41"/>
    </row>
    <row r="552" spans="19:19" ht="14.25" customHeight="1">
      <c r="S552" s="41"/>
    </row>
    <row r="553" spans="19:19" ht="14.25" customHeight="1">
      <c r="S553" s="41"/>
    </row>
    <row r="554" spans="19:19" ht="14.25" customHeight="1">
      <c r="S554" s="41"/>
    </row>
    <row r="555" spans="19:19" ht="14.25" customHeight="1">
      <c r="S555" s="41"/>
    </row>
    <row r="556" spans="19:19" ht="14.25" customHeight="1">
      <c r="S556" s="41"/>
    </row>
    <row r="557" spans="19:19" ht="14.25" customHeight="1">
      <c r="S557" s="41"/>
    </row>
    <row r="558" spans="19:19" ht="14.25" customHeight="1">
      <c r="S558" s="41"/>
    </row>
    <row r="559" spans="19:19" ht="14.25" customHeight="1">
      <c r="S559" s="41"/>
    </row>
    <row r="560" spans="19:19" ht="14.25" customHeight="1">
      <c r="S560" s="41"/>
    </row>
    <row r="561" spans="19:19" ht="14.25" customHeight="1">
      <c r="S561" s="41"/>
    </row>
    <row r="562" spans="19:19" ht="14.25" customHeight="1">
      <c r="S562" s="41"/>
    </row>
    <row r="563" spans="19:19" ht="14.25" customHeight="1">
      <c r="S563" s="41"/>
    </row>
    <row r="564" spans="19:19" ht="14.25" customHeight="1">
      <c r="S564" s="41"/>
    </row>
    <row r="565" spans="19:19" ht="14.25" customHeight="1">
      <c r="S565" s="41"/>
    </row>
    <row r="566" spans="19:19" ht="14.25" customHeight="1">
      <c r="S566" s="41"/>
    </row>
    <row r="567" spans="19:19" ht="14.25" customHeight="1">
      <c r="S567" s="41"/>
    </row>
    <row r="568" spans="19:19" ht="14.25" customHeight="1">
      <c r="S568" s="41"/>
    </row>
    <row r="569" spans="19:19" ht="14.25" customHeight="1">
      <c r="S569" s="41"/>
    </row>
    <row r="570" spans="19:19" ht="14.25" customHeight="1">
      <c r="S570" s="41"/>
    </row>
    <row r="571" spans="19:19" ht="14.25" customHeight="1">
      <c r="S571" s="41"/>
    </row>
    <row r="572" spans="19:19" ht="14.25" customHeight="1">
      <c r="S572" s="41"/>
    </row>
    <row r="573" spans="19:19" ht="14.25" customHeight="1">
      <c r="S573" s="41"/>
    </row>
    <row r="574" spans="19:19" ht="14.25" customHeight="1">
      <c r="S574" s="41"/>
    </row>
    <row r="575" spans="19:19" ht="14.25" customHeight="1">
      <c r="S575" s="41"/>
    </row>
    <row r="576" spans="19:19" ht="14.25" customHeight="1">
      <c r="S576" s="41"/>
    </row>
    <row r="577" spans="19:19" ht="14.25" customHeight="1">
      <c r="S577" s="41"/>
    </row>
    <row r="578" spans="19:19" ht="14.25" customHeight="1">
      <c r="S578" s="41"/>
    </row>
    <row r="579" spans="19:19" ht="14.25" customHeight="1">
      <c r="S579" s="41"/>
    </row>
    <row r="580" spans="19:19" ht="14.25" customHeight="1">
      <c r="S580" s="41"/>
    </row>
    <row r="581" spans="19:19" ht="14.25" customHeight="1">
      <c r="S581" s="41"/>
    </row>
    <row r="582" spans="19:19" ht="14.25" customHeight="1">
      <c r="S582" s="41"/>
    </row>
    <row r="583" spans="19:19" ht="14.25" customHeight="1">
      <c r="S583" s="41"/>
    </row>
    <row r="584" spans="19:19" ht="14.25" customHeight="1">
      <c r="S584" s="41"/>
    </row>
    <row r="585" spans="19:19" ht="14.25" customHeight="1">
      <c r="S585" s="41"/>
    </row>
    <row r="586" spans="19:19" ht="14.25" customHeight="1">
      <c r="S586" s="41"/>
    </row>
    <row r="587" spans="19:19" ht="14.25" customHeight="1">
      <c r="S587" s="41"/>
    </row>
    <row r="588" spans="19:19" ht="14.25" customHeight="1">
      <c r="S588" s="41"/>
    </row>
    <row r="589" spans="19:19" ht="14.25" customHeight="1">
      <c r="S589" s="41"/>
    </row>
    <row r="590" spans="19:19" ht="14.25" customHeight="1">
      <c r="S590" s="41"/>
    </row>
    <row r="591" spans="19:19" ht="14.25" customHeight="1">
      <c r="S591" s="41"/>
    </row>
    <row r="592" spans="19:19" ht="14.25" customHeight="1">
      <c r="S592" s="41"/>
    </row>
    <row r="593" spans="19:19" ht="14.25" customHeight="1">
      <c r="S593" s="41"/>
    </row>
    <row r="594" spans="19:19" ht="14.25" customHeight="1">
      <c r="S594" s="41"/>
    </row>
    <row r="595" spans="19:19" ht="14.25" customHeight="1">
      <c r="S595" s="41"/>
    </row>
    <row r="596" spans="19:19" ht="14.25" customHeight="1">
      <c r="S596" s="41"/>
    </row>
    <row r="597" spans="19:19" ht="14.25" customHeight="1">
      <c r="S597" s="41"/>
    </row>
    <row r="598" spans="19:19" ht="14.25" customHeight="1">
      <c r="S598" s="41"/>
    </row>
    <row r="599" spans="19:19" ht="14.25" customHeight="1">
      <c r="S599" s="41"/>
    </row>
    <row r="600" spans="19:19" ht="14.25" customHeight="1">
      <c r="S600" s="41"/>
    </row>
    <row r="601" spans="19:19" ht="14.25" customHeight="1">
      <c r="S601" s="41"/>
    </row>
    <row r="602" spans="19:19" ht="14.25" customHeight="1">
      <c r="S602" s="41"/>
    </row>
    <row r="603" spans="19:19" ht="14.25" customHeight="1">
      <c r="S603" s="41"/>
    </row>
    <row r="604" spans="19:19" ht="14.25" customHeight="1">
      <c r="S604" s="41"/>
    </row>
    <row r="605" spans="19:19" ht="14.25" customHeight="1">
      <c r="S605" s="41"/>
    </row>
    <row r="606" spans="19:19" ht="14.25" customHeight="1">
      <c r="S606" s="41"/>
    </row>
    <row r="607" spans="19:19" ht="14.25" customHeight="1">
      <c r="S607" s="41"/>
    </row>
    <row r="608" spans="19:19" ht="14.25" customHeight="1">
      <c r="S608" s="41"/>
    </row>
    <row r="609" spans="19:19" ht="14.25" customHeight="1">
      <c r="S609" s="41"/>
    </row>
    <row r="610" spans="19:19" ht="14.25" customHeight="1">
      <c r="S610" s="41"/>
    </row>
    <row r="611" spans="19:19" ht="14.25" customHeight="1">
      <c r="S611" s="41"/>
    </row>
    <row r="612" spans="19:19" ht="14.25" customHeight="1">
      <c r="S612" s="41"/>
    </row>
    <row r="613" spans="19:19" ht="14.25" customHeight="1">
      <c r="S613" s="41"/>
    </row>
    <row r="614" spans="19:19" ht="14.25" customHeight="1">
      <c r="S614" s="41"/>
    </row>
    <row r="615" spans="19:19" ht="14.25" customHeight="1">
      <c r="S615" s="41"/>
    </row>
    <row r="616" spans="19:19" ht="14.25" customHeight="1">
      <c r="S616" s="41"/>
    </row>
    <row r="617" spans="19:19" ht="14.25" customHeight="1">
      <c r="S617" s="41"/>
    </row>
    <row r="618" spans="19:19" ht="14.25" customHeight="1">
      <c r="S618" s="41"/>
    </row>
    <row r="619" spans="19:19" ht="14.25" customHeight="1">
      <c r="S619" s="41"/>
    </row>
    <row r="620" spans="19:19" ht="14.25" customHeight="1">
      <c r="S620" s="41"/>
    </row>
    <row r="621" spans="19:19" ht="14.25" customHeight="1">
      <c r="S621" s="41"/>
    </row>
    <row r="622" spans="19:19" ht="14.25" customHeight="1">
      <c r="S622" s="41"/>
    </row>
    <row r="623" spans="19:19" ht="14.25" customHeight="1">
      <c r="S623" s="41"/>
    </row>
    <row r="624" spans="19:19" ht="14.25" customHeight="1">
      <c r="S624" s="41"/>
    </row>
    <row r="625" spans="19:19" ht="14.25" customHeight="1">
      <c r="S625" s="41"/>
    </row>
    <row r="626" spans="19:19" ht="14.25" customHeight="1">
      <c r="S626" s="41"/>
    </row>
    <row r="627" spans="19:19" ht="14.25" customHeight="1">
      <c r="S627" s="41"/>
    </row>
    <row r="628" spans="19:19" ht="14.25" customHeight="1">
      <c r="S628" s="41"/>
    </row>
    <row r="629" spans="19:19" ht="14.25" customHeight="1">
      <c r="S629" s="41"/>
    </row>
    <row r="630" spans="19:19" ht="14.25" customHeight="1">
      <c r="S630" s="41"/>
    </row>
    <row r="631" spans="19:19" ht="14.25" customHeight="1">
      <c r="S631" s="41"/>
    </row>
    <row r="632" spans="19:19" ht="14.25" customHeight="1">
      <c r="S632" s="41"/>
    </row>
    <row r="633" spans="19:19" ht="14.25" customHeight="1">
      <c r="S633" s="41"/>
    </row>
    <row r="634" spans="19:19" ht="14.25" customHeight="1">
      <c r="S634" s="41"/>
    </row>
    <row r="635" spans="19:19" ht="14.25" customHeight="1">
      <c r="S635" s="41"/>
    </row>
    <row r="636" spans="19:19" ht="14.25" customHeight="1">
      <c r="S636" s="41"/>
    </row>
    <row r="637" spans="19:19" ht="14.25" customHeight="1">
      <c r="S637" s="41"/>
    </row>
    <row r="638" spans="19:19" ht="14.25" customHeight="1">
      <c r="S638" s="41"/>
    </row>
    <row r="639" spans="19:19" ht="14.25" customHeight="1">
      <c r="S639" s="41"/>
    </row>
    <row r="640" spans="19:19" ht="14.25" customHeight="1">
      <c r="S640" s="41"/>
    </row>
    <row r="641" spans="19:19" ht="14.25" customHeight="1">
      <c r="S641" s="41"/>
    </row>
    <row r="642" spans="19:19" ht="14.25" customHeight="1">
      <c r="S642" s="41"/>
    </row>
    <row r="643" spans="19:19" ht="14.25" customHeight="1">
      <c r="S643" s="41"/>
    </row>
    <row r="644" spans="19:19" ht="14.25" customHeight="1">
      <c r="S644" s="41"/>
    </row>
    <row r="645" spans="19:19" ht="14.25" customHeight="1">
      <c r="S645" s="41"/>
    </row>
    <row r="646" spans="19:19" ht="14.25" customHeight="1">
      <c r="S646" s="41"/>
    </row>
    <row r="647" spans="19:19" ht="14.25" customHeight="1">
      <c r="S647" s="41"/>
    </row>
    <row r="648" spans="19:19" ht="14.25" customHeight="1">
      <c r="S648" s="41"/>
    </row>
    <row r="649" spans="19:19" ht="14.25" customHeight="1">
      <c r="S649" s="41"/>
    </row>
    <row r="650" spans="19:19" ht="14.25" customHeight="1">
      <c r="S650" s="41"/>
    </row>
    <row r="651" spans="19:19" ht="14.25" customHeight="1">
      <c r="S651" s="41"/>
    </row>
    <row r="652" spans="19:19" ht="14.25" customHeight="1">
      <c r="S652" s="41"/>
    </row>
    <row r="653" spans="19:19" ht="14.25" customHeight="1">
      <c r="S653" s="41"/>
    </row>
    <row r="654" spans="19:19" ht="14.25" customHeight="1">
      <c r="S654" s="41"/>
    </row>
    <row r="655" spans="19:19" ht="14.25" customHeight="1">
      <c r="S655" s="41"/>
    </row>
    <row r="656" spans="19:19" ht="14.25" customHeight="1">
      <c r="S656" s="41"/>
    </row>
    <row r="657" spans="19:19" ht="14.25" customHeight="1">
      <c r="S657" s="41"/>
    </row>
    <row r="658" spans="19:19" ht="14.25" customHeight="1">
      <c r="S658" s="41"/>
    </row>
    <row r="659" spans="19:19" ht="14.25" customHeight="1">
      <c r="S659" s="41"/>
    </row>
    <row r="660" spans="19:19" ht="14.25" customHeight="1">
      <c r="S660" s="41"/>
    </row>
    <row r="661" spans="19:19" ht="14.25" customHeight="1">
      <c r="S661" s="41"/>
    </row>
    <row r="662" spans="19:19" ht="14.25" customHeight="1">
      <c r="S662" s="41"/>
    </row>
    <row r="663" spans="19:19" ht="14.25" customHeight="1">
      <c r="S663" s="41"/>
    </row>
    <row r="664" spans="19:19" ht="14.25" customHeight="1">
      <c r="S664" s="41"/>
    </row>
    <row r="665" spans="19:19" ht="14.25" customHeight="1">
      <c r="S665" s="41"/>
    </row>
    <row r="666" spans="19:19" ht="14.25" customHeight="1">
      <c r="S666" s="41"/>
    </row>
    <row r="667" spans="19:19" ht="14.25" customHeight="1">
      <c r="S667" s="41"/>
    </row>
    <row r="668" spans="19:19" ht="14.25" customHeight="1">
      <c r="S668" s="41"/>
    </row>
    <row r="669" spans="19:19" ht="14.25" customHeight="1">
      <c r="S669" s="41"/>
    </row>
    <row r="670" spans="19:19" ht="14.25" customHeight="1">
      <c r="S670" s="41"/>
    </row>
    <row r="671" spans="19:19" ht="14.25" customHeight="1">
      <c r="S671" s="41"/>
    </row>
    <row r="672" spans="19:19" ht="14.25" customHeight="1">
      <c r="S672" s="41"/>
    </row>
    <row r="673" spans="19:19" ht="14.25" customHeight="1">
      <c r="S673" s="41"/>
    </row>
    <row r="674" spans="19:19" ht="14.25" customHeight="1">
      <c r="S674" s="41"/>
    </row>
    <row r="675" spans="19:19" ht="14.25" customHeight="1">
      <c r="S675" s="41"/>
    </row>
    <row r="676" spans="19:19" ht="14.25" customHeight="1">
      <c r="S676" s="41"/>
    </row>
    <row r="677" spans="19:19" ht="14.25" customHeight="1">
      <c r="S677" s="41"/>
    </row>
    <row r="678" spans="19:19" ht="14.25" customHeight="1">
      <c r="S678" s="41"/>
    </row>
    <row r="679" spans="19:19" ht="14.25" customHeight="1">
      <c r="S679" s="41"/>
    </row>
    <row r="680" spans="19:19" ht="14.25" customHeight="1">
      <c r="S680" s="41"/>
    </row>
    <row r="681" spans="19:19" ht="14.25" customHeight="1">
      <c r="S681" s="41"/>
    </row>
    <row r="682" spans="19:19" ht="14.25" customHeight="1">
      <c r="S682" s="41"/>
    </row>
    <row r="683" spans="19:19" ht="14.25" customHeight="1">
      <c r="S683" s="41"/>
    </row>
    <row r="684" spans="19:19" ht="14.25" customHeight="1">
      <c r="S684" s="41"/>
    </row>
    <row r="685" spans="19:19" ht="14.25" customHeight="1">
      <c r="S685" s="41"/>
    </row>
    <row r="686" spans="19:19" ht="14.25" customHeight="1">
      <c r="S686" s="41"/>
    </row>
    <row r="687" spans="19:19" ht="14.25" customHeight="1">
      <c r="S687" s="41"/>
    </row>
    <row r="688" spans="19:19" ht="14.25" customHeight="1">
      <c r="S688" s="41"/>
    </row>
    <row r="689" spans="19:19" ht="14.25" customHeight="1">
      <c r="S689" s="41"/>
    </row>
    <row r="690" spans="19:19" ht="14.25" customHeight="1">
      <c r="S690" s="41"/>
    </row>
    <row r="691" spans="19:19" ht="14.25" customHeight="1">
      <c r="S691" s="41"/>
    </row>
    <row r="692" spans="19:19" ht="14.25" customHeight="1">
      <c r="S692" s="41"/>
    </row>
    <row r="693" spans="19:19" ht="14.25" customHeight="1">
      <c r="S693" s="41"/>
    </row>
    <row r="694" spans="19:19" ht="14.25" customHeight="1">
      <c r="S694" s="41"/>
    </row>
    <row r="695" spans="19:19" ht="14.25" customHeight="1">
      <c r="S695" s="41"/>
    </row>
    <row r="696" spans="19:19" ht="14.25" customHeight="1">
      <c r="S696" s="41"/>
    </row>
    <row r="697" spans="19:19" ht="14.25" customHeight="1">
      <c r="S697" s="41"/>
    </row>
    <row r="698" spans="19:19" ht="14.25" customHeight="1">
      <c r="S698" s="41"/>
    </row>
    <row r="699" spans="19:19" ht="14.25" customHeight="1">
      <c r="S699" s="41"/>
    </row>
    <row r="700" spans="19:19" ht="14.25" customHeight="1">
      <c r="S700" s="41"/>
    </row>
    <row r="701" spans="19:19" ht="14.25" customHeight="1">
      <c r="S701" s="41"/>
    </row>
    <row r="702" spans="19:19" ht="14.25" customHeight="1">
      <c r="S702" s="41"/>
    </row>
    <row r="703" spans="19:19" ht="14.25" customHeight="1">
      <c r="S703" s="41"/>
    </row>
    <row r="704" spans="19:19" ht="14.25" customHeight="1">
      <c r="S704" s="41"/>
    </row>
    <row r="705" spans="19:19" ht="14.25" customHeight="1">
      <c r="S705" s="41"/>
    </row>
    <row r="706" spans="19:19" ht="14.25" customHeight="1">
      <c r="S706" s="41"/>
    </row>
    <row r="707" spans="19:19" ht="14.25" customHeight="1">
      <c r="S707" s="41"/>
    </row>
    <row r="708" spans="19:19" ht="14.25" customHeight="1">
      <c r="S708" s="41"/>
    </row>
    <row r="709" spans="19:19" ht="14.25" customHeight="1">
      <c r="S709" s="41"/>
    </row>
    <row r="710" spans="19:19" ht="14.25" customHeight="1">
      <c r="S710" s="41"/>
    </row>
    <row r="711" spans="19:19" ht="14.25" customHeight="1">
      <c r="S711" s="41"/>
    </row>
    <row r="712" spans="19:19" ht="14.25" customHeight="1">
      <c r="S712" s="41"/>
    </row>
    <row r="713" spans="19:19" ht="14.25" customHeight="1">
      <c r="S713" s="41"/>
    </row>
    <row r="714" spans="19:19" ht="14.25" customHeight="1">
      <c r="S714" s="41"/>
    </row>
    <row r="715" spans="19:19" ht="14.25" customHeight="1">
      <c r="S715" s="41"/>
    </row>
    <row r="716" spans="19:19" ht="14.25" customHeight="1">
      <c r="S716" s="41"/>
    </row>
    <row r="717" spans="19:19" ht="14.25" customHeight="1">
      <c r="S717" s="41"/>
    </row>
    <row r="718" spans="19:19" ht="14.25" customHeight="1">
      <c r="S718" s="41"/>
    </row>
    <row r="719" spans="19:19" ht="14.25" customHeight="1">
      <c r="S719" s="41"/>
    </row>
    <row r="720" spans="19:19" ht="14.25" customHeight="1">
      <c r="S720" s="41"/>
    </row>
    <row r="721" spans="19:19" ht="14.25" customHeight="1">
      <c r="S721" s="41"/>
    </row>
    <row r="722" spans="19:19" ht="14.25" customHeight="1">
      <c r="S722" s="41"/>
    </row>
    <row r="723" spans="19:19" ht="14.25" customHeight="1">
      <c r="S723" s="41"/>
    </row>
    <row r="724" spans="19:19" ht="14.25" customHeight="1">
      <c r="S724" s="41"/>
    </row>
    <row r="725" spans="19:19" ht="14.25" customHeight="1">
      <c r="S725" s="41"/>
    </row>
    <row r="726" spans="19:19" ht="14.25" customHeight="1">
      <c r="S726" s="41"/>
    </row>
    <row r="727" spans="19:19" ht="14.25" customHeight="1">
      <c r="S727" s="41"/>
    </row>
    <row r="728" spans="19:19" ht="14.25" customHeight="1">
      <c r="S728" s="41"/>
    </row>
    <row r="729" spans="19:19" ht="14.25" customHeight="1">
      <c r="S729" s="41"/>
    </row>
    <row r="730" spans="19:19" ht="14.25" customHeight="1">
      <c r="S730" s="41"/>
    </row>
    <row r="731" spans="19:19" ht="14.25" customHeight="1">
      <c r="S731" s="41"/>
    </row>
    <row r="732" spans="19:19" ht="14.25" customHeight="1">
      <c r="S732" s="41"/>
    </row>
    <row r="733" spans="19:19" ht="14.25" customHeight="1">
      <c r="S733" s="41"/>
    </row>
    <row r="734" spans="19:19" ht="14.25" customHeight="1">
      <c r="S734" s="41"/>
    </row>
    <row r="735" spans="19:19" ht="14.25" customHeight="1">
      <c r="S735" s="41"/>
    </row>
    <row r="736" spans="19:19" ht="14.25" customHeight="1">
      <c r="S736" s="41"/>
    </row>
    <row r="737" spans="19:19" ht="14.25" customHeight="1">
      <c r="S737" s="41"/>
    </row>
    <row r="738" spans="19:19" ht="14.25" customHeight="1">
      <c r="S738" s="41"/>
    </row>
    <row r="739" spans="19:19" ht="14.25" customHeight="1">
      <c r="S739" s="41"/>
    </row>
    <row r="740" spans="19:19" ht="14.25" customHeight="1">
      <c r="S740" s="41"/>
    </row>
    <row r="741" spans="19:19" ht="14.25" customHeight="1">
      <c r="S741" s="41"/>
    </row>
    <row r="742" spans="19:19" ht="14.25" customHeight="1">
      <c r="S742" s="41"/>
    </row>
    <row r="743" spans="19:19" ht="14.25" customHeight="1">
      <c r="S743" s="41"/>
    </row>
    <row r="744" spans="19:19" ht="14.25" customHeight="1">
      <c r="S744" s="41"/>
    </row>
    <row r="745" spans="19:19" ht="14.25" customHeight="1">
      <c r="S745" s="41"/>
    </row>
    <row r="746" spans="19:19" ht="14.25" customHeight="1">
      <c r="S746" s="41"/>
    </row>
    <row r="747" spans="19:19" ht="14.25" customHeight="1">
      <c r="S747" s="41"/>
    </row>
    <row r="748" spans="19:19" ht="14.25" customHeight="1">
      <c r="S748" s="41"/>
    </row>
    <row r="749" spans="19:19" ht="14.25" customHeight="1">
      <c r="S749" s="41"/>
    </row>
    <row r="750" spans="19:19" ht="14.25" customHeight="1">
      <c r="S750" s="41"/>
    </row>
    <row r="751" spans="19:19" ht="14.25" customHeight="1">
      <c r="S751" s="41"/>
    </row>
    <row r="752" spans="19:19" ht="14.25" customHeight="1">
      <c r="S752" s="41"/>
    </row>
    <row r="753" spans="19:19" ht="14.25" customHeight="1">
      <c r="S753" s="41"/>
    </row>
    <row r="754" spans="19:19" ht="14.25" customHeight="1">
      <c r="S754" s="41"/>
    </row>
    <row r="755" spans="19:19" ht="14.25" customHeight="1">
      <c r="S755" s="41"/>
    </row>
    <row r="756" spans="19:19" ht="14.25" customHeight="1">
      <c r="S756" s="41"/>
    </row>
    <row r="757" spans="19:19" ht="14.25" customHeight="1">
      <c r="S757" s="41"/>
    </row>
    <row r="758" spans="19:19" ht="14.25" customHeight="1">
      <c r="S758" s="41"/>
    </row>
    <row r="759" spans="19:19" ht="14.25" customHeight="1">
      <c r="S759" s="41"/>
    </row>
    <row r="760" spans="19:19" ht="14.25" customHeight="1">
      <c r="S760" s="41"/>
    </row>
    <row r="761" spans="19:19" ht="14.25" customHeight="1">
      <c r="S761" s="41"/>
    </row>
    <row r="762" spans="19:19" ht="14.25" customHeight="1">
      <c r="S762" s="41"/>
    </row>
    <row r="763" spans="19:19" ht="14.25" customHeight="1">
      <c r="S763" s="41"/>
    </row>
    <row r="764" spans="19:19" ht="14.25" customHeight="1">
      <c r="S764" s="41"/>
    </row>
    <row r="765" spans="19:19" ht="14.25" customHeight="1">
      <c r="S765" s="41"/>
    </row>
    <row r="766" spans="19:19" ht="14.25" customHeight="1">
      <c r="S766" s="41"/>
    </row>
    <row r="767" spans="19:19" ht="14.25" customHeight="1">
      <c r="S767" s="41"/>
    </row>
    <row r="768" spans="19:19" ht="14.25" customHeight="1">
      <c r="S768" s="41"/>
    </row>
    <row r="769" spans="19:19" ht="14.25" customHeight="1">
      <c r="S769" s="41"/>
    </row>
    <row r="770" spans="19:19" ht="14.25" customHeight="1">
      <c r="S770" s="41"/>
    </row>
    <row r="771" spans="19:19" ht="14.25" customHeight="1">
      <c r="S771" s="41"/>
    </row>
    <row r="772" spans="19:19" ht="14.25" customHeight="1">
      <c r="S772" s="41"/>
    </row>
    <row r="773" spans="19:19" ht="14.25" customHeight="1">
      <c r="S773" s="41"/>
    </row>
    <row r="774" spans="19:19" ht="14.25" customHeight="1">
      <c r="S774" s="41"/>
    </row>
    <row r="775" spans="19:19" ht="14.25" customHeight="1">
      <c r="S775" s="41"/>
    </row>
    <row r="776" spans="19:19" ht="14.25" customHeight="1">
      <c r="S776" s="41"/>
    </row>
    <row r="777" spans="19:19" ht="14.25" customHeight="1">
      <c r="S777" s="41"/>
    </row>
    <row r="778" spans="19:19" ht="14.25" customHeight="1">
      <c r="S778" s="41"/>
    </row>
    <row r="779" spans="19:19" ht="14.25" customHeight="1">
      <c r="S779" s="41"/>
    </row>
    <row r="780" spans="19:19" ht="14.25" customHeight="1">
      <c r="S780" s="41"/>
    </row>
    <row r="781" spans="19:19" ht="14.25" customHeight="1">
      <c r="S781" s="41"/>
    </row>
    <row r="782" spans="19:19" ht="14.25" customHeight="1">
      <c r="S782" s="41"/>
    </row>
    <row r="783" spans="19:19" ht="14.25" customHeight="1">
      <c r="S783" s="41"/>
    </row>
    <row r="784" spans="19:19" ht="14.25" customHeight="1">
      <c r="S784" s="41"/>
    </row>
    <row r="785" spans="19:19" ht="14.25" customHeight="1">
      <c r="S785" s="41"/>
    </row>
    <row r="786" spans="19:19" ht="14.25" customHeight="1">
      <c r="S786" s="41"/>
    </row>
    <row r="787" spans="19:19" ht="14.25" customHeight="1">
      <c r="S787" s="41"/>
    </row>
    <row r="788" spans="19:19" ht="14.25" customHeight="1">
      <c r="S788" s="41"/>
    </row>
    <row r="789" spans="19:19" ht="14.25" customHeight="1">
      <c r="S789" s="41"/>
    </row>
    <row r="790" spans="19:19" ht="14.25" customHeight="1">
      <c r="S790" s="41"/>
    </row>
    <row r="791" spans="19:19" ht="14.25" customHeight="1">
      <c r="S791" s="41"/>
    </row>
    <row r="792" spans="19:19" ht="14.25" customHeight="1">
      <c r="S792" s="41"/>
    </row>
    <row r="793" spans="19:19" ht="14.25" customHeight="1">
      <c r="S793" s="41"/>
    </row>
    <row r="794" spans="19:19" ht="14.25" customHeight="1">
      <c r="S794" s="41"/>
    </row>
    <row r="795" spans="19:19" ht="14.25" customHeight="1">
      <c r="S795" s="41"/>
    </row>
    <row r="796" spans="19:19" ht="14.25" customHeight="1">
      <c r="S796" s="41"/>
    </row>
    <row r="797" spans="19:19" ht="14.25" customHeight="1">
      <c r="S797" s="41"/>
    </row>
    <row r="798" spans="19:19" ht="14.25" customHeight="1">
      <c r="S798" s="41"/>
    </row>
    <row r="799" spans="19:19" ht="14.25" customHeight="1">
      <c r="S799" s="41"/>
    </row>
    <row r="800" spans="19:19" ht="14.25" customHeight="1">
      <c r="S800" s="41"/>
    </row>
    <row r="801" spans="19:19" ht="14.25" customHeight="1">
      <c r="S801" s="41"/>
    </row>
    <row r="802" spans="19:19" ht="14.25" customHeight="1">
      <c r="S802" s="41"/>
    </row>
    <row r="803" spans="19:19" ht="14.25" customHeight="1">
      <c r="S803" s="41"/>
    </row>
    <row r="804" spans="19:19" ht="14.25" customHeight="1">
      <c r="S804" s="41"/>
    </row>
    <row r="805" spans="19:19" ht="14.25" customHeight="1">
      <c r="S805" s="41"/>
    </row>
    <row r="806" spans="19:19" ht="14.25" customHeight="1">
      <c r="S806" s="41"/>
    </row>
    <row r="807" spans="19:19" ht="14.25" customHeight="1">
      <c r="S807" s="41"/>
    </row>
    <row r="808" spans="19:19" ht="14.25" customHeight="1">
      <c r="S808" s="41"/>
    </row>
    <row r="809" spans="19:19" ht="14.25" customHeight="1">
      <c r="S809" s="41"/>
    </row>
    <row r="810" spans="19:19" ht="14.25" customHeight="1">
      <c r="S810" s="41"/>
    </row>
    <row r="811" spans="19:19" ht="14.25" customHeight="1">
      <c r="S811" s="41"/>
    </row>
    <row r="812" spans="19:19" ht="14.25" customHeight="1">
      <c r="S812" s="41"/>
    </row>
    <row r="813" spans="19:19" ht="14.25" customHeight="1">
      <c r="S813" s="41"/>
    </row>
    <row r="814" spans="19:19" ht="14.25" customHeight="1">
      <c r="S814" s="41"/>
    </row>
    <row r="815" spans="19:19" ht="14.25" customHeight="1">
      <c r="S815" s="41"/>
    </row>
    <row r="816" spans="19:19" ht="14.25" customHeight="1">
      <c r="S816" s="41"/>
    </row>
    <row r="817" spans="19:19" ht="14.25" customHeight="1">
      <c r="S817" s="41"/>
    </row>
    <row r="818" spans="19:19" ht="14.25" customHeight="1">
      <c r="S818" s="41"/>
    </row>
    <row r="819" spans="19:19" ht="14.25" customHeight="1">
      <c r="S819" s="41"/>
    </row>
    <row r="820" spans="19:19" ht="14.25" customHeight="1">
      <c r="S820" s="41"/>
    </row>
    <row r="821" spans="19:19" ht="14.25" customHeight="1">
      <c r="S821" s="41"/>
    </row>
    <row r="822" spans="19:19" ht="14.25" customHeight="1">
      <c r="S822" s="41"/>
    </row>
    <row r="823" spans="19:19" ht="14.25" customHeight="1">
      <c r="S823" s="41"/>
    </row>
    <row r="824" spans="19:19" ht="14.25" customHeight="1">
      <c r="S824" s="41"/>
    </row>
    <row r="825" spans="19:19" ht="14.25" customHeight="1">
      <c r="S825" s="41"/>
    </row>
    <row r="826" spans="19:19" ht="14.25" customHeight="1">
      <c r="S826" s="41"/>
    </row>
    <row r="827" spans="19:19" ht="14.25" customHeight="1">
      <c r="S827" s="41"/>
    </row>
    <row r="828" spans="19:19" ht="14.25" customHeight="1">
      <c r="S828" s="41"/>
    </row>
    <row r="829" spans="19:19" ht="14.25" customHeight="1">
      <c r="S829" s="41"/>
    </row>
    <row r="830" spans="19:19" ht="14.25" customHeight="1">
      <c r="S830" s="41"/>
    </row>
    <row r="831" spans="19:19" ht="14.25" customHeight="1">
      <c r="S831" s="41"/>
    </row>
    <row r="832" spans="19:19" ht="14.25" customHeight="1">
      <c r="S832" s="41"/>
    </row>
    <row r="833" spans="19:19" ht="14.25" customHeight="1">
      <c r="S833" s="41"/>
    </row>
    <row r="834" spans="19:19" ht="14.25" customHeight="1">
      <c r="S834" s="41"/>
    </row>
    <row r="835" spans="19:19" ht="14.25" customHeight="1">
      <c r="S835" s="41"/>
    </row>
    <row r="836" spans="19:19" ht="14.25" customHeight="1">
      <c r="S836" s="41"/>
    </row>
    <row r="837" spans="19:19" ht="14.25" customHeight="1">
      <c r="S837" s="41"/>
    </row>
    <row r="838" spans="19:19" ht="14.25" customHeight="1">
      <c r="S838" s="41"/>
    </row>
    <row r="839" spans="19:19" ht="14.25" customHeight="1">
      <c r="S839" s="41"/>
    </row>
    <row r="840" spans="19:19" ht="14.25" customHeight="1">
      <c r="S840" s="41"/>
    </row>
    <row r="841" spans="19:19" ht="14.25" customHeight="1">
      <c r="S841" s="41"/>
    </row>
    <row r="842" spans="19:19" ht="14.25" customHeight="1">
      <c r="S842" s="41"/>
    </row>
    <row r="843" spans="19:19" ht="14.25" customHeight="1">
      <c r="S843" s="41"/>
    </row>
    <row r="844" spans="19:19" ht="14.25" customHeight="1">
      <c r="S844" s="41"/>
    </row>
    <row r="845" spans="19:19" ht="14.25" customHeight="1">
      <c r="S845" s="41"/>
    </row>
    <row r="846" spans="19:19" ht="14.25" customHeight="1">
      <c r="S846" s="41"/>
    </row>
    <row r="847" spans="19:19" ht="14.25" customHeight="1">
      <c r="S847" s="41"/>
    </row>
    <row r="848" spans="19:19" ht="14.25" customHeight="1">
      <c r="S848" s="41"/>
    </row>
    <row r="849" spans="19:19" ht="14.25" customHeight="1">
      <c r="S849" s="41"/>
    </row>
    <row r="850" spans="19:19" ht="14.25" customHeight="1">
      <c r="S850" s="41"/>
    </row>
    <row r="851" spans="19:19" ht="14.25" customHeight="1">
      <c r="S851" s="41"/>
    </row>
    <row r="852" spans="19:19" ht="14.25" customHeight="1">
      <c r="S852" s="41"/>
    </row>
    <row r="853" spans="19:19" ht="14.25" customHeight="1">
      <c r="S853" s="41"/>
    </row>
    <row r="854" spans="19:19" ht="14.25" customHeight="1">
      <c r="S854" s="41"/>
    </row>
    <row r="855" spans="19:19" ht="14.25" customHeight="1">
      <c r="S855" s="41"/>
    </row>
    <row r="856" spans="19:19" ht="14.25" customHeight="1">
      <c r="S856" s="41"/>
    </row>
    <row r="857" spans="19:19" ht="14.25" customHeight="1">
      <c r="S857" s="41"/>
    </row>
    <row r="858" spans="19:19" ht="14.25" customHeight="1">
      <c r="S858" s="41"/>
    </row>
    <row r="859" spans="19:19" ht="14.25" customHeight="1">
      <c r="S859" s="41"/>
    </row>
    <row r="860" spans="19:19" ht="14.25" customHeight="1">
      <c r="S860" s="41"/>
    </row>
    <row r="861" spans="19:19" ht="14.25" customHeight="1">
      <c r="S861" s="41"/>
    </row>
    <row r="862" spans="19:19" ht="14.25" customHeight="1">
      <c r="S862" s="41"/>
    </row>
    <row r="863" spans="19:19" ht="14.25" customHeight="1">
      <c r="S863" s="41"/>
    </row>
    <row r="864" spans="19:19" ht="14.25" customHeight="1">
      <c r="S864" s="41"/>
    </row>
    <row r="865" spans="19:19" ht="14.25" customHeight="1">
      <c r="S865" s="41"/>
    </row>
    <row r="866" spans="19:19" ht="14.25" customHeight="1">
      <c r="S866" s="41"/>
    </row>
    <row r="867" spans="19:19" ht="14.25" customHeight="1">
      <c r="S867" s="41"/>
    </row>
    <row r="868" spans="19:19" ht="14.25" customHeight="1">
      <c r="S868" s="41"/>
    </row>
    <row r="869" spans="19:19" ht="14.25" customHeight="1">
      <c r="S869" s="41"/>
    </row>
    <row r="870" spans="19:19" ht="14.25" customHeight="1">
      <c r="S870" s="41"/>
    </row>
    <row r="871" spans="19:19" ht="14.25" customHeight="1">
      <c r="S871" s="41"/>
    </row>
    <row r="872" spans="19:19" ht="14.25" customHeight="1">
      <c r="S872" s="41"/>
    </row>
    <row r="873" spans="19:19" ht="14.25" customHeight="1">
      <c r="S873" s="41"/>
    </row>
    <row r="874" spans="19:19" ht="14.25" customHeight="1">
      <c r="S874" s="41"/>
    </row>
    <row r="875" spans="19:19" ht="14.25" customHeight="1">
      <c r="S875" s="41"/>
    </row>
    <row r="876" spans="19:19" ht="14.25" customHeight="1">
      <c r="S876" s="41"/>
    </row>
    <row r="877" spans="19:19" ht="14.25" customHeight="1">
      <c r="S877" s="41"/>
    </row>
    <row r="878" spans="19:19" ht="14.25" customHeight="1">
      <c r="S878" s="41"/>
    </row>
    <row r="879" spans="19:19" ht="14.25" customHeight="1">
      <c r="S879" s="41"/>
    </row>
    <row r="880" spans="19:19" ht="14.25" customHeight="1">
      <c r="S880" s="41"/>
    </row>
    <row r="881" spans="19:19" ht="14.25" customHeight="1">
      <c r="S881" s="41"/>
    </row>
    <row r="882" spans="19:19" ht="14.25" customHeight="1">
      <c r="S882" s="41"/>
    </row>
    <row r="883" spans="19:19" ht="14.25" customHeight="1">
      <c r="S883" s="41"/>
    </row>
    <row r="884" spans="19:19" ht="14.25" customHeight="1">
      <c r="S884" s="41"/>
    </row>
    <row r="885" spans="19:19" ht="14.25" customHeight="1">
      <c r="S885" s="41"/>
    </row>
    <row r="886" spans="19:19" ht="14.25" customHeight="1">
      <c r="S886" s="41"/>
    </row>
    <row r="887" spans="19:19" ht="14.25" customHeight="1">
      <c r="S887" s="41"/>
    </row>
    <row r="888" spans="19:19" ht="14.25" customHeight="1">
      <c r="S888" s="41"/>
    </row>
    <row r="889" spans="19:19" ht="14.25" customHeight="1">
      <c r="S889" s="41"/>
    </row>
    <row r="890" spans="19:19" ht="14.25" customHeight="1">
      <c r="S890" s="41"/>
    </row>
    <row r="891" spans="19:19" ht="14.25" customHeight="1">
      <c r="S891" s="41"/>
    </row>
    <row r="892" spans="19:19" ht="14.25" customHeight="1">
      <c r="S892" s="41"/>
    </row>
    <row r="893" spans="19:19" ht="14.25" customHeight="1">
      <c r="S893" s="41"/>
    </row>
    <row r="894" spans="19:19" ht="14.25" customHeight="1">
      <c r="S894" s="41"/>
    </row>
    <row r="895" spans="19:19" ht="14.25" customHeight="1">
      <c r="S895" s="41"/>
    </row>
    <row r="896" spans="19:19" ht="14.25" customHeight="1">
      <c r="S896" s="41"/>
    </row>
    <row r="897" spans="19:19" ht="14.25" customHeight="1">
      <c r="S897" s="41"/>
    </row>
    <row r="898" spans="19:19" ht="14.25" customHeight="1">
      <c r="S898" s="41"/>
    </row>
    <row r="899" spans="19:19" ht="14.25" customHeight="1">
      <c r="S899" s="41"/>
    </row>
    <row r="900" spans="19:19" ht="14.25" customHeight="1">
      <c r="S900" s="41"/>
    </row>
    <row r="901" spans="19:19" ht="14.25" customHeight="1">
      <c r="S901" s="41"/>
    </row>
    <row r="902" spans="19:19" ht="14.25" customHeight="1">
      <c r="S902" s="41"/>
    </row>
    <row r="903" spans="19:19" ht="14.25" customHeight="1">
      <c r="S903" s="41"/>
    </row>
    <row r="904" spans="19:19" ht="14.25" customHeight="1">
      <c r="S904" s="41"/>
    </row>
    <row r="905" spans="19:19" ht="14.25" customHeight="1">
      <c r="S905" s="41"/>
    </row>
    <row r="906" spans="19:19" ht="14.25" customHeight="1">
      <c r="S906" s="41"/>
    </row>
    <row r="907" spans="19:19" ht="14.25" customHeight="1">
      <c r="S907" s="41"/>
    </row>
    <row r="908" spans="19:19" ht="14.25" customHeight="1">
      <c r="S908" s="41"/>
    </row>
    <row r="909" spans="19:19" ht="14.25" customHeight="1">
      <c r="S909" s="41"/>
    </row>
    <row r="910" spans="19:19" ht="14.25" customHeight="1">
      <c r="S910" s="41"/>
    </row>
    <row r="911" spans="19:19" ht="14.25" customHeight="1">
      <c r="S911" s="41"/>
    </row>
    <row r="912" spans="19:19" ht="14.25" customHeight="1">
      <c r="S912" s="41"/>
    </row>
    <row r="913" spans="19:19" ht="14.25" customHeight="1">
      <c r="S913" s="41"/>
    </row>
    <row r="914" spans="19:19" ht="14.25" customHeight="1">
      <c r="S914" s="41"/>
    </row>
    <row r="915" spans="19:19" ht="14.25" customHeight="1">
      <c r="S915" s="41"/>
    </row>
    <row r="916" spans="19:19" ht="14.25" customHeight="1">
      <c r="S916" s="41"/>
    </row>
    <row r="917" spans="19:19" ht="14.25" customHeight="1">
      <c r="S917" s="41"/>
    </row>
    <row r="918" spans="19:19" ht="14.25" customHeight="1">
      <c r="S918" s="41"/>
    </row>
    <row r="919" spans="19:19" ht="14.25" customHeight="1">
      <c r="S919" s="41"/>
    </row>
    <row r="920" spans="19:19" ht="14.25" customHeight="1">
      <c r="S920" s="41"/>
    </row>
    <row r="921" spans="19:19" ht="14.25" customHeight="1">
      <c r="S921" s="41"/>
    </row>
    <row r="922" spans="19:19" ht="14.25" customHeight="1">
      <c r="S922" s="41"/>
    </row>
    <row r="923" spans="19:19" ht="14.25" customHeight="1">
      <c r="S923" s="41"/>
    </row>
    <row r="924" spans="19:19" ht="14.25" customHeight="1">
      <c r="S924" s="41"/>
    </row>
    <row r="925" spans="19:19" ht="14.25" customHeight="1">
      <c r="S925" s="41"/>
    </row>
    <row r="926" spans="19:19" ht="14.25" customHeight="1">
      <c r="S926" s="41"/>
    </row>
    <row r="927" spans="19:19" ht="14.25" customHeight="1">
      <c r="S927" s="41"/>
    </row>
    <row r="928" spans="19:19" ht="14.25" customHeight="1">
      <c r="S928" s="41"/>
    </row>
    <row r="929" spans="19:19" ht="14.25" customHeight="1">
      <c r="S929" s="41"/>
    </row>
    <row r="930" spans="19:19" ht="14.25" customHeight="1">
      <c r="S930" s="41"/>
    </row>
    <row r="931" spans="19:19" ht="14.25" customHeight="1">
      <c r="S931" s="41"/>
    </row>
    <row r="932" spans="19:19" ht="14.25" customHeight="1">
      <c r="S932" s="41"/>
    </row>
    <row r="933" spans="19:19" ht="14.25" customHeight="1">
      <c r="S933" s="41"/>
    </row>
    <row r="934" spans="19:19" ht="14.25" customHeight="1">
      <c r="S934" s="41"/>
    </row>
    <row r="935" spans="19:19" ht="14.25" customHeight="1">
      <c r="S935" s="41"/>
    </row>
    <row r="936" spans="19:19" ht="14.25" customHeight="1">
      <c r="S936" s="41"/>
    </row>
    <row r="937" spans="19:19" ht="14.25" customHeight="1">
      <c r="S937" s="41"/>
    </row>
    <row r="938" spans="19:19" ht="14.25" customHeight="1">
      <c r="S938" s="41"/>
    </row>
    <row r="939" spans="19:19" ht="14.25" customHeight="1">
      <c r="S939" s="41"/>
    </row>
    <row r="940" spans="19:19" ht="14.25" customHeight="1">
      <c r="S940" s="41"/>
    </row>
    <row r="941" spans="19:19" ht="14.25" customHeight="1">
      <c r="S941" s="41"/>
    </row>
    <row r="942" spans="19:19" ht="14.25" customHeight="1">
      <c r="S942" s="41"/>
    </row>
    <row r="943" spans="19:19" ht="14.25" customHeight="1">
      <c r="S943" s="41"/>
    </row>
    <row r="944" spans="19:19" ht="14.25" customHeight="1">
      <c r="S944" s="41"/>
    </row>
    <row r="945" spans="19:19" ht="14.25" customHeight="1">
      <c r="S945" s="41"/>
    </row>
    <row r="946" spans="19:19" ht="14.25" customHeight="1">
      <c r="S946" s="41"/>
    </row>
    <row r="947" spans="19:19" ht="14.25" customHeight="1">
      <c r="S947" s="41"/>
    </row>
    <row r="948" spans="19:19" ht="14.25" customHeight="1">
      <c r="S948" s="41"/>
    </row>
    <row r="949" spans="19:19" ht="14.25" customHeight="1">
      <c r="S949" s="41"/>
    </row>
    <row r="950" spans="19:19" ht="14.25" customHeight="1">
      <c r="S950" s="41"/>
    </row>
    <row r="951" spans="19:19" ht="14.25" customHeight="1">
      <c r="S951" s="41"/>
    </row>
    <row r="952" spans="19:19" ht="14.25" customHeight="1">
      <c r="S952" s="41"/>
    </row>
    <row r="953" spans="19:19" ht="14.25" customHeight="1">
      <c r="S953" s="41"/>
    </row>
    <row r="954" spans="19:19" ht="14.25" customHeight="1">
      <c r="S954" s="41"/>
    </row>
    <row r="955" spans="19:19" ht="14.25" customHeight="1">
      <c r="S955" s="41"/>
    </row>
    <row r="956" spans="19:19" ht="14.25" customHeight="1">
      <c r="S956" s="41"/>
    </row>
    <row r="957" spans="19:19" ht="14.25" customHeight="1">
      <c r="S957" s="41"/>
    </row>
    <row r="958" spans="19:19" ht="14.25" customHeight="1">
      <c r="S958" s="41"/>
    </row>
    <row r="959" spans="19:19" ht="14.25" customHeight="1">
      <c r="S959" s="41"/>
    </row>
    <row r="960" spans="19:19" ht="14.25" customHeight="1">
      <c r="S960" s="41"/>
    </row>
    <row r="961" spans="19:19" ht="14.25" customHeight="1">
      <c r="S961" s="41"/>
    </row>
    <row r="962" spans="19:19" ht="14.25" customHeight="1">
      <c r="S962" s="41"/>
    </row>
    <row r="963" spans="19:19" ht="14.25" customHeight="1">
      <c r="S963" s="41"/>
    </row>
    <row r="964" spans="19:19" ht="14.25" customHeight="1">
      <c r="S964" s="41"/>
    </row>
    <row r="965" spans="19:19" ht="14.25" customHeight="1">
      <c r="S965" s="41"/>
    </row>
    <row r="966" spans="19:19" ht="14.25" customHeight="1">
      <c r="S966" s="41"/>
    </row>
    <row r="967" spans="19:19" ht="14.25" customHeight="1">
      <c r="S967" s="41"/>
    </row>
    <row r="968" spans="19:19" ht="14.25" customHeight="1">
      <c r="S968" s="41"/>
    </row>
    <row r="969" spans="19:19" ht="14.25" customHeight="1">
      <c r="S969" s="41"/>
    </row>
    <row r="970" spans="19:19" ht="14.25" customHeight="1">
      <c r="S970" s="41"/>
    </row>
    <row r="971" spans="19:19" ht="14.25" customHeight="1">
      <c r="S971" s="41"/>
    </row>
    <row r="972" spans="19:19" ht="14.25" customHeight="1">
      <c r="S972" s="41"/>
    </row>
    <row r="973" spans="19:19" ht="14.25" customHeight="1">
      <c r="S973" s="41"/>
    </row>
    <row r="974" spans="19:19" ht="14.25" customHeight="1">
      <c r="S974" s="41"/>
    </row>
    <row r="975" spans="19:19" ht="14.25" customHeight="1">
      <c r="S975" s="41"/>
    </row>
    <row r="976" spans="19:19" ht="14.25" customHeight="1">
      <c r="S976" s="41"/>
    </row>
    <row r="977" spans="19:19" ht="14.25" customHeight="1">
      <c r="S977" s="41"/>
    </row>
    <row r="978" spans="19:19" ht="14.25" customHeight="1">
      <c r="S978" s="41"/>
    </row>
    <row r="979" spans="19:19" ht="14.25" customHeight="1">
      <c r="S979" s="41"/>
    </row>
    <row r="980" spans="19:19" ht="14.25" customHeight="1">
      <c r="S980" s="41"/>
    </row>
    <row r="981" spans="19:19" ht="14.25" customHeight="1">
      <c r="S981" s="41"/>
    </row>
    <row r="982" spans="19:19" ht="14.25" customHeight="1">
      <c r="S982" s="41"/>
    </row>
    <row r="983" spans="19:19" ht="14.25" customHeight="1">
      <c r="S983" s="41"/>
    </row>
    <row r="984" spans="19:19" ht="14.25" customHeight="1">
      <c r="S984" s="41"/>
    </row>
    <row r="985" spans="19:19" ht="14.25" customHeight="1">
      <c r="S985" s="41"/>
    </row>
    <row r="986" spans="19:19" ht="14.25" customHeight="1">
      <c r="S986" s="41"/>
    </row>
    <row r="987" spans="19:19" ht="14.25" customHeight="1">
      <c r="S987" s="41"/>
    </row>
    <row r="988" spans="19:19" ht="14.25" customHeight="1">
      <c r="S988" s="41"/>
    </row>
    <row r="989" spans="19:19" ht="14.25" customHeight="1">
      <c r="S989" s="41"/>
    </row>
    <row r="990" spans="19:19" ht="14.25" customHeight="1">
      <c r="S990" s="41"/>
    </row>
    <row r="991" spans="19:19" ht="14.25" customHeight="1">
      <c r="S991" s="41"/>
    </row>
    <row r="992" spans="19:19" ht="14.25" customHeight="1">
      <c r="S992" s="41"/>
    </row>
    <row r="993" spans="19:19" ht="14.25" customHeight="1">
      <c r="S993" s="41"/>
    </row>
    <row r="994" spans="19:19" ht="14.25" customHeight="1">
      <c r="S994" s="41"/>
    </row>
    <row r="995" spans="19:19" ht="14.25" customHeight="1">
      <c r="S995" s="41"/>
    </row>
    <row r="996" spans="19:19" ht="14.25" customHeight="1">
      <c r="S996" s="41"/>
    </row>
    <row r="997" spans="19:19" ht="14.25" customHeight="1">
      <c r="S997" s="41"/>
    </row>
    <row r="998" spans="19:19" ht="14.25" customHeight="1">
      <c r="S998" s="41"/>
    </row>
    <row r="999" spans="19:19" ht="14.25" customHeight="1">
      <c r="S999" s="41"/>
    </row>
    <row r="1000" spans="19:19" ht="14.25" customHeight="1">
      <c r="S1000" s="41"/>
    </row>
  </sheetData>
  <mergeCells count="6">
    <mergeCell ref="M22:P22"/>
    <mergeCell ref="A1:F2"/>
    <mergeCell ref="A3:F3"/>
    <mergeCell ref="H6:K6"/>
    <mergeCell ref="H14:J14"/>
    <mergeCell ref="M5:O5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00"/>
  <sheetViews>
    <sheetView topLeftCell="A29" workbookViewId="0">
      <selection activeCell="A43" sqref="A43"/>
    </sheetView>
  </sheetViews>
  <sheetFormatPr defaultColWidth="12.6640625" defaultRowHeight="15" customHeight="1"/>
  <cols>
    <col min="1" max="1" width="54.109375" customWidth="1"/>
    <col min="2" max="2" width="18.109375" customWidth="1"/>
    <col min="3" max="11" width="15.44140625" customWidth="1"/>
    <col min="12" max="12" width="15.88671875" customWidth="1"/>
    <col min="13" max="13" width="15.44140625" customWidth="1"/>
    <col min="14" max="26" width="8.6640625" customWidth="1"/>
  </cols>
  <sheetData>
    <row r="1" spans="1:13" ht="14.25" customHeight="1"/>
    <row r="2" spans="1:13" ht="14.25" customHeight="1">
      <c r="A2" s="140" t="s">
        <v>178</v>
      </c>
      <c r="B2" s="140"/>
      <c r="C2" s="140">
        <v>1</v>
      </c>
      <c r="D2" s="140">
        <v>2</v>
      </c>
      <c r="E2" s="140">
        <v>3</v>
      </c>
      <c r="F2" s="140">
        <v>4</v>
      </c>
      <c r="G2" s="140">
        <v>5</v>
      </c>
      <c r="H2" s="140">
        <v>6</v>
      </c>
      <c r="I2" s="140">
        <v>7</v>
      </c>
      <c r="J2" s="140">
        <v>8</v>
      </c>
      <c r="K2" s="140">
        <v>9</v>
      </c>
      <c r="L2" s="140">
        <v>10</v>
      </c>
      <c r="M2" s="140">
        <v>11</v>
      </c>
    </row>
    <row r="3" spans="1:13" ht="14.25" customHeight="1">
      <c r="A3" s="179" t="s">
        <v>179</v>
      </c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5"/>
    </row>
    <row r="4" spans="1:13" ht="14.25" customHeight="1">
      <c r="A4" s="40" t="s">
        <v>180</v>
      </c>
      <c r="C4" s="45">
        <f>'DataTable_10 '!F89</f>
        <v>5566500</v>
      </c>
      <c r="D4" s="45">
        <f>'DataTable_10 '!G89</f>
        <v>5882450.8319999995</v>
      </c>
      <c r="E4" s="45">
        <f>'DataTable_10 '!H89</f>
        <v>6218510.9995483989</v>
      </c>
      <c r="F4" s="45">
        <f>'DataTable_10 '!I89</f>
        <v>6577063.0459142942</v>
      </c>
      <c r="G4" s="45">
        <f>'DataTable_10 '!J89</f>
        <v>6959290.4009815203</v>
      </c>
      <c r="H4" s="45">
        <f>'DataTable_10 '!K89</f>
        <v>7366843.3334978474</v>
      </c>
      <c r="I4" s="45">
        <f>'DataTable_10 '!L89</f>
        <v>7801639.3374771895</v>
      </c>
      <c r="J4" s="45">
        <f>'DataTable_10 '!M89</f>
        <v>8266799.7554112608</v>
      </c>
      <c r="K4" s="45">
        <f>'DataTable_10 '!N89</f>
        <v>8763399.590414919</v>
      </c>
      <c r="L4" s="45">
        <f>'DataTable_10 '!O89</f>
        <v>9293730.3900191821</v>
      </c>
      <c r="M4" s="45">
        <f>'DataTable_10 '!P89</f>
        <v>9860002.5849386007</v>
      </c>
    </row>
    <row r="5" spans="1:13" ht="14.25" customHeight="1">
      <c r="A5" s="40" t="s">
        <v>181</v>
      </c>
      <c r="C5" s="45">
        <f>-'DataTable_10 '!T89</f>
        <v>-710405.98000000021</v>
      </c>
      <c r="D5" s="45">
        <f>-'DataTable_10 '!U89</f>
        <v>-926590.45480800024</v>
      </c>
      <c r="E5" s="45">
        <f>-'DataTable_10 '!V89</f>
        <v>-1065978.5330204202</v>
      </c>
      <c r="F5" s="45">
        <f>-'DataTable_10 '!W89</f>
        <v>-1087635.9628413843</v>
      </c>
      <c r="G5" s="45">
        <f>-'DataTable_10 '!X89</f>
        <v>-1140864.3954788523</v>
      </c>
      <c r="H5" s="45">
        <f>-'DataTable_10 '!Y89</f>
        <v>-1210044.8135197877</v>
      </c>
      <c r="I5" s="45">
        <f>-'DataTable_10 '!Z89</f>
        <v>-1382976.1626231447</v>
      </c>
      <c r="J5" s="45">
        <f>-'DataTable_10 '!AA89</f>
        <v>-1351894.9495035128</v>
      </c>
      <c r="K5" s="45">
        <f>-'DataTable_10 '!AB89</f>
        <v>-1430545.4607397043</v>
      </c>
      <c r="L5" s="45">
        <f>-'DataTable_10 '!AC89</f>
        <v>-1486220.7880229333</v>
      </c>
      <c r="M5" s="45">
        <f>-'DataTable_10 '!AD89</f>
        <v>-1569452.8238496927</v>
      </c>
    </row>
    <row r="6" spans="1:13" ht="14.25" customHeight="1">
      <c r="A6" s="141" t="s">
        <v>182</v>
      </c>
      <c r="B6" s="141"/>
      <c r="C6" s="142">
        <f>'DataTable_10 '!F125</f>
        <v>4856094.0199999996</v>
      </c>
      <c r="D6" s="142">
        <f>'DataTable_10 '!G125</f>
        <v>4955860.377191999</v>
      </c>
      <c r="E6" s="142">
        <f>'DataTable_10 '!H125</f>
        <v>5152532.4665279789</v>
      </c>
      <c r="F6" s="142">
        <f>'DataTable_10 '!I125</f>
        <v>5489427.0830729101</v>
      </c>
      <c r="G6" s="142">
        <f>'DataTable_10 '!J125</f>
        <v>5818426.0055026673</v>
      </c>
      <c r="H6" s="142">
        <f>'DataTable_10 '!K125</f>
        <v>6156798.5199780595</v>
      </c>
      <c r="I6" s="142">
        <f>'DataTable_10 '!L125</f>
        <v>6418663.1748540448</v>
      </c>
      <c r="J6" s="142">
        <f>'DataTable_10 '!M125</f>
        <v>6914904.8059077477</v>
      </c>
      <c r="K6" s="142">
        <f>'DataTable_10 '!N125</f>
        <v>7332854.1296752132</v>
      </c>
      <c r="L6" s="142">
        <f>'DataTable_10 '!O125</f>
        <v>7807509.6019962486</v>
      </c>
      <c r="M6" s="142">
        <f>'DataTable_10 '!P125</f>
        <v>8290549.7610889077</v>
      </c>
    </row>
    <row r="7" spans="1:13" ht="14.25" customHeight="1"/>
    <row r="8" spans="1:13" ht="14.25" customHeight="1">
      <c r="A8" s="179" t="s">
        <v>183</v>
      </c>
      <c r="B8" s="174"/>
      <c r="C8" s="174"/>
      <c r="D8" s="174"/>
      <c r="E8" s="174"/>
      <c r="F8" s="174"/>
      <c r="G8" s="174"/>
      <c r="H8" s="174"/>
      <c r="I8" s="174"/>
      <c r="J8" s="174"/>
      <c r="K8" s="174"/>
      <c r="L8" s="174"/>
      <c r="M8" s="175"/>
    </row>
    <row r="9" spans="1:13" ht="14.25" customHeight="1">
      <c r="A9" s="40" t="s">
        <v>184</v>
      </c>
      <c r="C9" s="45">
        <f>-'DataTable_10 '!T163</f>
        <v>-206922.98773999998</v>
      </c>
      <c r="D9" s="45">
        <f>-'DataTable_10 '!U163</f>
        <v>-210952.57211721799</v>
      </c>
      <c r="E9" s="45">
        <f>-'DataTable_10 '!V163</f>
        <v>-219236.77108110537</v>
      </c>
      <c r="F9" s="45">
        <f>-'DataTable_10 '!W163</f>
        <v>-233684.88819416938</v>
      </c>
      <c r="G9" s="45">
        <f>-'DataTable_10 '!X163</f>
        <v>-247763.89343634734</v>
      </c>
      <c r="H9" s="45">
        <f>-'DataTable_10 '!Y163</f>
        <v>-262234.29399153625</v>
      </c>
      <c r="I9" s="45">
        <f>-'DataTable_10 '!Z163</f>
        <v>-273307.59498584195</v>
      </c>
      <c r="J9" s="45">
        <f>-'DataTable_10 '!AA163</f>
        <v>-294692.63752108283</v>
      </c>
      <c r="K9" s="45">
        <f>-'DataTable_10 '!AB163</f>
        <v>-312599.46582041966</v>
      </c>
      <c r="L9" s="45">
        <f>-'DataTable_10 '!AC163</f>
        <v>-332980.20812100417</v>
      </c>
      <c r="M9" s="45">
        <f>-'DataTable_10 '!AD163</f>
        <v>-353702.51777816785</v>
      </c>
    </row>
    <row r="10" spans="1:13" ht="14.25" customHeight="1">
      <c r="A10" s="40" t="s">
        <v>64</v>
      </c>
      <c r="C10" s="45">
        <f>-'DataTable_10 '!T187</f>
        <v>-182589.135152</v>
      </c>
      <c r="D10" s="45">
        <f>-'DataTable_10 '!U187</f>
        <v>-186340.35018241921</v>
      </c>
      <c r="E10" s="45">
        <f>-'DataTable_10 '!V187</f>
        <v>-193735.22074145207</v>
      </c>
      <c r="F10" s="45">
        <f>-'DataTable_10 '!W187</f>
        <v>-206402.45832354148</v>
      </c>
      <c r="G10" s="45">
        <f>-'DataTable_10 '!X187</f>
        <v>-218772.8178069003</v>
      </c>
      <c r="H10" s="45">
        <f>-'DataTable_10 '!Y187</f>
        <v>-231495.62435117501</v>
      </c>
      <c r="I10" s="45">
        <f>-'DataTable_10 '!Z187</f>
        <v>-241341.73537451212</v>
      </c>
      <c r="J10" s="45">
        <f>-'DataTable_10 '!AA187</f>
        <v>-260000.42070213132</v>
      </c>
      <c r="K10" s="45">
        <f>-'DataTable_10 '!AB187</f>
        <v>-275715.31527578802</v>
      </c>
      <c r="L10" s="45">
        <f>-'DataTable_10 '!AC187</f>
        <v>-293562.36103505897</v>
      </c>
      <c r="M10" s="45">
        <f>-'DataTable_10 '!AD187</f>
        <v>-311724.67101694288</v>
      </c>
    </row>
    <row r="11" spans="1:13" ht="14.25" customHeight="1">
      <c r="A11" s="40" t="s">
        <v>66</v>
      </c>
      <c r="C11" s="45">
        <f>-'DataTable_10 '!T211</f>
        <v>-218038.62149799999</v>
      </c>
      <c r="D11" s="45">
        <f>-'DataTable_10 '!U211</f>
        <v>-222518.13093592081</v>
      </c>
      <c r="E11" s="45">
        <f>-'DataTable_10 '!V211</f>
        <v>-231348.70774710632</v>
      </c>
      <c r="F11" s="45">
        <f>-'DataTable_10 '!W211</f>
        <v>-246475.27602997373</v>
      </c>
      <c r="G11" s="45">
        <f>-'DataTable_10 '!X211</f>
        <v>-261247.32764706979</v>
      </c>
      <c r="H11" s="45">
        <f>-'DataTable_10 '!Y211</f>
        <v>-276440.25354701478</v>
      </c>
      <c r="I11" s="45">
        <f>-'DataTable_10 '!Z211</f>
        <v>-288197.97655094659</v>
      </c>
      <c r="J11" s="45">
        <f>-'DataTable_10 '!AA211</f>
        <v>-310479.22578525788</v>
      </c>
      <c r="K11" s="45">
        <f>-'DataTable_10 '!AB211</f>
        <v>-329245.15042241709</v>
      </c>
      <c r="L11" s="45">
        <f>-'DataTable_10 '!AC211</f>
        <v>-350557.18112963159</v>
      </c>
      <c r="M11" s="45">
        <f>-'DataTable_10 '!AD211</f>
        <v>-372245.68427289196</v>
      </c>
    </row>
    <row r="12" spans="1:13" ht="14.25" customHeight="1">
      <c r="A12" s="40" t="s">
        <v>68</v>
      </c>
      <c r="C12" s="45">
        <f>-'DataTable_10 '!T114</f>
        <v>-21512.496508600001</v>
      </c>
      <c r="D12" s="45">
        <f>-'DataTable_10 '!U114</f>
        <v>-22900.283043590556</v>
      </c>
      <c r="E12" s="45">
        <f>-'DataTable_10 '!V114</f>
        <v>-24252.728104784925</v>
      </c>
      <c r="F12" s="45">
        <f>-'DataTable_10 '!W114</f>
        <v>-25596.508733006012</v>
      </c>
      <c r="G12" s="45">
        <f>-'DataTable_10 '!X114</f>
        <v>-27085.280053794078</v>
      </c>
      <c r="H12" s="45">
        <f>-'DataTable_10 '!Y114</f>
        <v>-28682.906452628431</v>
      </c>
      <c r="I12" s="45">
        <f>-'DataTable_10 '!Z114</f>
        <v>-30411.726383335339</v>
      </c>
      <c r="J12" s="45">
        <f>-'DataTable_10 '!AA114</f>
        <v>-32144.692580095347</v>
      </c>
      <c r="K12" s="45">
        <f>-'DataTable_10 '!AB114</f>
        <v>-34062.993772927977</v>
      </c>
      <c r="L12" s="45">
        <f>-'DataTable_10 '!AC114</f>
        <v>-36123.158246605097</v>
      </c>
      <c r="M12" s="45">
        <f>-'DataTable_10 '!AD114</f>
        <v>-38284.413411029258</v>
      </c>
    </row>
    <row r="13" spans="1:13" ht="14.25" customHeight="1">
      <c r="A13" s="40" t="s">
        <v>70</v>
      </c>
      <c r="C13" s="45">
        <f>-'DataTable_10 '!T119</f>
        <v>-27940.298519548334</v>
      </c>
      <c r="D13" s="45">
        <f>-'DataTable_10 '!U119</f>
        <v>-27940.298519548334</v>
      </c>
      <c r="E13" s="45">
        <f>-'DataTable_10 '!V119</f>
        <v>-27940.298519548334</v>
      </c>
      <c r="F13" s="45">
        <f>-'DataTable_10 '!W119</f>
        <v>-27940.298519548334</v>
      </c>
      <c r="G13" s="45">
        <f>-'DataTable_10 '!X119</f>
        <v>-27940.298519548334</v>
      </c>
      <c r="H13" s="45">
        <f>-'DataTable_10 '!Y119</f>
        <v>-27940.298519548334</v>
      </c>
      <c r="I13" s="45">
        <f>-'DataTable_10 '!Z119</f>
        <v>-27940.298519548334</v>
      </c>
      <c r="J13" s="45">
        <f>-'DataTable_10 '!AA119</f>
        <v>-27940.298519548334</v>
      </c>
      <c r="K13" s="45">
        <f>-'DataTable_10 '!AB119</f>
        <v>-27940.298519548334</v>
      </c>
      <c r="L13" s="45">
        <f>-'DataTable_10 '!AC119</f>
        <v>-27940.298519548334</v>
      </c>
      <c r="M13" s="45">
        <f>-'DataTable_10 '!AD119</f>
        <v>-27940.298519548334</v>
      </c>
    </row>
    <row r="14" spans="1:13" ht="14.25" customHeight="1">
      <c r="A14" s="40" t="s">
        <v>185</v>
      </c>
      <c r="C14" s="45">
        <f>-'DataTable_10 '!$I$25-('DataTable_10 '!S138-'DataTable_10 '!$H$25)*'DataTable_10 '!$J$25</f>
        <v>-308908.32807990618</v>
      </c>
      <c r="D14" s="45">
        <f>-'DataTable_10 '!$I$25-('DataTable_10 '!T138-'DataTable_10 '!$H$25)*'DataTable_10 '!$J$25</f>
        <v>-325675.9694996617</v>
      </c>
      <c r="E14" s="45">
        <f>-'DataTable_10 '!$I$25-('DataTable_10 '!U138-'DataTable_10 '!$H$25)*'DataTable_10 '!$J$25</f>
        <v>-343231.69006614579</v>
      </c>
      <c r="F14" s="45">
        <f>-'DataTable_10 '!$I$25-('DataTable_10 '!V138-'DataTable_10 '!$H$25)*'DataTable_10 '!$J$25</f>
        <v>-361612.5294992546</v>
      </c>
      <c r="G14" s="45">
        <f>-'DataTable_10 '!$I$25-('DataTable_10 '!W138-'DataTable_10 '!$H$25)*'DataTable_10 '!$J$25</f>
        <v>-380857.26838571951</v>
      </c>
      <c r="H14" s="45">
        <f>-'DataTable_10 '!$I$25-('DataTable_10 '!X138-'DataTable_10 '!$H$25)*'DataTable_10 '!$J$25</f>
        <v>-401006.50999984838</v>
      </c>
      <c r="I14" s="45">
        <f>-'DataTable_10 '!$I$25-('DataTable_10 '!Y138-'DataTable_10 '!$H$25)*'DataTable_10 '!$J$25</f>
        <v>-422102.76596984104</v>
      </c>
      <c r="J14" s="45">
        <f>-'DataTable_10 '!$I$25-('DataTable_10 '!Z138-'DataTable_10 '!$H$25)*'DataTable_10 '!$J$25</f>
        <v>-444190.54597042361</v>
      </c>
      <c r="K14" s="45">
        <f>-'DataTable_10 '!$I$25-('DataTable_10 '!AA138-'DataTable_10 '!$H$25)*'DataTable_10 '!$J$25</f>
        <v>-467316.45163103344</v>
      </c>
      <c r="L14" s="45">
        <f>-'DataTable_10 '!$I$25-('DataTable_10 '!AB138-'DataTable_10 '!$H$25)*'DataTable_10 '!$J$25</f>
        <v>-491529.27485769201</v>
      </c>
      <c r="M14" s="45">
        <f>-'DataTable_10 '!$I$25-('DataTable_10 '!AC138-'DataTable_10 '!$H$25)*'DataTable_10 '!$J$25</f>
        <v>-516880.10077600344</v>
      </c>
    </row>
    <row r="15" spans="1:13" ht="14.25" customHeight="1"/>
    <row r="16" spans="1:13" ht="14.25" customHeight="1">
      <c r="A16" s="143" t="s">
        <v>186</v>
      </c>
      <c r="B16" s="144"/>
      <c r="C16" s="145">
        <f t="shared" ref="C16:M16" si="0">C6+SUM(C9:C14)</f>
        <v>3890182.1525019449</v>
      </c>
      <c r="D16" s="145">
        <f t="shared" si="0"/>
        <v>3959532.7728936402</v>
      </c>
      <c r="E16" s="145">
        <f t="shared" si="0"/>
        <v>4112787.0502678361</v>
      </c>
      <c r="F16" s="145">
        <f t="shared" si="0"/>
        <v>4387715.1237734165</v>
      </c>
      <c r="G16" s="145">
        <f t="shared" si="0"/>
        <v>4654759.1196532883</v>
      </c>
      <c r="H16" s="145">
        <f t="shared" si="0"/>
        <v>4928998.6331163086</v>
      </c>
      <c r="I16" s="145">
        <f t="shared" si="0"/>
        <v>5135361.0770700192</v>
      </c>
      <c r="J16" s="145">
        <f t="shared" si="0"/>
        <v>5545456.9848292079</v>
      </c>
      <c r="K16" s="145">
        <f t="shared" si="0"/>
        <v>5885974.4542330783</v>
      </c>
      <c r="L16" s="145">
        <f t="shared" si="0"/>
        <v>6274817.1200867081</v>
      </c>
      <c r="M16" s="145">
        <f t="shared" si="0"/>
        <v>6669772.0753143243</v>
      </c>
    </row>
    <row r="17" spans="1:13" ht="14.25" customHeight="1"/>
    <row r="18" spans="1:13" ht="14.25" customHeight="1">
      <c r="A18" s="179" t="s">
        <v>187</v>
      </c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5"/>
    </row>
    <row r="19" spans="1:13" ht="14.25" customHeight="1">
      <c r="A19" s="40" t="s">
        <v>188</v>
      </c>
      <c r="C19" s="45">
        <f>'DataTable_10 '!T131</f>
        <v>-506164.82825268724</v>
      </c>
      <c r="D19" s="45">
        <f>'DataTable_10 '!U131</f>
        <v>-506164.82825268724</v>
      </c>
      <c r="E19" s="45">
        <f>'DataTable_10 '!V131</f>
        <v>-506164.82825268724</v>
      </c>
      <c r="F19" s="45">
        <f>'DataTable_10 '!W131</f>
        <v>-506164.82825268724</v>
      </c>
      <c r="G19" s="45">
        <f>'DataTable_10 '!X131</f>
        <v>-506164.82825268724</v>
      </c>
      <c r="H19" s="45">
        <f>'DataTable_10 '!Y131</f>
        <v>-506164.82825268724</v>
      </c>
      <c r="I19" s="45">
        <f>'DataTable_10 '!Z131</f>
        <v>-506164.82825268724</v>
      </c>
      <c r="J19" s="45">
        <f>'DataTable_10 '!AA131</f>
        <v>-506164.82825268724</v>
      </c>
      <c r="K19" s="45">
        <f>'DataTable_10 '!AB131</f>
        <v>-506164.82825268724</v>
      </c>
      <c r="L19" s="45">
        <f>'DataTable_10 '!AC131</f>
        <v>-506164.82825268724</v>
      </c>
    </row>
    <row r="20" spans="1:13" ht="14.25" customHeight="1">
      <c r="A20" s="40" t="s">
        <v>189</v>
      </c>
      <c r="C20" s="45">
        <f>SUM('DataTable_10 '!T133,'DataTable_10 '!T135,'DataTable_10 '!T137)</f>
        <v>-1126146.4421916385</v>
      </c>
      <c r="D20" s="45">
        <f>SUM('DataTable_10 '!U133,'DataTable_10 '!U135,'DataTable_10 '!U137)</f>
        <v>-967919.1762785071</v>
      </c>
      <c r="E20" s="45">
        <f>SUM('DataTable_10 '!V133,'DataTable_10 '!V135,'DataTable_10 '!V137)</f>
        <v>-832986.42196965485</v>
      </c>
      <c r="F20" s="45">
        <f>SUM('DataTable_10 '!W133,'DataTable_10 '!W135,'DataTable_10 '!W137)</f>
        <v>-717789.51654941728</v>
      </c>
      <c r="G20" s="45">
        <f>SUM('DataTable_10 '!X133,'DataTable_10 '!X135,'DataTable_10 '!X137)</f>
        <v>-619328.89780061459</v>
      </c>
      <c r="H20" s="45">
        <f>SUM('DataTable_10 '!Y133,'DataTable_10 '!Y135,'DataTable_10 '!Y137)</f>
        <v>-535074.42712433951</v>
      </c>
      <c r="I20" s="45">
        <f>SUM('DataTable_10 '!Z133,'DataTable_10 '!Z135,'DataTable_10 '!Z137)</f>
        <v>-462890.31536140124</v>
      </c>
      <c r="J20" s="45">
        <f>SUM('DataTable_10 '!AA133,'DataTable_10 '!AA135,'DataTable_10 '!AA137)</f>
        <v>-400972.24712267064</v>
      </c>
      <c r="K20" s="45">
        <f>SUM('DataTable_10 '!AB133,'DataTable_10 '!AB135,'DataTable_10 '!AB137)</f>
        <v>-347794.69846637768</v>
      </c>
      <c r="L20" s="45">
        <f>SUM('DataTable_10 '!AC133,'DataTable_10 '!AC135,'DataTable_10 '!AC137)</f>
        <v>-302066.77516831824</v>
      </c>
    </row>
    <row r="21" spans="1:13" ht="14.25" customHeight="1">
      <c r="A21" s="40" t="s">
        <v>190</v>
      </c>
      <c r="C21" s="45">
        <f>'DataTable_10 '!$C$51*-'DataTable_10 '!$C$12</f>
        <v>-1948734.5887728455</v>
      </c>
      <c r="D21" s="45">
        <f>'DataTable_10 '!$C$51*-'DataTable_10 '!$C$12</f>
        <v>-1948734.5887728455</v>
      </c>
      <c r="E21" s="45">
        <f>'DataTable_10 '!$C$51*-'DataTable_10 '!$C$12</f>
        <v>-1948734.5887728455</v>
      </c>
      <c r="F21" s="45">
        <f>'DataTable_10 '!$C$51*-'DataTable_10 '!$C$12</f>
        <v>-1948734.5887728455</v>
      </c>
      <c r="G21" s="45">
        <f>'DataTable_10 '!$C$51*-'DataTable_10 '!$C$12</f>
        <v>-1948734.5887728455</v>
      </c>
      <c r="H21" s="45">
        <f>'DataTable_10 '!$C$51*-'DataTable_10 '!$C$12</f>
        <v>-1948734.5887728455</v>
      </c>
      <c r="I21" s="45">
        <f>'DataTable_10 '!$C$51*-'DataTable_10 '!$C$12</f>
        <v>-1948734.5887728455</v>
      </c>
      <c r="J21" s="45">
        <f>'DataTable_10 '!$C$51*-'DataTable_10 '!$C$12</f>
        <v>-1948734.5887728455</v>
      </c>
      <c r="K21" s="45">
        <f>'DataTable_10 '!$C$51*-'DataTable_10 '!$C$12</f>
        <v>-1948734.5887728455</v>
      </c>
      <c r="L21" s="45">
        <f>'DataTable_10 '!$C$51*-'DataTable_10 '!$C$12</f>
        <v>-1948734.5887728455</v>
      </c>
    </row>
    <row r="22" spans="1:13" ht="14.25" customHeight="1">
      <c r="A22" s="146" t="s">
        <v>191</v>
      </c>
      <c r="B22" s="146"/>
      <c r="C22" s="147">
        <f t="shared" ref="C22:L22" si="1">SUM(C19:C21)</f>
        <v>-3581045.8592171711</v>
      </c>
      <c r="D22" s="147">
        <f t="shared" si="1"/>
        <v>-3422818.5933040399</v>
      </c>
      <c r="E22" s="147">
        <f t="shared" si="1"/>
        <v>-3287885.8389951875</v>
      </c>
      <c r="F22" s="147">
        <f t="shared" si="1"/>
        <v>-3172688.9335749499</v>
      </c>
      <c r="G22" s="147">
        <f t="shared" si="1"/>
        <v>-3074228.3148261472</v>
      </c>
      <c r="H22" s="147">
        <f t="shared" si="1"/>
        <v>-2989973.8441498722</v>
      </c>
      <c r="I22" s="147">
        <f t="shared" si="1"/>
        <v>-2917789.7323869336</v>
      </c>
      <c r="J22" s="147">
        <f t="shared" si="1"/>
        <v>-2855871.6641482031</v>
      </c>
      <c r="K22" s="147">
        <f t="shared" si="1"/>
        <v>-2802694.1154919104</v>
      </c>
      <c r="L22" s="147">
        <f t="shared" si="1"/>
        <v>-2756966.1921938509</v>
      </c>
    </row>
    <row r="23" spans="1:13" ht="14.25" customHeight="1"/>
    <row r="24" spans="1:13" ht="14.25" customHeight="1">
      <c r="A24" s="40" t="s">
        <v>192</v>
      </c>
      <c r="C24" s="45">
        <f>'DataTable_10 '!C53</f>
        <v>395569</v>
      </c>
      <c r="D24" s="45">
        <f>C24*(1+'DataTable_10 '!$C$54)</f>
        <v>410402.83750000002</v>
      </c>
      <c r="E24" s="45">
        <f>D24*(1+'DataTable_10 '!$C$54)</f>
        <v>425792.94390625006</v>
      </c>
      <c r="F24" s="45">
        <f>E24*(1+'DataTable_10 '!$C$54)</f>
        <v>441760.1793027345</v>
      </c>
      <c r="G24" s="45">
        <f>F24*(1+'DataTable_10 '!$C$54)</f>
        <v>458326.18602658709</v>
      </c>
      <c r="H24" s="45">
        <f>G24*(1+'DataTable_10 '!$C$54)</f>
        <v>475513.41800258413</v>
      </c>
      <c r="I24" s="45">
        <f>H24*(1+'DataTable_10 '!$C$54)</f>
        <v>493345.17117768107</v>
      </c>
      <c r="J24" s="45">
        <f>I24*(1+'DataTable_10 '!$C$54)</f>
        <v>511845.61509684415</v>
      </c>
      <c r="K24" s="45">
        <f>J24*(1+'DataTable_10 '!$C$54)</f>
        <v>531039.8256629759</v>
      </c>
      <c r="L24" s="45">
        <f>K24*(1+'DataTable_10 '!$C$54)</f>
        <v>550953.81912533753</v>
      </c>
    </row>
    <row r="25" spans="1:13" ht="14.25" customHeight="1">
      <c r="A25" s="146" t="s">
        <v>193</v>
      </c>
      <c r="B25" s="146"/>
      <c r="C25" s="147">
        <f t="shared" ref="C25:L25" si="2">C16+C22+C24</f>
        <v>704705.29328477383</v>
      </c>
      <c r="D25" s="147">
        <f t="shared" si="2"/>
        <v>947117.01708960033</v>
      </c>
      <c r="E25" s="147">
        <f t="shared" si="2"/>
        <v>1250694.1551788985</v>
      </c>
      <c r="F25" s="147">
        <f t="shared" si="2"/>
        <v>1656786.3695012012</v>
      </c>
      <c r="G25" s="147">
        <f t="shared" si="2"/>
        <v>2038856.9908537283</v>
      </c>
      <c r="H25" s="147">
        <f t="shared" si="2"/>
        <v>2414538.2069690204</v>
      </c>
      <c r="I25" s="147">
        <f t="shared" si="2"/>
        <v>2710916.5158607666</v>
      </c>
      <c r="J25" s="147">
        <f t="shared" si="2"/>
        <v>3201430.9357778491</v>
      </c>
      <c r="K25" s="147">
        <f t="shared" si="2"/>
        <v>3614320.1644041436</v>
      </c>
      <c r="L25" s="147">
        <f t="shared" si="2"/>
        <v>4068804.7470181948</v>
      </c>
    </row>
    <row r="26" spans="1:13" ht="14.25" customHeight="1"/>
    <row r="27" spans="1:13" ht="14.25" customHeight="1">
      <c r="A27" s="179" t="s">
        <v>194</v>
      </c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5"/>
      <c r="M27" s="45"/>
    </row>
    <row r="28" spans="1:13" ht="14.25" customHeight="1">
      <c r="A28" s="146" t="s">
        <v>193</v>
      </c>
      <c r="B28" s="146"/>
      <c r="C28" s="147">
        <f t="shared" ref="C28:L28" si="3">C25</f>
        <v>704705.29328477383</v>
      </c>
      <c r="D28" s="147">
        <f t="shared" si="3"/>
        <v>947117.01708960033</v>
      </c>
      <c r="E28" s="147">
        <f t="shared" si="3"/>
        <v>1250694.1551788985</v>
      </c>
      <c r="F28" s="147">
        <f t="shared" si="3"/>
        <v>1656786.3695012012</v>
      </c>
      <c r="G28" s="147">
        <f t="shared" si="3"/>
        <v>2038856.9908537283</v>
      </c>
      <c r="H28" s="147">
        <f t="shared" si="3"/>
        <v>2414538.2069690204</v>
      </c>
      <c r="I28" s="147">
        <f t="shared" si="3"/>
        <v>2710916.5158607666</v>
      </c>
      <c r="J28" s="147">
        <f t="shared" si="3"/>
        <v>3201430.9357778491</v>
      </c>
      <c r="K28" s="147">
        <f t="shared" si="3"/>
        <v>3614320.1644041436</v>
      </c>
      <c r="L28" s="147">
        <f t="shared" si="3"/>
        <v>4068804.7470181948</v>
      </c>
      <c r="M28" s="45"/>
    </row>
    <row r="29" spans="1:13" ht="14.25" customHeight="1">
      <c r="A29" s="40" t="s">
        <v>195</v>
      </c>
      <c r="C29" s="45"/>
      <c r="D29" s="45"/>
      <c r="E29" s="45"/>
      <c r="F29" s="45"/>
      <c r="G29" s="45"/>
      <c r="H29" s="45"/>
      <c r="I29" s="45"/>
      <c r="J29" s="45"/>
      <c r="K29" s="45"/>
      <c r="L29" s="45">
        <f>L37-('DataTable_10 '!C7+'DataTable_10 '!C8-SUM(CashFlows_10!L19:L20))</f>
        <v>26608533.637585618</v>
      </c>
      <c r="M29" s="45"/>
    </row>
    <row r="30" spans="1:13" ht="14.25" customHeight="1">
      <c r="A30" s="146" t="s">
        <v>196</v>
      </c>
      <c r="B30" s="146"/>
      <c r="C30" s="147">
        <f t="shared" ref="C30:L30" si="4">SUM(C28:C29)</f>
        <v>704705.29328477383</v>
      </c>
      <c r="D30" s="147">
        <f t="shared" si="4"/>
        <v>947117.01708960033</v>
      </c>
      <c r="E30" s="147">
        <f t="shared" si="4"/>
        <v>1250694.1551788985</v>
      </c>
      <c r="F30" s="147">
        <f t="shared" si="4"/>
        <v>1656786.3695012012</v>
      </c>
      <c r="G30" s="147">
        <f t="shared" si="4"/>
        <v>2038856.9908537283</v>
      </c>
      <c r="H30" s="147">
        <f t="shared" si="4"/>
        <v>2414538.2069690204</v>
      </c>
      <c r="I30" s="147">
        <f t="shared" si="4"/>
        <v>2710916.5158607666</v>
      </c>
      <c r="J30" s="147">
        <f t="shared" si="4"/>
        <v>3201430.9357778491</v>
      </c>
      <c r="K30" s="147">
        <f t="shared" si="4"/>
        <v>3614320.1644041436</v>
      </c>
      <c r="L30" s="147">
        <f t="shared" si="4"/>
        <v>30677338.384603813</v>
      </c>
      <c r="M30" s="45"/>
    </row>
    <row r="31" spans="1:13" ht="14.25" customHeight="1">
      <c r="A31" s="40" t="s">
        <v>197</v>
      </c>
      <c r="C31" s="45">
        <f>-C30*'DataTable_10 '!$C$21</f>
        <v>-211411.58798543215</v>
      </c>
      <c r="D31" s="45">
        <f>-D30*'DataTable_10 '!$C$21</f>
        <v>-284135.10512688011</v>
      </c>
      <c r="E31" s="45">
        <f>-E30*'DataTable_10 '!$C$21</f>
        <v>-375208.24655366951</v>
      </c>
      <c r="F31" s="45">
        <f>-F30*'DataTable_10 '!$C$21</f>
        <v>-497035.91085036035</v>
      </c>
      <c r="G31" s="45">
        <f>-G30*'DataTable_10 '!$C$21</f>
        <v>-611657.09725611843</v>
      </c>
      <c r="H31" s="45">
        <f>-H30*'DataTable_10 '!$C$21</f>
        <v>-724361.4620907061</v>
      </c>
      <c r="I31" s="45">
        <f>-I30*'DataTable_10 '!$C$21</f>
        <v>-813274.95475823001</v>
      </c>
      <c r="J31" s="45">
        <f>-J30*'DataTable_10 '!$C$21</f>
        <v>-960429.28073335462</v>
      </c>
      <c r="K31" s="45">
        <f>-K30*'DataTable_10 '!$C$21</f>
        <v>-1084296.0493212431</v>
      </c>
      <c r="L31" s="45">
        <f>-L30*'DataTable_10 '!$C$21</f>
        <v>-9203201.5153811444</v>
      </c>
      <c r="M31" s="45"/>
    </row>
    <row r="32" spans="1:13" ht="14.25" customHeight="1"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</row>
    <row r="33" spans="1:13" ht="14.25" customHeight="1">
      <c r="A33" s="179" t="s">
        <v>198</v>
      </c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5"/>
      <c r="M33" s="45"/>
    </row>
    <row r="34" spans="1:13" ht="14.25" customHeight="1">
      <c r="A34" s="140" t="s">
        <v>178</v>
      </c>
      <c r="B34" s="140">
        <v>0</v>
      </c>
      <c r="C34" s="140">
        <v>1</v>
      </c>
      <c r="D34" s="140">
        <v>2</v>
      </c>
      <c r="E34" s="140">
        <v>3</v>
      </c>
      <c r="F34" s="140">
        <v>4</v>
      </c>
      <c r="G34" s="140">
        <v>5</v>
      </c>
      <c r="H34" s="140">
        <v>6</v>
      </c>
      <c r="I34" s="140">
        <v>7</v>
      </c>
      <c r="J34" s="140">
        <v>8</v>
      </c>
      <c r="K34" s="140">
        <v>9</v>
      </c>
      <c r="L34" s="140">
        <v>10</v>
      </c>
      <c r="M34" s="45"/>
    </row>
    <row r="35" spans="1:13" ht="14.25" customHeight="1">
      <c r="A35" s="40" t="s">
        <v>199</v>
      </c>
      <c r="B35" s="45">
        <f>-'DataTable_10 '!C10</f>
        <v>-45302842.329792693</v>
      </c>
      <c r="M35" s="45"/>
    </row>
    <row r="36" spans="1:13" ht="14.25" customHeight="1">
      <c r="A36" s="40" t="s">
        <v>132</v>
      </c>
      <c r="B36" s="45">
        <f>'DataTable_10 '!C12</f>
        <v>29526281.648073416</v>
      </c>
      <c r="L36" s="45">
        <f>-B36</f>
        <v>-29526281.648073416</v>
      </c>
      <c r="M36" s="45"/>
    </row>
    <row r="37" spans="1:13" ht="14.25" customHeight="1">
      <c r="A37" s="40" t="s">
        <v>200</v>
      </c>
      <c r="C37" s="45"/>
      <c r="D37" s="45"/>
      <c r="E37" s="45"/>
      <c r="F37" s="45"/>
      <c r="G37" s="45"/>
      <c r="H37" s="45"/>
      <c r="I37" s="45"/>
      <c r="J37" s="45"/>
      <c r="K37" s="45"/>
      <c r="L37" s="45">
        <f>M16/'DataTable_10 '!C23</f>
        <v>72318893.748432606</v>
      </c>
      <c r="M37" s="45"/>
    </row>
    <row r="38" spans="1:13" ht="14.25" customHeight="1">
      <c r="A38" s="40" t="s">
        <v>201</v>
      </c>
      <c r="C38" s="45"/>
      <c r="D38" s="45"/>
      <c r="E38" s="45"/>
      <c r="F38" s="45"/>
      <c r="G38" s="45"/>
      <c r="H38" s="45"/>
      <c r="I38" s="45"/>
      <c r="J38" s="45"/>
      <c r="K38" s="45"/>
      <c r="L38" s="45">
        <f>-L37*'DataTable_10 '!C50</f>
        <v>-1641638.8880894203</v>
      </c>
      <c r="M38" s="45"/>
    </row>
    <row r="39" spans="1:13" ht="14.25" customHeight="1">
      <c r="A39" s="40" t="s">
        <v>202</v>
      </c>
      <c r="C39" s="45">
        <f>-'DataTable_10 '!F150</f>
        <v>0</v>
      </c>
      <c r="D39" s="45">
        <f>-'DataTable_10 '!G150</f>
        <v>-140058.454096</v>
      </c>
      <c r="E39" s="45">
        <f>-'DataTable_10 '!H150</f>
        <v>-216467.32163890172</v>
      </c>
      <c r="F39" s="45">
        <f>-'DataTable_10 '!I150</f>
        <v>-196224.78406213329</v>
      </c>
      <c r="G39" s="45">
        <f>-'DataTable_10 '!J150</f>
        <v>-198665.17264297963</v>
      </c>
      <c r="H39" s="45">
        <f>-'DataTable_10 '!K150</f>
        <v>-211084.40227074991</v>
      </c>
      <c r="I39" s="45">
        <f>-'DataTable_10 '!L150</f>
        <v>-303474.71619361331</v>
      </c>
      <c r="J39" s="45">
        <f>-'DataTable_10 '!M150</f>
        <v>-229308.89454377943</v>
      </c>
      <c r="K39" s="45">
        <f>-'DataTable_10 '!N150</f>
        <v>-239439.81614665373</v>
      </c>
      <c r="L39" s="45">
        <f>-'DataTable_10 '!O150</f>
        <v>-227436.63783378864</v>
      </c>
      <c r="M39" s="45"/>
    </row>
    <row r="40" spans="1:13" ht="14.25" customHeight="1">
      <c r="A40" s="40" t="s">
        <v>186</v>
      </c>
      <c r="C40" s="45">
        <f t="shared" ref="C40:L40" si="5">C16</f>
        <v>3890182.1525019449</v>
      </c>
      <c r="D40" s="45">
        <f t="shared" si="5"/>
        <v>3959532.7728936402</v>
      </c>
      <c r="E40" s="45">
        <f t="shared" si="5"/>
        <v>4112787.0502678361</v>
      </c>
      <c r="F40" s="45">
        <f t="shared" si="5"/>
        <v>4387715.1237734165</v>
      </c>
      <c r="G40" s="45">
        <f t="shared" si="5"/>
        <v>4654759.1196532883</v>
      </c>
      <c r="H40" s="45">
        <f t="shared" si="5"/>
        <v>4928998.6331163086</v>
      </c>
      <c r="I40" s="45">
        <f t="shared" si="5"/>
        <v>5135361.0770700192</v>
      </c>
      <c r="J40" s="45">
        <f t="shared" si="5"/>
        <v>5545456.9848292079</v>
      </c>
      <c r="K40" s="45">
        <f t="shared" si="5"/>
        <v>5885974.4542330783</v>
      </c>
      <c r="L40" s="45">
        <f t="shared" si="5"/>
        <v>6274817.1200867081</v>
      </c>
      <c r="M40" s="45"/>
    </row>
    <row r="41" spans="1:13" ht="14.25" customHeight="1">
      <c r="A41" s="40" t="s">
        <v>190</v>
      </c>
      <c r="C41" s="45">
        <f t="array" ref="C41:L41">C21:L21</f>
        <v>-1948734.5887728455</v>
      </c>
      <c r="D41" s="45">
        <v>-1948734.5887728455</v>
      </c>
      <c r="E41" s="45">
        <v>-1948734.5887728455</v>
      </c>
      <c r="F41" s="45">
        <v>-1948734.5887728455</v>
      </c>
      <c r="G41" s="45">
        <v>-1948734.5887728455</v>
      </c>
      <c r="H41" s="45">
        <v>-1948734.5887728455</v>
      </c>
      <c r="I41" s="45">
        <v>-1948734.5887728455</v>
      </c>
      <c r="J41" s="45">
        <v>-1948734.5887728455</v>
      </c>
      <c r="K41" s="45">
        <v>-1948734.5887728455</v>
      </c>
      <c r="L41" s="45">
        <v>-1948734.5887728455</v>
      </c>
      <c r="M41" s="45"/>
    </row>
    <row r="42" spans="1:13" ht="14.25" customHeight="1">
      <c r="A42" s="40" t="s">
        <v>192</v>
      </c>
      <c r="C42" s="45">
        <f t="array" ref="C42:L42">C24:L24</f>
        <v>395569</v>
      </c>
      <c r="D42" s="45">
        <v>410402.83750000002</v>
      </c>
      <c r="E42" s="45">
        <v>425792.94390625006</v>
      </c>
      <c r="F42" s="45">
        <v>441760.1793027345</v>
      </c>
      <c r="G42" s="45">
        <v>458326.18602658709</v>
      </c>
      <c r="H42" s="45">
        <v>475513.41800258413</v>
      </c>
      <c r="I42" s="45">
        <v>493345.17117768107</v>
      </c>
      <c r="J42" s="45">
        <v>511845.61509684415</v>
      </c>
      <c r="K42" s="45">
        <v>531039.8256629759</v>
      </c>
      <c r="L42" s="45">
        <v>550953.81912533753</v>
      </c>
      <c r="M42" s="45"/>
    </row>
    <row r="43" spans="1:13" ht="14.25" customHeight="1">
      <c r="A43" s="40" t="s">
        <v>203</v>
      </c>
      <c r="C43" s="45">
        <f t="array" ref="C43:L43">C31:L31</f>
        <v>-211411.58798543215</v>
      </c>
      <c r="D43" s="45">
        <v>-284135.10512688011</v>
      </c>
      <c r="E43" s="45">
        <v>-375208.24655366951</v>
      </c>
      <c r="F43" s="45">
        <v>-497035.91085036035</v>
      </c>
      <c r="G43" s="45">
        <v>-611657.09725611843</v>
      </c>
      <c r="H43" s="45">
        <v>-724361.4620907061</v>
      </c>
      <c r="I43" s="45">
        <v>-813274.95475823001</v>
      </c>
      <c r="J43" s="45">
        <v>-960429.28073335462</v>
      </c>
      <c r="K43" s="45">
        <v>-1084296.0493212431</v>
      </c>
      <c r="L43" s="45">
        <v>-9203201.5153811444</v>
      </c>
      <c r="M43" s="45"/>
    </row>
    <row r="44" spans="1:13" ht="14.25" customHeight="1">
      <c r="A44" s="146" t="s">
        <v>204</v>
      </c>
      <c r="B44" s="147">
        <f t="shared" ref="B44:L44" si="6">SUM(B35:B43)</f>
        <v>-15776560.681719277</v>
      </c>
      <c r="C44" s="147">
        <f t="shared" si="6"/>
        <v>2125604.9757436672</v>
      </c>
      <c r="D44" s="147">
        <f t="shared" si="6"/>
        <v>1997007.4623979144</v>
      </c>
      <c r="E44" s="147">
        <f t="shared" si="6"/>
        <v>1998169.8372086694</v>
      </c>
      <c r="F44" s="147">
        <f t="shared" si="6"/>
        <v>2187480.0193908117</v>
      </c>
      <c r="G44" s="147">
        <f t="shared" si="6"/>
        <v>2354028.4470079318</v>
      </c>
      <c r="H44" s="147">
        <f t="shared" si="6"/>
        <v>2520331.597984591</v>
      </c>
      <c r="I44" s="147">
        <f t="shared" si="6"/>
        <v>2563221.9885230111</v>
      </c>
      <c r="J44" s="147">
        <f t="shared" si="6"/>
        <v>2918829.8358760728</v>
      </c>
      <c r="K44" s="147">
        <f t="shared" si="6"/>
        <v>3144543.8256553118</v>
      </c>
      <c r="L44" s="147">
        <f t="shared" si="6"/>
        <v>36597371.409494035</v>
      </c>
      <c r="M44" s="45"/>
    </row>
    <row r="45" spans="1:13" ht="14.25" customHeight="1">
      <c r="A45" s="40" t="str">
        <f>"PV of Total After-Tax Cash Flows @ "&amp;'DataTable_10 '!C20*100&amp;"%"</f>
        <v>PV of Total After-Tax Cash Flows @ 14.3%</v>
      </c>
      <c r="B45" s="45">
        <f>B44/(1+'DataTable_10 '!$C$20)^CashFlows_10!B34</f>
        <v>-15776560.681719277</v>
      </c>
      <c r="C45" s="45">
        <f>C44/(1+'DataTable_10 '!$C$20)^CashFlows_10!C34</f>
        <v>1859671.8947888601</v>
      </c>
      <c r="D45" s="45">
        <f>D44/(1+'DataTable_10 '!$C$20)^CashFlows_10!D34</f>
        <v>1528576.6703468061</v>
      </c>
      <c r="E45" s="45">
        <f>E44/(1+'DataTable_10 '!$C$20)^CashFlows_10!E34</f>
        <v>1338115.8277490777</v>
      </c>
      <c r="F45" s="45">
        <f>F44/(1+'DataTable_10 '!$C$20)^CashFlows_10!F34</f>
        <v>1281619.6965907579</v>
      </c>
      <c r="G45" s="45">
        <f>G44/(1+'DataTable_10 '!$C$20)^CashFlows_10!G34</f>
        <v>1206647.8815136552</v>
      </c>
      <c r="H45" s="45">
        <f>H44/(1+'DataTable_10 '!$C$20)^CashFlows_10!H34</f>
        <v>1130265.0587599042</v>
      </c>
      <c r="I45" s="45">
        <f>I44/(1+'DataTable_10 '!$C$20)^CashFlows_10!I34</f>
        <v>1005686.4696463114</v>
      </c>
      <c r="J45" s="45">
        <f>J44/(1+'DataTable_10 '!$C$20)^CashFlows_10!J34</f>
        <v>1001933.5832882128</v>
      </c>
      <c r="K45" s="45">
        <f>K44/(1+'DataTable_10 '!$C$20)^CashFlows_10!K34</f>
        <v>944368.68667277705</v>
      </c>
      <c r="L45" s="45">
        <f>L44/(1+'DataTable_10 '!$C$20)^CashFlows_10!L34</f>
        <v>9615847.9962416328</v>
      </c>
      <c r="M45" s="45"/>
    </row>
    <row r="46" spans="1:13" ht="14.25" customHeight="1"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</row>
    <row r="47" spans="1:13" ht="14.25" customHeight="1">
      <c r="A47" s="148" t="s">
        <v>122</v>
      </c>
      <c r="B47" s="149">
        <f t="array" ref="B47">NPV('DataTable_10 '!C20,CashFlows_10!C44:L44)+CashFlows_10!B44</f>
        <v>5136173.0838787146</v>
      </c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</row>
    <row r="48" spans="1:13" ht="14.25" customHeight="1">
      <c r="A48" s="150" t="s">
        <v>123</v>
      </c>
      <c r="B48" s="151">
        <f>IRR(B44:L44)</f>
        <v>0.19159282037174963</v>
      </c>
      <c r="C48" s="45"/>
      <c r="D48" s="45"/>
      <c r="E48" s="45"/>
      <c r="F48" s="45"/>
      <c r="G48" s="45"/>
      <c r="H48" s="45"/>
      <c r="I48" s="45"/>
      <c r="J48" s="45"/>
      <c r="K48" s="45"/>
      <c r="L48" s="45"/>
    </row>
    <row r="49" spans="1:13" ht="14.25" customHeight="1">
      <c r="A49" s="152" t="s">
        <v>205</v>
      </c>
      <c r="B49" s="153">
        <f>MIRR(B44:L44,'DataTable_10 '!C51,'DataTable_10 '!C19)</f>
        <v>0.14789655286409831</v>
      </c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</row>
    <row r="50" spans="1:13" ht="14.25" customHeight="1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</row>
    <row r="51" spans="1:13" ht="14.25" customHeight="1">
      <c r="C51" s="45"/>
      <c r="D51" s="45"/>
      <c r="E51" s="45"/>
      <c r="F51" s="45"/>
      <c r="G51" s="45"/>
      <c r="H51" s="45"/>
      <c r="I51" s="45"/>
      <c r="J51" s="45"/>
    </row>
    <row r="52" spans="1:13" ht="14.25" customHeight="1">
      <c r="A52" s="154"/>
    </row>
    <row r="53" spans="1:13" ht="14.25" customHeight="1"/>
    <row r="54" spans="1:13" ht="14.25" customHeight="1">
      <c r="A54" s="155"/>
      <c r="B54" s="155"/>
      <c r="C54" s="156"/>
      <c r="D54" s="156"/>
      <c r="E54" s="45"/>
      <c r="F54" s="45"/>
      <c r="G54" s="45"/>
      <c r="H54" s="45"/>
      <c r="I54" s="45"/>
      <c r="J54" s="45"/>
    </row>
    <row r="55" spans="1:13" ht="14.25" customHeight="1"/>
    <row r="56" spans="1:13" ht="14.25" customHeight="1"/>
    <row r="57" spans="1:13" ht="14.25" customHeight="1"/>
    <row r="58" spans="1:13" ht="14.25" customHeight="1"/>
    <row r="59" spans="1:13" ht="14.25" customHeight="1"/>
    <row r="60" spans="1:13" ht="14.25" customHeight="1"/>
    <row r="61" spans="1:13" ht="14.25" customHeight="1"/>
    <row r="62" spans="1:13" ht="14.25" customHeight="1"/>
    <row r="63" spans="1:13" ht="14.25" customHeight="1"/>
    <row r="64" spans="1:13" ht="14.25" customHeight="1"/>
    <row r="65" spans="1:1" ht="14.25" customHeight="1"/>
    <row r="66" spans="1:1" ht="14.25" customHeight="1">
      <c r="A66" s="157"/>
    </row>
    <row r="67" spans="1:1" ht="14.25" customHeight="1">
      <c r="A67" s="157"/>
    </row>
    <row r="68" spans="1:1" ht="14.25" customHeight="1">
      <c r="A68" s="157"/>
    </row>
    <row r="69" spans="1:1" ht="14.25" customHeight="1">
      <c r="A69" s="157"/>
    </row>
    <row r="70" spans="1:1" ht="14.25" customHeight="1">
      <c r="A70" s="157"/>
    </row>
    <row r="71" spans="1:1" ht="14.25" customHeight="1">
      <c r="A71" s="157"/>
    </row>
    <row r="72" spans="1:1" ht="14.25" customHeight="1">
      <c r="A72" s="157"/>
    </row>
    <row r="73" spans="1:1" ht="14.25" customHeight="1">
      <c r="A73" s="157"/>
    </row>
    <row r="74" spans="1:1" ht="14.25" customHeight="1">
      <c r="A74" s="157"/>
    </row>
    <row r="75" spans="1:1" ht="14.25" customHeight="1">
      <c r="A75" s="157"/>
    </row>
    <row r="76" spans="1:1" ht="14.25" customHeight="1">
      <c r="A76" s="157"/>
    </row>
    <row r="77" spans="1:1" ht="14.25" customHeight="1">
      <c r="A77" s="157"/>
    </row>
    <row r="78" spans="1:1" ht="14.25" customHeight="1">
      <c r="A78" s="157"/>
    </row>
    <row r="79" spans="1:1" ht="14.25" customHeight="1">
      <c r="A79" s="157"/>
    </row>
    <row r="80" spans="1:1" ht="14.25" customHeight="1">
      <c r="A80" s="157"/>
    </row>
    <row r="81" spans="1:1" ht="14.25" customHeight="1">
      <c r="A81" s="157"/>
    </row>
    <row r="82" spans="1:1" ht="14.25" customHeight="1">
      <c r="A82" s="157"/>
    </row>
    <row r="83" spans="1:1" ht="14.25" customHeight="1">
      <c r="A83" s="157"/>
    </row>
    <row r="84" spans="1:1" ht="14.25" customHeight="1">
      <c r="A84" s="157"/>
    </row>
    <row r="85" spans="1:1" ht="14.25" customHeight="1">
      <c r="A85" s="157"/>
    </row>
    <row r="86" spans="1:1" ht="14.25" customHeight="1">
      <c r="A86" s="157"/>
    </row>
    <row r="87" spans="1:1" ht="14.25" customHeight="1">
      <c r="A87" s="157"/>
    </row>
    <row r="88" spans="1:1" ht="14.25" customHeight="1">
      <c r="A88" s="157"/>
    </row>
    <row r="89" spans="1:1" ht="14.25" customHeight="1">
      <c r="A89" s="157"/>
    </row>
    <row r="90" spans="1:1" ht="14.25" customHeight="1">
      <c r="A90" s="157"/>
    </row>
    <row r="91" spans="1:1" ht="14.25" customHeight="1">
      <c r="A91" s="157"/>
    </row>
    <row r="92" spans="1:1" ht="14.25" customHeight="1">
      <c r="A92" s="157"/>
    </row>
    <row r="93" spans="1:1" ht="14.25" customHeight="1">
      <c r="A93" s="157"/>
    </row>
    <row r="94" spans="1:1" ht="14.25" customHeight="1">
      <c r="A94" s="157"/>
    </row>
    <row r="95" spans="1:1" ht="14.25" customHeight="1">
      <c r="A95" s="157"/>
    </row>
    <row r="96" spans="1:1" ht="14.25" customHeight="1">
      <c r="A96" s="157"/>
    </row>
    <row r="97" spans="1:1" ht="14.25" customHeight="1">
      <c r="A97" s="157"/>
    </row>
    <row r="98" spans="1:1" ht="14.25" customHeight="1">
      <c r="A98" s="157"/>
    </row>
    <row r="99" spans="1:1" ht="14.25" customHeight="1">
      <c r="A99" s="157"/>
    </row>
    <row r="100" spans="1:1" ht="14.25" customHeight="1"/>
    <row r="101" spans="1:1" ht="14.25" customHeight="1"/>
    <row r="102" spans="1:1" ht="14.25" customHeight="1"/>
    <row r="103" spans="1:1" ht="14.25" customHeight="1"/>
    <row r="104" spans="1:1" ht="14.25" customHeight="1"/>
    <row r="105" spans="1:1" ht="14.25" customHeight="1"/>
    <row r="106" spans="1:1" ht="14.25" customHeight="1"/>
    <row r="107" spans="1:1" ht="14.25" customHeight="1"/>
    <row r="108" spans="1:1" ht="14.25" customHeight="1"/>
    <row r="109" spans="1:1" ht="14.25" customHeight="1"/>
    <row r="110" spans="1:1" ht="14.25" customHeight="1"/>
    <row r="111" spans="1:1" ht="14.25" customHeight="1"/>
    <row r="112" spans="1:1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">
    <mergeCell ref="A3:M3"/>
    <mergeCell ref="A8:M8"/>
    <mergeCell ref="A18:L18"/>
    <mergeCell ref="A27:L27"/>
    <mergeCell ref="A33:L33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29</vt:i4>
      </vt:variant>
    </vt:vector>
  </HeadingPairs>
  <TitlesOfParts>
    <vt:vector size="33" baseType="lpstr">
      <vt:lpstr>GroupNum_10 </vt:lpstr>
      <vt:lpstr>Executive summary</vt:lpstr>
      <vt:lpstr>DataTable_10 </vt:lpstr>
      <vt:lpstr>CashFlows_10</vt:lpstr>
      <vt:lpstr>AirConDepn</vt:lpstr>
      <vt:lpstr>AirConValPct</vt:lpstr>
      <vt:lpstr>BuildAllow</vt:lpstr>
      <vt:lpstr>BuildMaintenance</vt:lpstr>
      <vt:lpstr>BuildValPct</vt:lpstr>
      <vt:lpstr>Convention_RentIncrease</vt:lpstr>
      <vt:lpstr>FixFitDepn</vt:lpstr>
      <vt:lpstr>FixFitValPct</vt:lpstr>
      <vt:lpstr>Inflation</vt:lpstr>
      <vt:lpstr>InterestRate</vt:lpstr>
      <vt:lpstr>landAppn</vt:lpstr>
      <vt:lpstr>LiftDepn</vt:lpstr>
      <vt:lpstr>LiftValPct</vt:lpstr>
      <vt:lpstr>ManFeesConvention</vt:lpstr>
      <vt:lpstr>ManFeesGeneralOffice</vt:lpstr>
      <vt:lpstr>ManFeesGov</vt:lpstr>
      <vt:lpstr>ManFeesRetail</vt:lpstr>
      <vt:lpstr>MTR</vt:lpstr>
      <vt:lpstr>Office_RentIncrease</vt:lpstr>
      <vt:lpstr>OthBuyCosts</vt:lpstr>
      <vt:lpstr>OtherIncome</vt:lpstr>
      <vt:lpstr>OthManCosts</vt:lpstr>
      <vt:lpstr>Pct_OtherIncomeChange</vt:lpstr>
      <vt:lpstr>prPrice</vt:lpstr>
      <vt:lpstr>ReinvestRate</vt:lpstr>
      <vt:lpstr>RequiredReturn</vt:lpstr>
      <vt:lpstr>Retail_RentIncrease</vt:lpstr>
      <vt:lpstr>SelCosts</vt:lpstr>
      <vt:lpstr>StateGov_RentIncrease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Wan</dc:creator>
  <cp:lastModifiedBy>Adrian Hoac</cp:lastModifiedBy>
  <dcterms:created xsi:type="dcterms:W3CDTF">2025-03-28T09:58:45Z</dcterms:created>
  <dcterms:modified xsi:type="dcterms:W3CDTF">2025-05-08T04:37:28Z</dcterms:modified>
</cp:coreProperties>
</file>