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fileSharing readOnlyRecommended="1"/>
  <workbookPr defaultThemeVersion="202300"/>
  <mc:AlternateContent xmlns:mc="http://schemas.openxmlformats.org/markup-compatibility/2006">
    <mc:Choice Requires="x15">
      <x15ac:absPath xmlns:x15ac="http://schemas.microsoft.com/office/spreadsheetml/2010/11/ac" url="C:\Users\LEGION\Downloads\"/>
    </mc:Choice>
  </mc:AlternateContent>
  <xr:revisionPtr revIDLastSave="0" documentId="13_ncr:1_{E948B7C6-9EA0-4E94-83A4-8C15A1CB818A}" xr6:coauthVersionLast="47" xr6:coauthVersionMax="47" xr10:uidLastSave="{00000000-0000-0000-0000-000000000000}"/>
  <bookViews>
    <workbookView xWindow="-110" yWindow="-110" windowWidth="25820" windowHeight="15500" tabRatio="836" activeTab="6" xr2:uid="{41C8BB32-E0D2-4BFA-ABDD-252497B9F9DC}"/>
  </bookViews>
  <sheets>
    <sheet name="Data sources" sheetId="3" r:id="rId1"/>
    <sheet name="Net Revenue" sheetId="12" r:id="rId2"/>
    <sheet name="Raw Data" sheetId="1" r:id="rId3"/>
    <sheet name="Analysis" sheetId="2" r:id="rId4"/>
    <sheet name="Assumptions" sheetId="4" r:id="rId5"/>
    <sheet name="Beta&amp;MarkPrem" sheetId="11" r:id="rId6"/>
    <sheet name="FCF Forecast" sheetId="5" r:id="rId7"/>
    <sheet name="Net Working Capital" sheetId="9" r:id="rId8"/>
    <sheet name="2024FinalKeyData" sheetId="7" r:id="rId9"/>
    <sheet name="DCF" sheetId="10" r:id="rId10"/>
  </sheets>
  <externalReferences>
    <externalReference r:id="rId11"/>
  </externalReferences>
  <definedNames>
    <definedName name="E6413213">Analysis!$E$64</definedName>
    <definedName name="solver_adj" localSheetId="4" hidden="1">Assumptions!$B$20:$E$20</definedName>
    <definedName name="solver_cvg" localSheetId="4" hidden="1">0.0001</definedName>
    <definedName name="solver_drv" localSheetId="4" hidden="1">1</definedName>
    <definedName name="solver_eng" localSheetId="4" hidden="1">1</definedName>
    <definedName name="solver_est" localSheetId="4" hidden="1">1</definedName>
    <definedName name="solver_itr" localSheetId="4" hidden="1">2147483647</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1</definedName>
    <definedName name="solver_nod" localSheetId="4" hidden="1">2147483647</definedName>
    <definedName name="solver_num" localSheetId="4" hidden="1">0</definedName>
    <definedName name="solver_nwt" localSheetId="4" hidden="1">1</definedName>
    <definedName name="solver_opt" localSheetId="4" hidden="1">Assumptions!$E$20</definedName>
    <definedName name="solver_pre" localSheetId="4" hidden="1">0.000001</definedName>
    <definedName name="solver_rbv" localSheetId="4" hidden="1">1</definedName>
    <definedName name="solver_rlx" localSheetId="4" hidden="1">2</definedName>
    <definedName name="solver_rsd" localSheetId="4" hidden="1">0</definedName>
    <definedName name="solver_scl" localSheetId="4" hidden="1">1</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1</definedName>
    <definedName name="solver_val" localSheetId="4" hidden="1">0</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7" l="1"/>
  <c r="G24" i="5"/>
  <c r="E16" i="5"/>
  <c r="K27" i="5"/>
  <c r="J27" i="5"/>
  <c r="I27" i="5"/>
  <c r="H27" i="5"/>
  <c r="G27" i="5"/>
  <c r="F27" i="5"/>
  <c r="E27" i="5"/>
  <c r="D27" i="5"/>
  <c r="C27" i="5"/>
  <c r="D25" i="5"/>
  <c r="E25" i="5"/>
  <c r="F25" i="5"/>
  <c r="G25" i="5"/>
  <c r="H25" i="5"/>
  <c r="I25" i="5"/>
  <c r="J25" i="5"/>
  <c r="K25" i="5"/>
  <c r="C25" i="5"/>
  <c r="G9" i="12"/>
  <c r="H9" i="12"/>
  <c r="C10" i="12"/>
  <c r="C7" i="12" s="1"/>
  <c r="C11" i="12" s="1"/>
  <c r="E49" i="12"/>
  <c r="D49" i="12"/>
  <c r="C49" i="12"/>
  <c r="C39" i="12" s="1"/>
  <c r="G26" i="12"/>
  <c r="G51" i="12" s="1"/>
  <c r="B51" i="12"/>
  <c r="B49" i="12"/>
  <c r="B39" i="12" s="1"/>
  <c r="C24" i="12"/>
  <c r="D24" i="12"/>
  <c r="E24" i="12"/>
  <c r="B24" i="12"/>
  <c r="G36" i="12"/>
  <c r="E9" i="12"/>
  <c r="E10" i="12" s="1"/>
  <c r="E16" i="12" s="1"/>
  <c r="E13" i="12" s="1"/>
  <c r="F20" i="12"/>
  <c r="I20" i="12" s="1"/>
  <c r="F15" i="12"/>
  <c r="H15" i="12"/>
  <c r="F9" i="12"/>
  <c r="H26" i="12"/>
  <c r="H51" i="12" s="1"/>
  <c r="E32" i="12"/>
  <c r="E34" i="12" s="1"/>
  <c r="D32" i="12"/>
  <c r="D34" i="12" s="1"/>
  <c r="D9" i="12"/>
  <c r="D10" i="12" s="1"/>
  <c r="D16" i="12" s="1"/>
  <c r="D13" i="12" s="1"/>
  <c r="C32" i="12"/>
  <c r="C34" i="12" s="1"/>
  <c r="C27" i="12"/>
  <c r="D27" i="12"/>
  <c r="E27" i="12"/>
  <c r="B16" i="12"/>
  <c r="E14" i="12" l="1"/>
  <c r="D33" i="12"/>
  <c r="E33" i="12"/>
  <c r="E39" i="12"/>
  <c r="E43" i="12" s="1"/>
  <c r="E42" i="12" s="1"/>
  <c r="G20" i="12"/>
  <c r="H20" i="12" s="1"/>
  <c r="D39" i="12"/>
  <c r="D43" i="12" s="1"/>
  <c r="D42" i="12" s="1"/>
  <c r="D61" i="12" s="1"/>
  <c r="B38" i="12"/>
  <c r="B40" i="12" s="1"/>
  <c r="B43" i="12"/>
  <c r="B42" i="12" s="1"/>
  <c r="C43" i="12"/>
  <c r="C42" i="12" s="1"/>
  <c r="C38" i="12"/>
  <c r="C40" i="12" s="1"/>
  <c r="E38" i="12"/>
  <c r="E46" i="12" s="1"/>
  <c r="E47" i="12" s="1"/>
  <c r="D38" i="12"/>
  <c r="D46" i="12" s="1"/>
  <c r="D54" i="12" s="1"/>
  <c r="D47" i="12"/>
  <c r="E44" i="12"/>
  <c r="D44" i="12"/>
  <c r="C44" i="12"/>
  <c r="D56" i="12"/>
  <c r="D63" i="12" s="1"/>
  <c r="C56" i="12"/>
  <c r="C63" i="12" s="1"/>
  <c r="I9" i="12"/>
  <c r="E56" i="12"/>
  <c r="G52" i="12"/>
  <c r="C16" i="12"/>
  <c r="C13" i="12" s="1"/>
  <c r="E7" i="12"/>
  <c r="D7" i="12"/>
  <c r="E17" i="12"/>
  <c r="D17" i="12"/>
  <c r="B13" i="12"/>
  <c r="B17" i="12" s="1"/>
  <c r="B7" i="12"/>
  <c r="G6" i="12"/>
  <c r="B32" i="12"/>
  <c r="C33" i="12" s="1"/>
  <c r="B27" i="12"/>
  <c r="B11" i="12" l="1"/>
  <c r="C8" i="12"/>
  <c r="D11" i="12"/>
  <c r="D8" i="12"/>
  <c r="E11" i="12"/>
  <c r="E8" i="12"/>
  <c r="C19" i="12"/>
  <c r="C29" i="12" s="1"/>
  <c r="D14" i="12"/>
  <c r="C14" i="12"/>
  <c r="C46" i="12"/>
  <c r="C47" i="12" s="1"/>
  <c r="B46" i="12"/>
  <c r="B47" i="12" s="1"/>
  <c r="C60" i="12"/>
  <c r="B44" i="12"/>
  <c r="I44" i="12" s="1"/>
  <c r="D40" i="12"/>
  <c r="E40" i="12"/>
  <c r="I40" i="12" s="1"/>
  <c r="B60" i="12"/>
  <c r="B61" i="12"/>
  <c r="C61" i="12"/>
  <c r="E61" i="12"/>
  <c r="E54" i="12"/>
  <c r="E60" i="12"/>
  <c r="B54" i="12"/>
  <c r="D60" i="12"/>
  <c r="B34" i="12"/>
  <c r="B56" i="12"/>
  <c r="E63" i="12"/>
  <c r="C17" i="12"/>
  <c r="G27" i="12"/>
  <c r="E19" i="12"/>
  <c r="E29" i="12" s="1"/>
  <c r="D19" i="12"/>
  <c r="D29" i="12" s="1"/>
  <c r="B19" i="12"/>
  <c r="D62" i="12" l="1"/>
  <c r="D30" i="12"/>
  <c r="E30" i="12"/>
  <c r="C21" i="12"/>
  <c r="C54" i="12"/>
  <c r="C62" i="12" s="1"/>
  <c r="E62" i="12"/>
  <c r="G32" i="12"/>
  <c r="G34" i="12" s="1"/>
  <c r="B63" i="12"/>
  <c r="B21" i="12"/>
  <c r="B29" i="12"/>
  <c r="B62" i="12" s="1"/>
  <c r="E21" i="12"/>
  <c r="D21" i="12"/>
  <c r="C15" i="4"/>
  <c r="B16" i="1"/>
  <c r="B33" i="10"/>
  <c r="D57" i="7"/>
  <c r="C46" i="4"/>
  <c r="D46" i="4"/>
  <c r="E46" i="4"/>
  <c r="B46" i="4"/>
  <c r="N8" i="11"/>
  <c r="N9" i="11"/>
  <c r="N10" i="11"/>
  <c r="N11" i="11"/>
  <c r="N13" i="11"/>
  <c r="N12" i="11"/>
  <c r="N14" i="11"/>
  <c r="N16" i="11"/>
  <c r="N15" i="11"/>
  <c r="C30" i="12" l="1"/>
  <c r="G23" i="12"/>
  <c r="G10" i="12" s="1"/>
  <c r="G7" i="12" s="1"/>
  <c r="G11" i="12" s="1"/>
  <c r="J46" i="4"/>
  <c r="K46" i="4" s="1"/>
  <c r="N26" i="11"/>
  <c r="G16" i="10"/>
  <c r="G15" i="10" s="1"/>
  <c r="G18" i="10"/>
  <c r="G19" i="10" s="1"/>
  <c r="I14" i="10"/>
  <c r="H14" i="10" s="1"/>
  <c r="K14" i="10"/>
  <c r="L14" i="10" s="1"/>
  <c r="M36" i="7"/>
  <c r="K36" i="7"/>
  <c r="I36" i="7"/>
  <c r="G36" i="7"/>
  <c r="E36" i="7"/>
  <c r="C59" i="7" s="1"/>
  <c r="C21" i="10"/>
  <c r="N17" i="11"/>
  <c r="N18" i="11"/>
  <c r="N19" i="11"/>
  <c r="N20" i="11"/>
  <c r="N21" i="11"/>
  <c r="N22" i="11"/>
  <c r="N23" i="11"/>
  <c r="N24" i="11"/>
  <c r="N25" i="11"/>
  <c r="B21" i="10"/>
  <c r="B19" i="10"/>
  <c r="G6" i="11"/>
  <c r="B63" i="4" s="1"/>
  <c r="D49" i="7"/>
  <c r="D48" i="7"/>
  <c r="M14" i="7"/>
  <c r="M13" i="7"/>
  <c r="K14" i="7"/>
  <c r="K13" i="7"/>
  <c r="I14" i="7"/>
  <c r="I13" i="7"/>
  <c r="G14" i="7"/>
  <c r="G13" i="7"/>
  <c r="E14" i="7"/>
  <c r="E13" i="7"/>
  <c r="C14" i="7"/>
  <c r="C13" i="7"/>
  <c r="C16" i="4"/>
  <c r="D16" i="4"/>
  <c r="E16" i="4"/>
  <c r="B16" i="4"/>
  <c r="D15" i="4"/>
  <c r="E15" i="4"/>
  <c r="B15" i="4"/>
  <c r="B66" i="4"/>
  <c r="G24" i="12" l="1"/>
  <c r="G16" i="12"/>
  <c r="G13" i="12" s="1"/>
  <c r="B64" i="4"/>
  <c r="B61" i="4" s="1"/>
  <c r="C49" i="7"/>
  <c r="E49" i="7" s="1"/>
  <c r="F15" i="5" s="1"/>
  <c r="C48" i="7"/>
  <c r="E48" i="7" s="1"/>
  <c r="F14" i="5" s="1"/>
  <c r="G17" i="12" l="1"/>
  <c r="G19" i="12"/>
  <c r="D52" i="7"/>
  <c r="C42" i="4"/>
  <c r="D42" i="4"/>
  <c r="E42" i="4"/>
  <c r="B42" i="4"/>
  <c r="B38" i="4"/>
  <c r="C38" i="4"/>
  <c r="D38" i="4"/>
  <c r="E38" i="4"/>
  <c r="C37" i="4"/>
  <c r="D37" i="4"/>
  <c r="E37" i="4"/>
  <c r="B37" i="4"/>
  <c r="B36" i="4"/>
  <c r="C36" i="4"/>
  <c r="D36" i="4"/>
  <c r="E36" i="4"/>
  <c r="C35" i="4"/>
  <c r="D35" i="4"/>
  <c r="E35" i="4"/>
  <c r="B35" i="4"/>
  <c r="C34" i="4"/>
  <c r="D34" i="4"/>
  <c r="E34" i="4"/>
  <c r="B34" i="4"/>
  <c r="M34" i="7"/>
  <c r="M33" i="7"/>
  <c r="M31" i="7"/>
  <c r="M30" i="7"/>
  <c r="K34" i="7"/>
  <c r="K33" i="7"/>
  <c r="K32" i="7"/>
  <c r="K31" i="7"/>
  <c r="K30" i="7"/>
  <c r="K29" i="7"/>
  <c r="I34" i="7"/>
  <c r="I33" i="7"/>
  <c r="I32" i="7"/>
  <c r="I31" i="7"/>
  <c r="I30" i="7"/>
  <c r="I29" i="7"/>
  <c r="G34" i="7"/>
  <c r="G33" i="7"/>
  <c r="G30" i="7"/>
  <c r="G31" i="7"/>
  <c r="G32" i="7"/>
  <c r="G29" i="7"/>
  <c r="E32" i="7"/>
  <c r="E30" i="7"/>
  <c r="E31" i="7"/>
  <c r="E34" i="7"/>
  <c r="E33" i="7"/>
  <c r="E29" i="7"/>
  <c r="C32" i="7"/>
  <c r="C30" i="7"/>
  <c r="C31" i="7"/>
  <c r="C34" i="7"/>
  <c r="C33" i="7"/>
  <c r="C29" i="7"/>
  <c r="L35" i="7"/>
  <c r="L29" i="7"/>
  <c r="M29" i="7" s="1"/>
  <c r="J35" i="7"/>
  <c r="H35" i="7"/>
  <c r="F35" i="7"/>
  <c r="D35" i="7"/>
  <c r="E35" i="7" s="1"/>
  <c r="B35" i="7"/>
  <c r="C35" i="7" s="1"/>
  <c r="L27" i="7"/>
  <c r="M27" i="7" s="1"/>
  <c r="J27" i="7"/>
  <c r="K27" i="7" s="1"/>
  <c r="H27" i="7"/>
  <c r="I27" i="7" s="1"/>
  <c r="F27" i="7"/>
  <c r="G27" i="7" s="1"/>
  <c r="D27" i="7"/>
  <c r="E27" i="7" s="1"/>
  <c r="B27" i="7"/>
  <c r="C27" i="7" s="1"/>
  <c r="M24" i="7"/>
  <c r="J24" i="7"/>
  <c r="K24" i="7" s="1"/>
  <c r="H24" i="7"/>
  <c r="I24" i="7" s="1"/>
  <c r="G24" i="7"/>
  <c r="C60" i="7" s="1"/>
  <c r="E60" i="7" s="1"/>
  <c r="C19" i="10" s="1"/>
  <c r="E24" i="7"/>
  <c r="B24" i="7"/>
  <c r="C24" i="7" s="1"/>
  <c r="C33" i="4"/>
  <c r="D33" i="4"/>
  <c r="E33" i="4"/>
  <c r="B33" i="4"/>
  <c r="C30" i="4"/>
  <c r="D30" i="4"/>
  <c r="E30" i="4"/>
  <c r="B30" i="4"/>
  <c r="B28" i="4"/>
  <c r="M26" i="7"/>
  <c r="M25" i="7"/>
  <c r="L28" i="7"/>
  <c r="M28" i="7" s="1"/>
  <c r="K28" i="7"/>
  <c r="K26" i="7"/>
  <c r="K25" i="7"/>
  <c r="I28" i="7"/>
  <c r="I26" i="7"/>
  <c r="I25" i="7"/>
  <c r="G28" i="7"/>
  <c r="G25" i="7"/>
  <c r="F26" i="7"/>
  <c r="G26" i="7" s="1"/>
  <c r="E28" i="7"/>
  <c r="E26" i="7"/>
  <c r="E25" i="7"/>
  <c r="C28" i="7"/>
  <c r="C25" i="7"/>
  <c r="B26" i="7"/>
  <c r="C26" i="7" s="1"/>
  <c r="B32" i="4"/>
  <c r="B29" i="4"/>
  <c r="D54" i="7"/>
  <c r="F20" i="4"/>
  <c r="G29" i="12" l="1"/>
  <c r="G21" i="12"/>
  <c r="F34" i="4"/>
  <c r="G34" i="4" s="1"/>
  <c r="F35" i="4"/>
  <c r="G35" i="4" s="1"/>
  <c r="F37" i="4"/>
  <c r="F38" i="4"/>
  <c r="F30" i="4"/>
  <c r="G30" i="4" s="1"/>
  <c r="F36" i="4"/>
  <c r="G36" i="4" s="1"/>
  <c r="F33" i="4"/>
  <c r="G33" i="4" s="1"/>
  <c r="H34" i="4" l="1"/>
  <c r="I34" i="4" s="1"/>
  <c r="J34" i="4" s="1"/>
  <c r="K34" i="4" s="1"/>
  <c r="H35" i="4"/>
  <c r="H36" i="4"/>
  <c r="D20" i="4"/>
  <c r="E20" i="4"/>
  <c r="C20" i="4"/>
  <c r="B20" i="4"/>
  <c r="C11" i="4"/>
  <c r="D11" i="4"/>
  <c r="E11" i="4"/>
  <c r="C12" i="4"/>
  <c r="D12" i="4"/>
  <c r="E12" i="4"/>
  <c r="C13" i="4"/>
  <c r="D13" i="4"/>
  <c r="E13" i="4"/>
  <c r="C14" i="4"/>
  <c r="D14" i="4"/>
  <c r="E14" i="4"/>
  <c r="B12" i="4"/>
  <c r="B13" i="4"/>
  <c r="B14" i="4"/>
  <c r="B11" i="4"/>
  <c r="C10" i="4"/>
  <c r="D10" i="4"/>
  <c r="E10" i="4"/>
  <c r="B10" i="4"/>
  <c r="D9" i="4"/>
  <c r="E9" i="4"/>
  <c r="C9" i="4"/>
  <c r="B9" i="4"/>
  <c r="C8" i="4"/>
  <c r="D8" i="4"/>
  <c r="E8" i="4"/>
  <c r="B8" i="4"/>
  <c r="L20" i="7"/>
  <c r="J20" i="7"/>
  <c r="H20" i="7"/>
  <c r="F20" i="7"/>
  <c r="D20" i="7"/>
  <c r="E20" i="7" s="1"/>
  <c r="B20" i="7"/>
  <c r="C20" i="7" s="1"/>
  <c r="D55" i="7"/>
  <c r="D47" i="7"/>
  <c r="D46" i="7"/>
  <c r="D45" i="7"/>
  <c r="D44" i="7"/>
  <c r="D42" i="7"/>
  <c r="M7" i="7"/>
  <c r="M10" i="7"/>
  <c r="M11" i="7"/>
  <c r="M12" i="7"/>
  <c r="M18" i="7"/>
  <c r="M19" i="7"/>
  <c r="M6" i="7"/>
  <c r="K7" i="7"/>
  <c r="K10" i="7"/>
  <c r="K11" i="7"/>
  <c r="K12" i="7"/>
  <c r="K18" i="7"/>
  <c r="K19" i="7"/>
  <c r="K6" i="7"/>
  <c r="I7" i="7"/>
  <c r="I10" i="7"/>
  <c r="I11" i="7"/>
  <c r="I12" i="7"/>
  <c r="I18" i="7"/>
  <c r="I19" i="7"/>
  <c r="I6" i="7"/>
  <c r="G18" i="7"/>
  <c r="G19" i="7"/>
  <c r="G12" i="7"/>
  <c r="G11" i="7"/>
  <c r="G10" i="7"/>
  <c r="G7" i="7"/>
  <c r="G6" i="7"/>
  <c r="E19" i="7"/>
  <c r="E18" i="7"/>
  <c r="D16" i="7"/>
  <c r="E16" i="7" s="1"/>
  <c r="E12" i="7"/>
  <c r="E11" i="7"/>
  <c r="E10" i="7"/>
  <c r="E7" i="7"/>
  <c r="E6" i="7"/>
  <c r="C19" i="7"/>
  <c r="C18" i="7"/>
  <c r="C12" i="7"/>
  <c r="C11" i="7"/>
  <c r="C10" i="7"/>
  <c r="C7" i="7"/>
  <c r="C6" i="7"/>
  <c r="L16" i="7"/>
  <c r="M16" i="7" s="1"/>
  <c r="L9" i="7"/>
  <c r="L15" i="7" s="1"/>
  <c r="J16" i="7"/>
  <c r="K16" i="7" s="1"/>
  <c r="J9" i="7"/>
  <c r="K9" i="7" s="1"/>
  <c r="H16" i="7"/>
  <c r="I16" i="7" s="1"/>
  <c r="H9" i="7"/>
  <c r="I9" i="7" s="1"/>
  <c r="F16" i="7"/>
  <c r="G16" i="7" s="1"/>
  <c r="F9" i="7"/>
  <c r="G9" i="7" s="1"/>
  <c r="D21" i="7"/>
  <c r="E21" i="7" s="1"/>
  <c r="D9" i="7"/>
  <c r="E9" i="7" s="1"/>
  <c r="B21" i="7"/>
  <c r="C21" i="7" s="1"/>
  <c r="B16" i="7"/>
  <c r="C16" i="7" s="1"/>
  <c r="B9" i="7"/>
  <c r="C9" i="7" s="1"/>
  <c r="D8" i="7"/>
  <c r="E8" i="7" s="1"/>
  <c r="F8" i="7"/>
  <c r="H8" i="7"/>
  <c r="J8" i="7"/>
  <c r="L8" i="7"/>
  <c r="B8" i="7"/>
  <c r="B6" i="3"/>
  <c r="B7" i="3" s="1"/>
  <c r="B8" i="3" s="1"/>
  <c r="B9" i="3" s="1"/>
  <c r="B10" i="3" s="1"/>
  <c r="C22" i="5"/>
  <c r="I21" i="7" s="1"/>
  <c r="D22" i="5"/>
  <c r="K21" i="7" s="1"/>
  <c r="E22" i="5"/>
  <c r="M21" i="7" s="1"/>
  <c r="B22" i="5"/>
  <c r="G21" i="7" s="1"/>
  <c r="M9" i="7" l="1"/>
  <c r="C44" i="7" s="1"/>
  <c r="E44" i="7" s="1"/>
  <c r="F9" i="5" s="1"/>
  <c r="I35" i="4"/>
  <c r="J35" i="4" s="1"/>
  <c r="I36" i="4"/>
  <c r="B23" i="4"/>
  <c r="B24" i="4"/>
  <c r="B25" i="4"/>
  <c r="C24" i="4"/>
  <c r="C25" i="4"/>
  <c r="E24" i="4"/>
  <c r="E25" i="4"/>
  <c r="D24" i="4"/>
  <c r="D25" i="4"/>
  <c r="C45" i="7"/>
  <c r="E45" i="7" s="1"/>
  <c r="F11" i="5" s="1"/>
  <c r="C46" i="7"/>
  <c r="E46" i="7" s="1"/>
  <c r="F12" i="5" s="1"/>
  <c r="C41" i="7"/>
  <c r="C54" i="7"/>
  <c r="E54" i="7" s="1"/>
  <c r="F19" i="5" s="1"/>
  <c r="F24" i="4" s="1"/>
  <c r="C55" i="7"/>
  <c r="E55" i="7" s="1"/>
  <c r="F20" i="5" s="1"/>
  <c r="C42" i="7"/>
  <c r="E42" i="7" s="1"/>
  <c r="F7" i="5" s="1"/>
  <c r="C47" i="7"/>
  <c r="E47" i="7" s="1"/>
  <c r="F13" i="5" s="1"/>
  <c r="B15" i="7"/>
  <c r="C15" i="7" s="1"/>
  <c r="C52" i="7"/>
  <c r="E52" i="7" s="1"/>
  <c r="F17" i="5" s="1"/>
  <c r="C57" i="7"/>
  <c r="E57" i="7" s="1"/>
  <c r="F22" i="5" s="1"/>
  <c r="F25" i="4" s="1"/>
  <c r="H15" i="7"/>
  <c r="C8" i="7"/>
  <c r="J15" i="7"/>
  <c r="F15" i="7"/>
  <c r="D15" i="7"/>
  <c r="J36" i="4" l="1"/>
  <c r="K35" i="4"/>
  <c r="G24" i="4"/>
  <c r="H17" i="7"/>
  <c r="G25" i="4"/>
  <c r="B17" i="7"/>
  <c r="B22" i="7" s="1"/>
  <c r="C22" i="7" s="1"/>
  <c r="F17" i="7"/>
  <c r="J17" i="7"/>
  <c r="L17" i="7"/>
  <c r="D17" i="7"/>
  <c r="E15" i="7"/>
  <c r="E8" i="5"/>
  <c r="E10" i="5" s="1"/>
  <c r="D8" i="5"/>
  <c r="C8" i="5"/>
  <c r="C10" i="5" s="1"/>
  <c r="B8" i="5"/>
  <c r="B10" i="5" l="1"/>
  <c r="C16" i="5"/>
  <c r="C18" i="5"/>
  <c r="D10" i="5"/>
  <c r="D18" i="5" s="1"/>
  <c r="E18" i="5"/>
  <c r="M17" i="7" s="1"/>
  <c r="K36" i="4"/>
  <c r="I8" i="7"/>
  <c r="M8" i="7"/>
  <c r="H25" i="4"/>
  <c r="K8" i="7"/>
  <c r="H24" i="4"/>
  <c r="H22" i="7"/>
  <c r="C17" i="7"/>
  <c r="D22" i="7"/>
  <c r="E22" i="7" s="1"/>
  <c r="E17" i="7"/>
  <c r="L22" i="7"/>
  <c r="J22" i="7"/>
  <c r="F22" i="7"/>
  <c r="E17" i="4" l="1"/>
  <c r="B68" i="4" s="1"/>
  <c r="B67" i="4" s="1"/>
  <c r="E24" i="5"/>
  <c r="D16" i="5"/>
  <c r="C17" i="4"/>
  <c r="C24" i="5"/>
  <c r="B18" i="5"/>
  <c r="G17" i="7" s="1"/>
  <c r="B16" i="5"/>
  <c r="G15" i="7"/>
  <c r="I25" i="4"/>
  <c r="J25" i="4" s="1"/>
  <c r="K15" i="7"/>
  <c r="K17" i="7"/>
  <c r="M15" i="7"/>
  <c r="I15" i="7"/>
  <c r="I17" i="7"/>
  <c r="I24" i="4"/>
  <c r="B65" i="2"/>
  <c r="C65" i="2"/>
  <c r="D65" i="2"/>
  <c r="E65" i="2"/>
  <c r="B66" i="2"/>
  <c r="C66" i="2"/>
  <c r="D66" i="2"/>
  <c r="B67" i="2"/>
  <c r="C67" i="2"/>
  <c r="D67" i="2"/>
  <c r="E67" i="2"/>
  <c r="B69" i="2"/>
  <c r="C69" i="2"/>
  <c r="D69" i="2"/>
  <c r="E69" i="2"/>
  <c r="B70" i="2"/>
  <c r="C70" i="2"/>
  <c r="D70" i="2"/>
  <c r="E70" i="2"/>
  <c r="B72" i="2"/>
  <c r="C72" i="2"/>
  <c r="D72" i="2"/>
  <c r="E72" i="2"/>
  <c r="B73" i="2"/>
  <c r="C73" i="2"/>
  <c r="D73" i="2"/>
  <c r="E73" i="2"/>
  <c r="B74" i="2"/>
  <c r="C74" i="2"/>
  <c r="D74" i="2"/>
  <c r="E74" i="2"/>
  <c r="B75" i="2"/>
  <c r="C75" i="2"/>
  <c r="D75" i="2"/>
  <c r="E75" i="2"/>
  <c r="B76" i="2"/>
  <c r="C76" i="2"/>
  <c r="D76" i="2"/>
  <c r="E76" i="2"/>
  <c r="B77" i="2"/>
  <c r="C77" i="2"/>
  <c r="D77" i="2"/>
  <c r="E77" i="2"/>
  <c r="B79" i="2"/>
  <c r="C79" i="2"/>
  <c r="D79" i="2"/>
  <c r="E79" i="2"/>
  <c r="B80" i="2"/>
  <c r="C80" i="2"/>
  <c r="D80" i="2"/>
  <c r="E80" i="2"/>
  <c r="B82" i="2"/>
  <c r="C82" i="2"/>
  <c r="D82" i="2"/>
  <c r="E82" i="2"/>
  <c r="B84" i="2"/>
  <c r="C84" i="2"/>
  <c r="D84" i="2"/>
  <c r="E84" i="2"/>
  <c r="C64" i="2"/>
  <c r="D64" i="2"/>
  <c r="E64" i="2"/>
  <c r="B64" i="2"/>
  <c r="B95" i="2"/>
  <c r="C95" i="2"/>
  <c r="D95" i="2"/>
  <c r="E95" i="2"/>
  <c r="B96" i="2"/>
  <c r="C96" i="2"/>
  <c r="D96" i="2"/>
  <c r="B97" i="2"/>
  <c r="C97" i="2"/>
  <c r="D97" i="2"/>
  <c r="E97" i="2"/>
  <c r="B99" i="2"/>
  <c r="C99" i="2"/>
  <c r="D99" i="2"/>
  <c r="E99" i="2"/>
  <c r="B100" i="2"/>
  <c r="C100" i="2"/>
  <c r="D100" i="2"/>
  <c r="E100" i="2"/>
  <c r="B102" i="2"/>
  <c r="C102" i="2"/>
  <c r="D102" i="2"/>
  <c r="E102" i="2"/>
  <c r="B103" i="2"/>
  <c r="C103" i="2"/>
  <c r="D103" i="2"/>
  <c r="E103" i="2"/>
  <c r="B104" i="2"/>
  <c r="C104" i="2"/>
  <c r="D104" i="2"/>
  <c r="E104" i="2"/>
  <c r="B105" i="2"/>
  <c r="C105" i="2"/>
  <c r="D105" i="2"/>
  <c r="E105" i="2"/>
  <c r="B106" i="2"/>
  <c r="C106" i="2"/>
  <c r="D106" i="2"/>
  <c r="E106" i="2"/>
  <c r="B107" i="2"/>
  <c r="C107" i="2"/>
  <c r="D107" i="2"/>
  <c r="E107" i="2"/>
  <c r="B109" i="2"/>
  <c r="C109" i="2"/>
  <c r="D109" i="2"/>
  <c r="E109" i="2"/>
  <c r="B110" i="2"/>
  <c r="C110" i="2"/>
  <c r="D110" i="2"/>
  <c r="E110" i="2"/>
  <c r="B112" i="2"/>
  <c r="C112" i="2"/>
  <c r="D112" i="2"/>
  <c r="E112" i="2"/>
  <c r="B114" i="2"/>
  <c r="C114" i="2"/>
  <c r="D114" i="2"/>
  <c r="E114" i="2"/>
  <c r="C94" i="2"/>
  <c r="D94" i="2"/>
  <c r="E94" i="2"/>
  <c r="B94" i="2"/>
  <c r="C124" i="2"/>
  <c r="D124" i="2"/>
  <c r="E124" i="2"/>
  <c r="C125" i="2"/>
  <c r="D125" i="2"/>
  <c r="E125" i="2"/>
  <c r="C126" i="2"/>
  <c r="D126" i="2"/>
  <c r="E126" i="2"/>
  <c r="C127" i="2"/>
  <c r="D127" i="2"/>
  <c r="E127" i="2"/>
  <c r="C133" i="2"/>
  <c r="D133" i="2"/>
  <c r="E133" i="2"/>
  <c r="C134" i="2"/>
  <c r="D134" i="2"/>
  <c r="E134" i="2"/>
  <c r="C135" i="2"/>
  <c r="D135" i="2"/>
  <c r="E135" i="2"/>
  <c r="C136" i="2"/>
  <c r="D136" i="2"/>
  <c r="E136" i="2"/>
  <c r="C137" i="2"/>
  <c r="D137" i="2"/>
  <c r="E137" i="2"/>
  <c r="C138" i="2"/>
  <c r="D138" i="2"/>
  <c r="E138" i="2"/>
  <c r="C139" i="2"/>
  <c r="D139" i="2"/>
  <c r="E139" i="2"/>
  <c r="C141" i="2"/>
  <c r="D141" i="2"/>
  <c r="E141" i="2"/>
  <c r="C146" i="2"/>
  <c r="D146" i="2"/>
  <c r="E146" i="2"/>
  <c r="C147" i="2"/>
  <c r="D147" i="2"/>
  <c r="E147" i="2"/>
  <c r="C148" i="2"/>
  <c r="D148" i="2"/>
  <c r="E148" i="2"/>
  <c r="C149" i="2"/>
  <c r="D149" i="2"/>
  <c r="E149" i="2"/>
  <c r="C150" i="2"/>
  <c r="D150" i="2"/>
  <c r="E150" i="2"/>
  <c r="C151" i="2"/>
  <c r="D151" i="2"/>
  <c r="E151" i="2"/>
  <c r="C153" i="2"/>
  <c r="D153" i="2"/>
  <c r="E153" i="2"/>
  <c r="C154" i="2"/>
  <c r="D154" i="2"/>
  <c r="E154" i="2"/>
  <c r="C157" i="2"/>
  <c r="D157" i="2"/>
  <c r="E157" i="2"/>
  <c r="C158" i="2"/>
  <c r="D158" i="2"/>
  <c r="E158" i="2"/>
  <c r="C161" i="2"/>
  <c r="D161" i="2"/>
  <c r="E161" i="2"/>
  <c r="C162" i="2"/>
  <c r="D162" i="2"/>
  <c r="E162" i="2"/>
  <c r="C163" i="2"/>
  <c r="D163" i="2"/>
  <c r="E163" i="2"/>
  <c r="C166" i="2"/>
  <c r="D166" i="2"/>
  <c r="E166" i="2"/>
  <c r="C167" i="2"/>
  <c r="D167" i="2"/>
  <c r="E167" i="2"/>
  <c r="C169" i="2"/>
  <c r="D169" i="2"/>
  <c r="E169" i="2"/>
  <c r="C170" i="2"/>
  <c r="D170" i="2"/>
  <c r="E170" i="2"/>
  <c r="C172" i="2"/>
  <c r="D172" i="2"/>
  <c r="E172" i="2"/>
  <c r="C174" i="2"/>
  <c r="D174" i="2"/>
  <c r="E174" i="2"/>
  <c r="D123" i="2"/>
  <c r="E123" i="2"/>
  <c r="C123" i="2"/>
  <c r="C60" i="2"/>
  <c r="C51" i="2"/>
  <c r="D51" i="2"/>
  <c r="B51" i="2"/>
  <c r="C50" i="2"/>
  <c r="D50" i="2"/>
  <c r="B50" i="2"/>
  <c r="C47" i="2"/>
  <c r="D47" i="2"/>
  <c r="E47" i="2"/>
  <c r="B47" i="2"/>
  <c r="C45" i="2"/>
  <c r="D45" i="2"/>
  <c r="E45" i="2"/>
  <c r="B45" i="2"/>
  <c r="E42" i="2"/>
  <c r="D42" i="2"/>
  <c r="C42" i="2"/>
  <c r="C43" i="2"/>
  <c r="D43" i="2"/>
  <c r="B43" i="2"/>
  <c r="B44" i="2" s="1"/>
  <c r="C28" i="4" s="1"/>
  <c r="B42" i="2"/>
  <c r="C34" i="2"/>
  <c r="D34" i="2"/>
  <c r="E34" i="2"/>
  <c r="B34" i="2"/>
  <c r="C24" i="2"/>
  <c r="D24" i="2"/>
  <c r="B24" i="2"/>
  <c r="C5" i="2"/>
  <c r="D5" i="2"/>
  <c r="E5" i="2"/>
  <c r="B5" i="2"/>
  <c r="F67" i="1"/>
  <c r="F39" i="1"/>
  <c r="F40" i="1" s="1"/>
  <c r="F26" i="1"/>
  <c r="F119" i="1"/>
  <c r="F114" i="1"/>
  <c r="F105" i="1"/>
  <c r="F58" i="1"/>
  <c r="F60" i="1" s="1"/>
  <c r="E16" i="1"/>
  <c r="F16" i="1"/>
  <c r="E114" i="1"/>
  <c r="E105" i="1"/>
  <c r="E69" i="1"/>
  <c r="E72" i="1" s="1"/>
  <c r="E79" i="1" s="1"/>
  <c r="E82" i="1" s="1"/>
  <c r="B123" i="1"/>
  <c r="B104" i="1"/>
  <c r="B105" i="1"/>
  <c r="B39" i="1"/>
  <c r="B26" i="1"/>
  <c r="B27" i="1" s="1"/>
  <c r="C21" i="4" s="1"/>
  <c r="C104" i="1"/>
  <c r="C105" i="1" s="1"/>
  <c r="C39" i="1"/>
  <c r="C26" i="1"/>
  <c r="B69" i="1"/>
  <c r="C69" i="1"/>
  <c r="C72" i="1" s="1"/>
  <c r="C79" i="1" s="1"/>
  <c r="B60" i="2" s="1"/>
  <c r="D69" i="1"/>
  <c r="D72" i="1" s="1"/>
  <c r="D79" i="1" s="1"/>
  <c r="B58" i="1"/>
  <c r="B60" i="1" s="1"/>
  <c r="B87" i="1" s="1"/>
  <c r="C58" i="1"/>
  <c r="C60" i="1" s="1"/>
  <c r="D58" i="1"/>
  <c r="D60" i="1" s="1"/>
  <c r="D175" i="2" s="1"/>
  <c r="E58" i="1"/>
  <c r="E60" i="1" s="1"/>
  <c r="D39" i="1"/>
  <c r="D26" i="1"/>
  <c r="D142" i="2" s="1"/>
  <c r="C16" i="1"/>
  <c r="D16" i="1"/>
  <c r="E119" i="1"/>
  <c r="B114" i="1"/>
  <c r="D105" i="1"/>
  <c r="C114" i="1"/>
  <c r="D114" i="1"/>
  <c r="E39" i="1"/>
  <c r="E26" i="1"/>
  <c r="B24" i="5" l="1"/>
  <c r="B17" i="4"/>
  <c r="D17" i="4"/>
  <c r="D24" i="5"/>
  <c r="D26" i="5" s="1"/>
  <c r="F49" i="1"/>
  <c r="D59" i="7" s="1"/>
  <c r="E59" i="7" s="1"/>
  <c r="F41" i="1"/>
  <c r="E96" i="2"/>
  <c r="F8" i="4"/>
  <c r="G8" i="4" s="1"/>
  <c r="H8" i="4" s="1"/>
  <c r="I8" i="4" s="1"/>
  <c r="J8" i="4" s="1"/>
  <c r="K8" i="4" s="1"/>
  <c r="D40" i="1"/>
  <c r="D39" i="4"/>
  <c r="K35" i="7"/>
  <c r="E175" i="2"/>
  <c r="B55" i="4"/>
  <c r="B19" i="2"/>
  <c r="C108" i="2"/>
  <c r="B36" i="12" a="1"/>
  <c r="B71" i="2"/>
  <c r="E40" i="1"/>
  <c r="D39" i="2" s="1"/>
  <c r="E39" i="4"/>
  <c r="M35" i="7"/>
  <c r="C40" i="1"/>
  <c r="C39" i="2" s="1"/>
  <c r="C39" i="4"/>
  <c r="I35" i="7"/>
  <c r="C22" i="4"/>
  <c r="C23" i="4"/>
  <c r="B49" i="1"/>
  <c r="B61" i="1" s="1"/>
  <c r="B39" i="4"/>
  <c r="G35" i="7"/>
  <c r="B40" i="1"/>
  <c r="B41" i="1" s="1"/>
  <c r="B21" i="5" s="1"/>
  <c r="C98" i="2"/>
  <c r="B98" i="2"/>
  <c r="C71" i="2"/>
  <c r="E27" i="1"/>
  <c r="F21" i="4" s="1"/>
  <c r="K25" i="4"/>
  <c r="J24" i="4"/>
  <c r="C78" i="2"/>
  <c r="B72" i="1"/>
  <c r="B79" i="1" s="1"/>
  <c r="B88" i="1" s="1"/>
  <c r="G8" i="7"/>
  <c r="B78" i="2"/>
  <c r="C142" i="2"/>
  <c r="B23" i="5"/>
  <c r="G20" i="7"/>
  <c r="F69" i="1"/>
  <c r="D41" i="7"/>
  <c r="E37" i="2"/>
  <c r="C37" i="2"/>
  <c r="E38" i="2"/>
  <c r="E57" i="2"/>
  <c r="F87" i="1"/>
  <c r="E56" i="2"/>
  <c r="D58" i="2"/>
  <c r="E87" i="1"/>
  <c r="C175" i="2"/>
  <c r="C58" i="2"/>
  <c r="D87" i="1"/>
  <c r="B58" i="2"/>
  <c r="C87" i="1"/>
  <c r="D27" i="1"/>
  <c r="C68" i="2"/>
  <c r="B68" i="2"/>
  <c r="B20" i="2"/>
  <c r="D132" i="2"/>
  <c r="C20" i="2"/>
  <c r="E155" i="2"/>
  <c r="D155" i="2"/>
  <c r="C155" i="2"/>
  <c r="E50" i="2"/>
  <c r="C19" i="2"/>
  <c r="E142" i="2"/>
  <c r="C132" i="2"/>
  <c r="E132" i="2"/>
  <c r="E51" i="2"/>
  <c r="E52" i="2" s="1"/>
  <c r="D20" i="2"/>
  <c r="D71" i="2"/>
  <c r="D101" i="2"/>
  <c r="D19" i="2"/>
  <c r="E43" i="2"/>
  <c r="E44" i="2" s="1"/>
  <c r="E173" i="2"/>
  <c r="E24" i="2"/>
  <c r="D173" i="2"/>
  <c r="C57" i="2"/>
  <c r="B57" i="2"/>
  <c r="E66" i="2"/>
  <c r="E58" i="2"/>
  <c r="D98" i="2"/>
  <c r="D38" i="2"/>
  <c r="E39" i="2"/>
  <c r="D68" i="2"/>
  <c r="D57" i="2"/>
  <c r="C173" i="2"/>
  <c r="C101" i="2"/>
  <c r="B101" i="2"/>
  <c r="E48" i="2"/>
  <c r="B52" i="2"/>
  <c r="D52" i="2"/>
  <c r="C52" i="2"/>
  <c r="C44" i="2"/>
  <c r="D28" i="4" s="1"/>
  <c r="B46" i="2"/>
  <c r="C29" i="4" s="1"/>
  <c r="E46" i="2"/>
  <c r="D46" i="2"/>
  <c r="E29" i="4" s="1"/>
  <c r="C46" i="2"/>
  <c r="D29" i="4" s="1"/>
  <c r="D48" i="2"/>
  <c r="E32" i="4" s="1"/>
  <c r="C48" i="2"/>
  <c r="D32" i="4" s="1"/>
  <c r="B48" i="2"/>
  <c r="C32" i="4" s="1"/>
  <c r="D44" i="2"/>
  <c r="E28" i="4" s="1"/>
  <c r="D82" i="1"/>
  <c r="D88" i="1"/>
  <c r="C88" i="1"/>
  <c r="C82" i="1"/>
  <c r="C84" i="1" s="1"/>
  <c r="F61" i="1"/>
  <c r="C27" i="1"/>
  <c r="D21" i="4" s="1"/>
  <c r="B15" i="2"/>
  <c r="F27" i="1"/>
  <c r="B82" i="1"/>
  <c r="B84" i="1" s="1"/>
  <c r="E37" i="12" l="1"/>
  <c r="D37" i="12"/>
  <c r="B36" i="12"/>
  <c r="C37" i="12" s="1"/>
  <c r="D52" i="12"/>
  <c r="E52" i="12"/>
  <c r="D57" i="12"/>
  <c r="C52" i="12"/>
  <c r="C57" i="12"/>
  <c r="E57" i="12"/>
  <c r="B45" i="4"/>
  <c r="B86" i="1"/>
  <c r="D22" i="4"/>
  <c r="D23" i="4"/>
  <c r="C86" i="1"/>
  <c r="C45" i="4"/>
  <c r="C26" i="5" s="1"/>
  <c r="E49" i="1"/>
  <c r="D55" i="2" s="1"/>
  <c r="E41" i="1"/>
  <c r="D28" i="1"/>
  <c r="E21" i="4"/>
  <c r="D41" i="1"/>
  <c r="C20" i="10"/>
  <c r="C41" i="1"/>
  <c r="C21" i="5" s="1"/>
  <c r="C23" i="5" s="1"/>
  <c r="B38" i="2"/>
  <c r="B39" i="2"/>
  <c r="D37" i="2"/>
  <c r="F23" i="4"/>
  <c r="B37" i="2"/>
  <c r="C156" i="2"/>
  <c r="D156" i="2"/>
  <c r="C38" i="2"/>
  <c r="E156" i="2"/>
  <c r="F39" i="4"/>
  <c r="F32" i="4"/>
  <c r="B12" i="9" s="1"/>
  <c r="F29" i="4"/>
  <c r="F28" i="4"/>
  <c r="E41" i="7"/>
  <c r="F6" i="5" s="1"/>
  <c r="H6" i="12"/>
  <c r="G22" i="7"/>
  <c r="B7" i="10"/>
  <c r="K24" i="4"/>
  <c r="F72" i="1"/>
  <c r="D43" i="7"/>
  <c r="E68" i="2"/>
  <c r="E19" i="2"/>
  <c r="E98" i="2"/>
  <c r="B108" i="2"/>
  <c r="E9" i="2"/>
  <c r="E14" i="2" s="1"/>
  <c r="E55" i="2"/>
  <c r="B86" i="2"/>
  <c r="B116" i="2"/>
  <c r="D84" i="1"/>
  <c r="C81" i="2"/>
  <c r="C111" i="2"/>
  <c r="B85" i="2"/>
  <c r="B8" i="2"/>
  <c r="B25" i="2"/>
  <c r="B21" i="2"/>
  <c r="B83" i="2"/>
  <c r="B113" i="2"/>
  <c r="B9" i="2"/>
  <c r="B14" i="2" s="1"/>
  <c r="D143" i="2"/>
  <c r="C9" i="2"/>
  <c r="C14" i="2" s="1"/>
  <c r="C15" i="2"/>
  <c r="C143" i="2"/>
  <c r="B81" i="2"/>
  <c r="B111" i="2"/>
  <c r="D108" i="2"/>
  <c r="D78" i="2"/>
  <c r="D60" i="2"/>
  <c r="C86" i="2"/>
  <c r="C116" i="2"/>
  <c r="E88" i="1"/>
  <c r="E143" i="2"/>
  <c r="D9" i="2"/>
  <c r="D14" i="2" s="1"/>
  <c r="D15" i="2"/>
  <c r="E15" i="2"/>
  <c r="B49" i="2"/>
  <c r="D49" i="2"/>
  <c r="E49" i="2"/>
  <c r="C49" i="2"/>
  <c r="E22" i="4" l="1"/>
  <c r="E23" i="4"/>
  <c r="B26" i="5"/>
  <c r="E47" i="4"/>
  <c r="B20" i="10"/>
  <c r="B56" i="4"/>
  <c r="E61" i="1"/>
  <c r="D56" i="2"/>
  <c r="E164" i="2"/>
  <c r="E59" i="2"/>
  <c r="E21" i="5"/>
  <c r="D56" i="7"/>
  <c r="D45" i="4"/>
  <c r="D86" i="1"/>
  <c r="C85" i="2" s="1"/>
  <c r="I20" i="7"/>
  <c r="C56" i="7" s="1"/>
  <c r="E56" i="7" s="1"/>
  <c r="F47" i="4"/>
  <c r="F22" i="4"/>
  <c r="B52" i="12"/>
  <c r="B57" i="12"/>
  <c r="G56" i="12" s="1"/>
  <c r="C49" i="1"/>
  <c r="D21" i="5"/>
  <c r="D49" i="1"/>
  <c r="H27" i="12"/>
  <c r="H32" i="12"/>
  <c r="F6" i="12"/>
  <c r="G28" i="4"/>
  <c r="H28" i="4"/>
  <c r="I28" i="4" s="1"/>
  <c r="G29" i="4"/>
  <c r="H29" i="4" s="1"/>
  <c r="B8" i="9"/>
  <c r="G32" i="4"/>
  <c r="D50" i="7"/>
  <c r="H36" i="12"/>
  <c r="H37" i="12" s="1"/>
  <c r="E43" i="7"/>
  <c r="D53" i="7"/>
  <c r="D58" i="7" s="1"/>
  <c r="D51" i="7"/>
  <c r="F16" i="4"/>
  <c r="F15" i="4"/>
  <c r="I22" i="7"/>
  <c r="C7" i="10"/>
  <c r="B9" i="9"/>
  <c r="B16" i="9"/>
  <c r="B19" i="9"/>
  <c r="B18" i="9"/>
  <c r="B14" i="9"/>
  <c r="B13" i="9"/>
  <c r="B15" i="9"/>
  <c r="B17" i="9"/>
  <c r="B7" i="9"/>
  <c r="G37" i="4"/>
  <c r="G38" i="4"/>
  <c r="G39" i="4"/>
  <c r="H33" i="4"/>
  <c r="F42" i="4"/>
  <c r="G42" i="4" s="1"/>
  <c r="H42" i="4" s="1"/>
  <c r="I42" i="4" s="1"/>
  <c r="J42" i="4" s="1"/>
  <c r="K42" i="4" s="1"/>
  <c r="H30" i="4"/>
  <c r="F8" i="5"/>
  <c r="F10" i="5" s="1"/>
  <c r="F18" i="5" s="1"/>
  <c r="F9" i="4"/>
  <c r="G9" i="4" s="1"/>
  <c r="G6" i="5" s="1"/>
  <c r="F10" i="4"/>
  <c r="F11" i="4"/>
  <c r="G11" i="4" s="1"/>
  <c r="H11" i="4" s="1"/>
  <c r="I11" i="4" s="1"/>
  <c r="J11" i="4" s="1"/>
  <c r="K11" i="4" s="1"/>
  <c r="F12" i="4"/>
  <c r="F13" i="4"/>
  <c r="F14" i="4"/>
  <c r="E101" i="2"/>
  <c r="E20" i="2"/>
  <c r="F79" i="1"/>
  <c r="E71" i="2"/>
  <c r="B13" i="2"/>
  <c r="B16" i="2" s="1"/>
  <c r="B10" i="2"/>
  <c r="D86" i="2"/>
  <c r="D116" i="2"/>
  <c r="C25" i="2"/>
  <c r="C8" i="2"/>
  <c r="C21" i="2"/>
  <c r="C113" i="2"/>
  <c r="C83" i="2"/>
  <c r="E84" i="1"/>
  <c r="D81" i="2"/>
  <c r="D111" i="2"/>
  <c r="H34" i="12" l="1"/>
  <c r="H33" i="12"/>
  <c r="H23" i="12"/>
  <c r="H10" i="12" s="1"/>
  <c r="E23" i="5"/>
  <c r="M20" i="7"/>
  <c r="C47" i="4"/>
  <c r="G47" i="4" s="1"/>
  <c r="C164" i="2"/>
  <c r="C59" i="2"/>
  <c r="B56" i="2"/>
  <c r="C61" i="1"/>
  <c r="C176" i="2" s="1"/>
  <c r="B55" i="2"/>
  <c r="B59" i="2"/>
  <c r="G23" i="4"/>
  <c r="G63" i="12"/>
  <c r="G57" i="12"/>
  <c r="G49" i="12"/>
  <c r="E86" i="1"/>
  <c r="D85" i="2" s="1"/>
  <c r="E45" i="4"/>
  <c r="E26" i="5" s="1"/>
  <c r="E176" i="2"/>
  <c r="B57" i="4"/>
  <c r="B58" i="4" s="1"/>
  <c r="C56" i="2"/>
  <c r="D47" i="4"/>
  <c r="D59" i="2"/>
  <c r="D164" i="2"/>
  <c r="D61" i="1"/>
  <c r="C55" i="2"/>
  <c r="D23" i="5"/>
  <c r="K20" i="7"/>
  <c r="G22" i="4"/>
  <c r="G21" i="4" s="1"/>
  <c r="I29" i="4"/>
  <c r="J29" i="4"/>
  <c r="I6" i="12"/>
  <c r="E50" i="7"/>
  <c r="F36" i="12"/>
  <c r="F37" i="12" s="1"/>
  <c r="H52" i="12"/>
  <c r="H56" i="12"/>
  <c r="H49" i="12" s="1"/>
  <c r="H32" i="4"/>
  <c r="H15" i="4"/>
  <c r="I15" i="4" s="1"/>
  <c r="J28" i="4"/>
  <c r="K28" i="4" s="1"/>
  <c r="F26" i="12"/>
  <c r="F27" i="12" s="1"/>
  <c r="F32" i="12"/>
  <c r="F16" i="5"/>
  <c r="G10" i="4"/>
  <c r="H10" i="4" s="1"/>
  <c r="I10" i="4" s="1"/>
  <c r="J10" i="4" s="1"/>
  <c r="K10" i="4" s="1"/>
  <c r="B10" i="9"/>
  <c r="G16" i="4"/>
  <c r="H16" i="4" s="1"/>
  <c r="I16" i="4" s="1"/>
  <c r="J16" i="4" s="1"/>
  <c r="I33" i="4"/>
  <c r="H39" i="4"/>
  <c r="H37" i="4"/>
  <c r="B20" i="9"/>
  <c r="I30" i="4"/>
  <c r="H38" i="4"/>
  <c r="H9" i="4"/>
  <c r="I9" i="4" s="1"/>
  <c r="J9" i="4" s="1"/>
  <c r="K9" i="4" s="1"/>
  <c r="B31" i="10"/>
  <c r="G14" i="4"/>
  <c r="G13" i="4"/>
  <c r="H13" i="4" s="1"/>
  <c r="I13" i="4" s="1"/>
  <c r="G12" i="4"/>
  <c r="H12" i="4" s="1"/>
  <c r="F21" i="5"/>
  <c r="F82" i="1"/>
  <c r="F88" i="1"/>
  <c r="E60" i="2"/>
  <c r="E108" i="2"/>
  <c r="E78" i="2"/>
  <c r="D25" i="2"/>
  <c r="D8" i="2"/>
  <c r="D83" i="2"/>
  <c r="D113" i="2"/>
  <c r="D21" i="2"/>
  <c r="C13" i="2"/>
  <c r="C16" i="2" s="1"/>
  <c r="C10" i="2"/>
  <c r="F34" i="12" l="1"/>
  <c r="F33" i="12"/>
  <c r="H24" i="12"/>
  <c r="H47" i="4"/>
  <c r="I47" i="4" s="1"/>
  <c r="J47" i="4" s="1"/>
  <c r="K47" i="4" s="1"/>
  <c r="B32" i="10"/>
  <c r="F45" i="4"/>
  <c r="G45" i="4" s="1"/>
  <c r="H45" i="4" s="1"/>
  <c r="I45" i="4" s="1"/>
  <c r="J45" i="4" s="1"/>
  <c r="K45" i="4" s="1"/>
  <c r="J15" i="4"/>
  <c r="H23" i="4"/>
  <c r="I23" i="4" s="1"/>
  <c r="M22" i="7"/>
  <c r="E7" i="10"/>
  <c r="B59" i="4"/>
  <c r="B70" i="4" s="1"/>
  <c r="B16" i="10" s="1"/>
  <c r="G39" i="12"/>
  <c r="K29" i="4"/>
  <c r="G20" i="4"/>
  <c r="D176" i="2"/>
  <c r="K22" i="7"/>
  <c r="D7" i="10"/>
  <c r="F23" i="12"/>
  <c r="F24" i="12" s="1"/>
  <c r="H22" i="4"/>
  <c r="I22" i="4" s="1"/>
  <c r="H39" i="12"/>
  <c r="F51" i="12"/>
  <c r="F52" i="12" s="1"/>
  <c r="F56" i="12"/>
  <c r="H16" i="12"/>
  <c r="H13" i="12" s="1"/>
  <c r="H14" i="12" s="1"/>
  <c r="H7" i="12"/>
  <c r="I26" i="12"/>
  <c r="I27" i="12" s="1"/>
  <c r="I32" i="12"/>
  <c r="K15" i="4"/>
  <c r="K14" i="5" s="1"/>
  <c r="I32" i="4"/>
  <c r="J32" i="4" s="1"/>
  <c r="H57" i="12"/>
  <c r="H63" i="12"/>
  <c r="E53" i="7"/>
  <c r="E58" i="7" s="1"/>
  <c r="E51" i="7"/>
  <c r="F17" i="4"/>
  <c r="G17" i="4" s="1"/>
  <c r="H17" i="4" s="1"/>
  <c r="I17" i="4" s="1"/>
  <c r="J17" i="4" s="1"/>
  <c r="K17" i="4" s="1"/>
  <c r="F24" i="5"/>
  <c r="H15" i="5"/>
  <c r="I15" i="5"/>
  <c r="J15" i="5"/>
  <c r="G14" i="5"/>
  <c r="H14" i="5"/>
  <c r="I14" i="5"/>
  <c r="G15" i="5"/>
  <c r="K16" i="4"/>
  <c r="J33" i="4"/>
  <c r="G20" i="5"/>
  <c r="C9" i="9"/>
  <c r="C13" i="9"/>
  <c r="C7" i="9"/>
  <c r="C15" i="9"/>
  <c r="C14" i="9"/>
  <c r="C16" i="9"/>
  <c r="C18" i="9"/>
  <c r="I38" i="4"/>
  <c r="J30" i="4"/>
  <c r="C17" i="9"/>
  <c r="I37" i="4"/>
  <c r="C19" i="9"/>
  <c r="I39" i="4"/>
  <c r="H11" i="5"/>
  <c r="H12" i="5"/>
  <c r="I12" i="5"/>
  <c r="G12" i="5"/>
  <c r="G13" i="5"/>
  <c r="G11" i="5"/>
  <c r="G9" i="5"/>
  <c r="F23" i="5"/>
  <c r="F7" i="10" s="1"/>
  <c r="H6" i="5"/>
  <c r="G7" i="5"/>
  <c r="I12" i="4"/>
  <c r="J12" i="4" s="1"/>
  <c r="J11" i="5" s="1"/>
  <c r="J13" i="4"/>
  <c r="K13" i="4" s="1"/>
  <c r="H14" i="4"/>
  <c r="I14" i="4" s="1"/>
  <c r="J14" i="4" s="1"/>
  <c r="J13" i="5" s="1"/>
  <c r="E86" i="2"/>
  <c r="E116" i="2"/>
  <c r="F84" i="1"/>
  <c r="F86" i="1" s="1"/>
  <c r="E81" i="2"/>
  <c r="E111" i="2"/>
  <c r="D13" i="2"/>
  <c r="D16" i="2" s="1"/>
  <c r="D10" i="2"/>
  <c r="K32" i="4" l="1"/>
  <c r="I34" i="12"/>
  <c r="I33" i="12"/>
  <c r="H11" i="12"/>
  <c r="H8" i="12"/>
  <c r="H19" i="12"/>
  <c r="F10" i="12"/>
  <c r="F7" i="12" s="1"/>
  <c r="G22" i="5"/>
  <c r="G19" i="5"/>
  <c r="J22" i="4"/>
  <c r="K22" i="4" s="1"/>
  <c r="H21" i="4"/>
  <c r="F10" i="10"/>
  <c r="F49" i="12"/>
  <c r="F39" i="12" s="1"/>
  <c r="G43" i="12"/>
  <c r="G42" i="12" s="1"/>
  <c r="G38" i="12"/>
  <c r="J23" i="4"/>
  <c r="K23" i="4" s="1"/>
  <c r="F26" i="5"/>
  <c r="D18" i="9"/>
  <c r="J6" i="12"/>
  <c r="I23" i="12"/>
  <c r="I24" i="12" s="1"/>
  <c r="H17" i="12"/>
  <c r="F57" i="12"/>
  <c r="F63" i="12"/>
  <c r="H43" i="12"/>
  <c r="H42" i="12" s="1"/>
  <c r="H38" i="12"/>
  <c r="K15" i="5"/>
  <c r="J14" i="5"/>
  <c r="K30" i="4"/>
  <c r="G8" i="5"/>
  <c r="C8" i="9"/>
  <c r="C10" i="9" s="1"/>
  <c r="C12" i="9"/>
  <c r="C20" i="9" s="1"/>
  <c r="H20" i="5"/>
  <c r="D7" i="9"/>
  <c r="D15" i="9"/>
  <c r="D16" i="9"/>
  <c r="D14" i="9"/>
  <c r="D13" i="9"/>
  <c r="D9" i="9"/>
  <c r="K33" i="4"/>
  <c r="D19" i="9"/>
  <c r="J39" i="4"/>
  <c r="D17" i="9"/>
  <c r="J37" i="4"/>
  <c r="J38" i="4"/>
  <c r="I13" i="5"/>
  <c r="H13" i="5"/>
  <c r="H7" i="5"/>
  <c r="H9" i="5"/>
  <c r="K12" i="5"/>
  <c r="J12" i="5"/>
  <c r="I11" i="5"/>
  <c r="I6" i="5"/>
  <c r="K12" i="4"/>
  <c r="K14" i="4"/>
  <c r="E85" i="2"/>
  <c r="E8" i="2"/>
  <c r="E21" i="2"/>
  <c r="E83" i="2"/>
  <c r="E113" i="2"/>
  <c r="E25" i="2"/>
  <c r="F16" i="12" l="1"/>
  <c r="F13" i="12" s="1"/>
  <c r="F14" i="12" s="1"/>
  <c r="F11" i="12"/>
  <c r="F8" i="12"/>
  <c r="G40" i="12"/>
  <c r="G60" i="12"/>
  <c r="G44" i="12"/>
  <c r="G61" i="12"/>
  <c r="G46" i="12"/>
  <c r="I21" i="4"/>
  <c r="H20" i="4"/>
  <c r="F43" i="12"/>
  <c r="F42" i="12" s="1"/>
  <c r="F38" i="12"/>
  <c r="H29" i="12"/>
  <c r="H30" i="12" s="1"/>
  <c r="H21" i="12"/>
  <c r="G10" i="5"/>
  <c r="G16" i="5" s="1"/>
  <c r="H40" i="12"/>
  <c r="H60" i="12"/>
  <c r="E19" i="9"/>
  <c r="K6" i="12"/>
  <c r="H44" i="12"/>
  <c r="H61" i="12"/>
  <c r="H46" i="12"/>
  <c r="E17" i="9"/>
  <c r="E18" i="9"/>
  <c r="G21" i="5"/>
  <c r="D12" i="9"/>
  <c r="D20" i="9" s="1"/>
  <c r="D8" i="9"/>
  <c r="D10" i="9" s="1"/>
  <c r="K38" i="4"/>
  <c r="K37" i="4"/>
  <c r="K39" i="4"/>
  <c r="H8" i="5"/>
  <c r="I20" i="5"/>
  <c r="E7" i="9"/>
  <c r="E14" i="9"/>
  <c r="E16" i="9"/>
  <c r="E15" i="9"/>
  <c r="E9" i="9"/>
  <c r="E13" i="9"/>
  <c r="K13" i="5"/>
  <c r="K11" i="5"/>
  <c r="I9" i="5"/>
  <c r="I7" i="5"/>
  <c r="J6" i="5"/>
  <c r="E10" i="2"/>
  <c r="E13" i="2"/>
  <c r="E16" i="2" s="1"/>
  <c r="F19" i="12" l="1"/>
  <c r="F29" i="12" s="1"/>
  <c r="F30" i="12" s="1"/>
  <c r="F17" i="12"/>
  <c r="H22" i="5"/>
  <c r="H19" i="5"/>
  <c r="J21" i="4"/>
  <c r="I20" i="4"/>
  <c r="G47" i="12"/>
  <c r="G54" i="12"/>
  <c r="G62" i="12" s="1"/>
  <c r="F61" i="12"/>
  <c r="F44" i="12"/>
  <c r="F46" i="12"/>
  <c r="F18" i="9"/>
  <c r="L6" i="12"/>
  <c r="H47" i="12"/>
  <c r="H54" i="12"/>
  <c r="H62" i="12" s="1"/>
  <c r="F40" i="12"/>
  <c r="F60" i="12"/>
  <c r="H21" i="5"/>
  <c r="G17" i="5"/>
  <c r="G18" i="5" s="1"/>
  <c r="G23" i="5" s="1"/>
  <c r="H7" i="10" s="1"/>
  <c r="H10" i="10" s="1"/>
  <c r="H10" i="5"/>
  <c r="H16" i="5" s="1"/>
  <c r="F17" i="9"/>
  <c r="F19" i="9"/>
  <c r="J20" i="5"/>
  <c r="F14" i="9"/>
  <c r="F15" i="9"/>
  <c r="F7" i="9"/>
  <c r="F16" i="9"/>
  <c r="F9" i="9"/>
  <c r="F13" i="9"/>
  <c r="I8" i="5"/>
  <c r="E12" i="9"/>
  <c r="E20" i="9" s="1"/>
  <c r="E8" i="9"/>
  <c r="E10" i="9" s="1"/>
  <c r="J9" i="5"/>
  <c r="J7" i="5"/>
  <c r="J8" i="5" s="1"/>
  <c r="K6" i="5"/>
  <c r="F21" i="12" l="1"/>
  <c r="I22" i="5"/>
  <c r="I19" i="5"/>
  <c r="K21" i="4"/>
  <c r="K20" i="4" s="1"/>
  <c r="J20" i="4"/>
  <c r="F47" i="12"/>
  <c r="F54" i="12"/>
  <c r="F62" i="12" s="1"/>
  <c r="M6" i="12"/>
  <c r="G26" i="5"/>
  <c r="J10" i="5"/>
  <c r="J16" i="5" s="1"/>
  <c r="H17" i="5"/>
  <c r="I10" i="5"/>
  <c r="I16" i="5" s="1"/>
  <c r="I21" i="5"/>
  <c r="K20" i="5"/>
  <c r="G14" i="9"/>
  <c r="G7" i="9"/>
  <c r="G15" i="9"/>
  <c r="G16" i="9"/>
  <c r="G13" i="9"/>
  <c r="G9" i="9"/>
  <c r="F12" i="9"/>
  <c r="F20" i="9" s="1"/>
  <c r="F8" i="9"/>
  <c r="F10" i="9" s="1"/>
  <c r="G19" i="9"/>
  <c r="G18" i="9"/>
  <c r="G17" i="9"/>
  <c r="K9" i="5"/>
  <c r="K7" i="5"/>
  <c r="K8" i="5" s="1"/>
  <c r="J22" i="5" l="1"/>
  <c r="J19" i="5"/>
  <c r="K22" i="5"/>
  <c r="K19" i="5"/>
  <c r="I36" i="12" a="1"/>
  <c r="I36" i="12" s="1"/>
  <c r="I37" i="12" s="1"/>
  <c r="H18" i="5"/>
  <c r="H23" i="5" s="1"/>
  <c r="I7" i="10" s="1"/>
  <c r="I10" i="10" s="1"/>
  <c r="H24" i="5"/>
  <c r="H26" i="5" s="1"/>
  <c r="J17" i="5"/>
  <c r="J18" i="5" s="1"/>
  <c r="K10" i="5"/>
  <c r="K16" i="5" s="1"/>
  <c r="J21" i="5"/>
  <c r="I17" i="5"/>
  <c r="G12" i="9"/>
  <c r="G20" i="9" s="1"/>
  <c r="G8" i="9"/>
  <c r="G10" i="9" s="1"/>
  <c r="I56" i="12" l="1"/>
  <c r="I51" i="12"/>
  <c r="I52" i="12" s="1"/>
  <c r="I18" i="5"/>
  <c r="I23" i="5" s="1"/>
  <c r="J7" i="10" s="1"/>
  <c r="J10" i="10" s="1"/>
  <c r="K21" i="5"/>
  <c r="I24" i="5"/>
  <c r="I26" i="5" s="1"/>
  <c r="J24" i="5"/>
  <c r="J26" i="5" s="1"/>
  <c r="J23" i="5"/>
  <c r="K7" i="10" s="1"/>
  <c r="K10" i="10" s="1"/>
  <c r="K17" i="5"/>
  <c r="K18" i="5" s="1"/>
  <c r="I63" i="12" l="1"/>
  <c r="I57" i="12"/>
  <c r="I49" i="12"/>
  <c r="K23" i="5"/>
  <c r="L7" i="10" s="1"/>
  <c r="L10" i="10" s="1"/>
  <c r="B14" i="10" s="1"/>
  <c r="K24" i="5"/>
  <c r="K26" i="5" s="1"/>
  <c r="M7" i="10" l="1"/>
  <c r="M10" i="10" s="1"/>
  <c r="B17" i="10" s="1"/>
  <c r="C17" i="10" s="1"/>
  <c r="B29" i="10" s="1"/>
  <c r="I42" i="12"/>
  <c r="I38" i="12"/>
  <c r="B26" i="10"/>
  <c r="C14" i="10"/>
  <c r="C18" i="10" l="1"/>
  <c r="C22" i="10" s="1"/>
  <c r="B18" i="10"/>
  <c r="B22" i="10" s="1"/>
  <c r="B24" i="10" s="1"/>
  <c r="B30" i="10"/>
  <c r="B34" i="10" s="1"/>
  <c r="B36" i="10" s="1"/>
  <c r="B37" i="10" s="1"/>
  <c r="I46" i="12"/>
  <c r="I47" i="12" s="1"/>
  <c r="C24" i="10"/>
  <c r="G14" i="10" s="1"/>
  <c r="I15" i="12" l="1"/>
  <c r="I10" i="12" s="1"/>
  <c r="I16" i="12" l="1"/>
  <c r="I13" i="12" s="1"/>
  <c r="I14" i="12" s="1"/>
  <c r="I7" i="12"/>
  <c r="I11" i="12" l="1"/>
  <c r="I8" i="12"/>
  <c r="I17" i="12"/>
  <c r="I61" i="12" s="1"/>
  <c r="I19" i="12"/>
  <c r="I21" i="12" l="1"/>
  <c r="I29" i="12"/>
  <c r="I30" i="12" s="1"/>
  <c r="I60" i="12" l="1"/>
  <c r="I54" i="12" l="1"/>
  <c r="I6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<sst xmlns="http://schemas.openxmlformats.org/spreadsheetml/2006/main" count="1413" uniqueCount="1109">
  <si>
    <t>Analyst Name:</t>
  </si>
  <si>
    <t>Company Name:</t>
  </si>
  <si>
    <t>DPM</t>
  </si>
  <si>
    <t xml:space="preserve">Year </t>
  </si>
  <si>
    <t>2020A</t>
  </si>
  <si>
    <t>2021A</t>
  </si>
  <si>
    <t>2022A</t>
  </si>
  <si>
    <t>2023A</t>
  </si>
  <si>
    <t>Balance Sheet</t>
  </si>
  <si>
    <t>Assets</t>
  </si>
  <si>
    <t>Cash and cash equivalents</t>
  </si>
  <si>
    <t>Short-term financial investments</t>
  </si>
  <si>
    <t>Short-term receivables</t>
  </si>
  <si>
    <t>Inventories</t>
  </si>
  <si>
    <t>CURRENT ASSETS</t>
  </si>
  <si>
    <t>Long-term receivables</t>
  </si>
  <si>
    <t>Investment property</t>
  </si>
  <si>
    <t>Long-term assets in progress</t>
  </si>
  <si>
    <t xml:space="preserve">Long-term financial investments </t>
  </si>
  <si>
    <t>Tangible fixed assets</t>
  </si>
  <si>
    <t>Less Depreciation</t>
  </si>
  <si>
    <t>Net Intangible assets</t>
  </si>
  <si>
    <t>Goodwill</t>
  </si>
  <si>
    <r>
      <t>Deferred tax assets</t>
    </r>
    <r>
      <rPr>
        <sz val="10"/>
        <color theme="1"/>
        <rFont val="Calibri"/>
        <family val="2"/>
        <charset val="163"/>
      </rPr>
      <t>—</t>
    </r>
    <r>
      <rPr>
        <sz val="10"/>
        <color theme="1"/>
        <rFont val="Arial"/>
        <family val="2"/>
        <charset val="163"/>
      </rPr>
      <t>non current</t>
    </r>
  </si>
  <si>
    <t xml:space="preserve">Other long-term assets </t>
  </si>
  <si>
    <t>Prepaid expenses and other current assets</t>
  </si>
  <si>
    <r>
      <t>Deferred tax assets</t>
    </r>
    <r>
      <rPr>
        <sz val="10"/>
        <color theme="1"/>
        <rFont val="Calibri"/>
        <family val="2"/>
        <charset val="163"/>
      </rPr>
      <t>—</t>
    </r>
    <r>
      <rPr>
        <sz val="10"/>
        <color theme="1"/>
        <rFont val="Arial"/>
        <family val="2"/>
        <charset val="163"/>
      </rPr>
      <t>current</t>
    </r>
  </si>
  <si>
    <t>Other current assets (1)</t>
  </si>
  <si>
    <t>Other current assets (2)</t>
  </si>
  <si>
    <t>Total Assets</t>
  </si>
  <si>
    <t>Liabilities and Equities:</t>
  </si>
  <si>
    <t>Accounts payable to suppliers</t>
  </si>
  <si>
    <t>Advances from customers</t>
  </si>
  <si>
    <t>Unearned revenue - current</t>
  </si>
  <si>
    <t>Current accrued expenses</t>
  </si>
  <si>
    <t>Short-term borrowings</t>
  </si>
  <si>
    <t>Provisions - current</t>
  </si>
  <si>
    <r>
      <t>Deferred tax liabilities</t>
    </r>
    <r>
      <rPr>
        <sz val="10"/>
        <color theme="1"/>
        <rFont val="Calibri"/>
        <family val="2"/>
        <charset val="163"/>
      </rPr>
      <t>—</t>
    </r>
    <r>
      <rPr>
        <sz val="10"/>
        <color theme="1"/>
        <rFont val="Arial"/>
        <family val="2"/>
        <charset val="163"/>
      </rPr>
      <t>current</t>
    </r>
  </si>
  <si>
    <t>Taxes and others payable to State Treasury</t>
  </si>
  <si>
    <t>Payables to employees</t>
  </si>
  <si>
    <t>Other current liabilities</t>
  </si>
  <si>
    <t>Current Liabilities</t>
  </si>
  <si>
    <t>Accounts payable to suppliers - noncurrent</t>
  </si>
  <si>
    <t>Long-term borrowings</t>
  </si>
  <si>
    <t>Long-term accrued expenses</t>
  </si>
  <si>
    <t>Unearned revenue - noncurrent</t>
  </si>
  <si>
    <r>
      <t>Deferred tax liabilities</t>
    </r>
    <r>
      <rPr>
        <sz val="10"/>
        <color theme="1"/>
        <rFont val="Calibri"/>
        <family val="2"/>
        <charset val="163"/>
      </rPr>
      <t>—</t>
    </r>
    <r>
      <rPr>
        <sz val="10"/>
        <color theme="1"/>
        <rFont val="Arial"/>
        <family val="2"/>
        <charset val="163"/>
      </rPr>
      <t>noncurrent</t>
    </r>
  </si>
  <si>
    <t>Provisions - noncurrent</t>
  </si>
  <si>
    <t>Other noncurrent liabilities</t>
  </si>
  <si>
    <t>Total Liabilities</t>
  </si>
  <si>
    <t>Preferred stock</t>
  </si>
  <si>
    <t>Share capital</t>
  </si>
  <si>
    <t>Foreign exchange differences</t>
  </si>
  <si>
    <t>Investment and development fund</t>
  </si>
  <si>
    <t>Retained earnings &lt;deficit&gt;</t>
  </si>
  <si>
    <t>Accum. other comprehensive income/loss</t>
  </si>
  <si>
    <t>Treasury stock and other equity adjustments</t>
  </si>
  <si>
    <t>Total Common Shareholders' Equity</t>
  </si>
  <si>
    <t>Noncontrolling interests</t>
  </si>
  <si>
    <t>Total Equity</t>
  </si>
  <si>
    <t>Total Liabilities and Equities</t>
  </si>
  <si>
    <t>INCOME STATEMENT DATA</t>
  </si>
  <si>
    <t>Revenues</t>
  </si>
  <si>
    <t>Revenue deduction</t>
  </si>
  <si>
    <t>Net Revenue</t>
  </si>
  <si>
    <t>Selling expenses</t>
  </si>
  <si>
    <t>General and administration expenses</t>
  </si>
  <si>
    <t>Operating Profit</t>
  </si>
  <si>
    <t>Financial income</t>
  </si>
  <si>
    <t>Financial expense</t>
  </si>
  <si>
    <t xml:space="preserve">    In which: Interest expense</t>
  </si>
  <si>
    <t>Profit or loss in associates</t>
  </si>
  <si>
    <t>Other income</t>
  </si>
  <si>
    <t>Other expense</t>
  </si>
  <si>
    <t>Profit before Tax (EBT)</t>
  </si>
  <si>
    <t>Current income tax expenses</t>
  </si>
  <si>
    <t>Deferred income tax benefit</t>
  </si>
  <si>
    <t>Net profit after tax (NPAT)</t>
  </si>
  <si>
    <t>Net income attributable to noncontrolling interests</t>
  </si>
  <si>
    <t>Net Income attributable to common shareholders</t>
  </si>
  <si>
    <t>EBIT</t>
  </si>
  <si>
    <t>STATEMENT OF CASH FLOWS DATA</t>
  </si>
  <si>
    <t>Profit before tax</t>
  </si>
  <si>
    <t>Add back depreciation and amortization expenses</t>
  </si>
  <si>
    <t>Add amortisation of goodwill</t>
  </si>
  <si>
    <t>Add Allowances and provisions</t>
  </si>
  <si>
    <t>Add Exchange gains (losses) from revaluation of monetary items</t>
  </si>
  <si>
    <t>Profit from investing activities</t>
  </si>
  <si>
    <t>Interest expense</t>
  </si>
  <si>
    <t>Increase/ Decrease in accounts receivable</t>
  </si>
  <si>
    <t>Increase/ Decrease in inventories</t>
  </si>
  <si>
    <t>Increase/ Decrease in payables and other liabilities</t>
  </si>
  <si>
    <t>Increase/ Decrease in prepaid expenses</t>
  </si>
  <si>
    <t>Interst paid</t>
  </si>
  <si>
    <t>Income tax paid</t>
  </si>
  <si>
    <t>Other operating activities</t>
  </si>
  <si>
    <t>Net CF from Operating Activities</t>
  </si>
  <si>
    <t>Property, plant, and equipment acquired</t>
  </si>
  <si>
    <t>Proceeds from sale of fixed assets</t>
  </si>
  <si>
    <t>Payments for purchase of debt instruments of other entities</t>
  </si>
  <si>
    <t>Receipts from collecting loans, sales of debt instruments of other entities</t>
  </si>
  <si>
    <t>Payments for investments in other entities</t>
  </si>
  <si>
    <t>Collections on investments in other entities</t>
  </si>
  <si>
    <t>Receipts of interests on term deposits and loans</t>
  </si>
  <si>
    <t>Net effect of acquisition and disposal of subsidiaries during the year</t>
  </si>
  <si>
    <t>Net CF from Investing Activities</t>
  </si>
  <si>
    <t>Proceeds from equity issued, capital contributred by non-controlling shareholders</t>
  </si>
  <si>
    <t>Proceeds from borrowings</t>
  </si>
  <si>
    <t>Payments to settle loan principals</t>
  </si>
  <si>
    <t>Payments of dividends</t>
  </si>
  <si>
    <t>Net CF from Financing Activities</t>
  </si>
  <si>
    <t>Effects of exchange rate changes on cash</t>
  </si>
  <si>
    <t>Net Change in Cash</t>
  </si>
  <si>
    <t>Cash and cash equivalents, beginning of year</t>
  </si>
  <si>
    <t>Cash and cash equivalents, end of year</t>
  </si>
  <si>
    <t>SUPPLEMENTAL DATA</t>
  </si>
  <si>
    <t>Statutory tax rate</t>
  </si>
  <si>
    <t>Earnings per share (basic) (VND)</t>
  </si>
  <si>
    <t>FINANCIAL DATA CHECKS</t>
  </si>
  <si>
    <t>Assets - Liabilities - Equities</t>
  </si>
  <si>
    <t>Net Income (computed) - Net Income (reported)</t>
  </si>
  <si>
    <t>Cash Changes</t>
  </si>
  <si>
    <t>Units</t>
  </si>
  <si>
    <t>Share premium</t>
  </si>
  <si>
    <t>Million VND</t>
  </si>
  <si>
    <t xml:space="preserve">Previous Period Net Income </t>
  </si>
  <si>
    <t>9m2024A</t>
  </si>
  <si>
    <t>Year</t>
  </si>
  <si>
    <t>PROFITABILITY FACTORS:</t>
  </si>
  <si>
    <t xml:space="preserve">RETURN ON ASSETS </t>
  </si>
  <si>
    <t>x Asset Turnover</t>
  </si>
  <si>
    <t>= Return on Assets</t>
  </si>
  <si>
    <t xml:space="preserve">RETURN ON EQUITY </t>
  </si>
  <si>
    <t xml:space="preserve">  Profit Margin for ROE</t>
  </si>
  <si>
    <t>x Capital Structure Leverage</t>
  </si>
  <si>
    <t>Return on Equity</t>
  </si>
  <si>
    <t>OPERATING PERFORMANCE:</t>
  </si>
  <si>
    <t>Gross Profit Margin</t>
  </si>
  <si>
    <t>Operating Profit Margin</t>
  </si>
  <si>
    <t>Net Income Margin</t>
  </si>
  <si>
    <t>GROWTH:</t>
  </si>
  <si>
    <t>Revenue Growth</t>
  </si>
  <si>
    <t>Net Income Growth</t>
  </si>
  <si>
    <t>RISK FACTORS:</t>
  </si>
  <si>
    <t>LIQUIDITY:</t>
  </si>
  <si>
    <t>Current Ratio</t>
  </si>
  <si>
    <t>Quick Ratio</t>
  </si>
  <si>
    <t>Operating Cash Flow to Current Liabilities</t>
  </si>
  <si>
    <t>ASSET TURNOVER:</t>
  </si>
  <si>
    <t>Accounts Receivable Turnover</t>
  </si>
  <si>
    <t>Inventory Turnover</t>
  </si>
  <si>
    <t xml:space="preserve">   Days Inventory Held</t>
  </si>
  <si>
    <t>Accounts Payable Turnover</t>
  </si>
  <si>
    <t xml:space="preserve">   Days Payables Held</t>
  </si>
  <si>
    <t>Revenues / Average Net Fixed Assets</t>
  </si>
  <si>
    <t>Cash Turnover</t>
  </si>
  <si>
    <t xml:space="preserve">  Days Sales Held in Cash</t>
  </si>
  <si>
    <t>SOLVENCY:</t>
  </si>
  <si>
    <t>Total Debt / Total Assets</t>
  </si>
  <si>
    <t>Total Debt / Total Equity</t>
  </si>
  <si>
    <t>LT Debt / LT Capital</t>
  </si>
  <si>
    <t>LT Debt / Total Equity</t>
  </si>
  <si>
    <t>Operating Cash Flow to Total Liabilities</t>
  </si>
  <si>
    <t>Interest Coverage Ratio</t>
  </si>
  <si>
    <t>INCOME STATEMENT: COMMON SIZE (AS A PERCENT OF REVENUES)</t>
  </si>
  <si>
    <t>INCOME STATEMENT ITEMS: GROWTH RATES</t>
  </si>
  <si>
    <t>BALANCE SHEET ITEMS: GROWTH RATES</t>
  </si>
  <si>
    <t xml:space="preserve">  Profit Margin for ROA (Net Income/Net Sales)</t>
  </si>
  <si>
    <t>x Asset Turnover (Net Sales/ Average Total Assets)</t>
  </si>
  <si>
    <t>Days</t>
  </si>
  <si>
    <t>Cost of goods sold (absoluted)</t>
  </si>
  <si>
    <t>Gross Profit (=Net Revenue - COGS)</t>
  </si>
  <si>
    <t>Cash Conversion Cycle</t>
  </si>
  <si>
    <t>Date</t>
  </si>
  <si>
    <t>Free-float data</t>
  </si>
  <si>
    <t>https://www.bsc.com.vn/News/NewsAttachedFile/1100251</t>
  </si>
  <si>
    <t>Raw Data data</t>
  </si>
  <si>
    <t>https://dpm.vn/en/annual-report</t>
  </si>
  <si>
    <t>https://static2.vietstock.vn/data/HOSE/2024/BCTC/VN/QUY%203/DPM_Baocaotaichinh_Q3_2024_Hopnhat.pdf</t>
  </si>
  <si>
    <t>EPS</t>
  </si>
  <si>
    <t>BVPS</t>
  </si>
  <si>
    <t xml:space="preserve">   Days Sales Held</t>
  </si>
  <si>
    <t xml:space="preserve">Selling, General and Administration </t>
  </si>
  <si>
    <t>SIMPLIFIED INCOME &amp; CASH FLOWS STATEMENT DATA</t>
  </si>
  <si>
    <t>Operating Profit (EBIT)</t>
  </si>
  <si>
    <t>Corporate Income Tax</t>
  </si>
  <si>
    <t>Net Operating profit after tax (NOPAT)</t>
  </si>
  <si>
    <t>Add back Non-cash provisions</t>
  </si>
  <si>
    <t>Less Change in Net Operating Working Capital</t>
  </si>
  <si>
    <t>Less Net Capital Expenditure</t>
  </si>
  <si>
    <t>Free Cash Flow (FCF)</t>
  </si>
  <si>
    <t>2024F</t>
  </si>
  <si>
    <t>2025F</t>
  </si>
  <si>
    <t>2026F</t>
  </si>
  <si>
    <t>2027F</t>
  </si>
  <si>
    <t>2028F</t>
  </si>
  <si>
    <t>2029F</t>
  </si>
  <si>
    <t>Data from first three quarters</t>
  </si>
  <si>
    <t>https://cafef1.mediacdn.vn/Images/Uploaded/DuLieuDownload/2018/DPM_18Q3_BCTC_HN.pdf</t>
  </si>
  <si>
    <t>https://cafef1.mediacdn.vn/Images/Uploaded/DuLieuDownload/2019/DPM_19Q3_BCTC_HN.pdf</t>
  </si>
  <si>
    <t>https://cafef1.mediacdn.vn/Images/Uploaded/DuLieuDownload/2020/DPM_20Q3_BCTC_HN.pdf</t>
  </si>
  <si>
    <t>https://cafef1.mediacdn.vn/Images/Uploaded/DuLieuDownload/2021/DPM_21Q3_BCTC_HN.pdf</t>
  </si>
  <si>
    <t>https://cafef1.mediacdn.vn/Images/Uploaded/DuLieuDownload/BCTC/DPM_22Q3_BCTC_HN.pdf</t>
  </si>
  <si>
    <t>https://cafef1.mediacdn.vn/Images/Uploaded/DuLieuDownload/BCTC/DPM_23Q3_BCTC_HN_08112023150301.pdf</t>
  </si>
  <si>
    <t>Key Method Assumption</t>
  </si>
  <si>
    <t>9m2018A</t>
  </si>
  <si>
    <t>9m2019A</t>
  </si>
  <si>
    <t>9m2020A</t>
  </si>
  <si>
    <t>9m2021A</t>
  </si>
  <si>
    <t>9m2022A</t>
  </si>
  <si>
    <t>9m2023A</t>
  </si>
  <si>
    <t>% Ratio</t>
  </si>
  <si>
    <t>Source</t>
  </si>
  <si>
    <t>Calculation of the % Ratio of 9m2024A to 2024F</t>
  </si>
  <si>
    <t>Method</t>
  </si>
  <si>
    <t>Average</t>
  </si>
  <si>
    <t>Median</t>
  </si>
  <si>
    <t>Average w/o 2018</t>
  </si>
  <si>
    <t>Assumption</t>
  </si>
  <si>
    <t>If the difference between the largest and second largest/smallest and the second smallest is &gt;60%, we omit them and use average</t>
  </si>
  <si>
    <t>Average w/o 2018 and 2021</t>
  </si>
  <si>
    <t>NWC seems to follow an observable cyclical pattern</t>
  </si>
  <si>
    <t>Historical ratio-based analysis</t>
  </si>
  <si>
    <t>Moving upward through trend and seasonality</t>
  </si>
  <si>
    <t>I. Revenue and Costs</t>
  </si>
  <si>
    <t>II. Depreciation and Amortization, CapEx</t>
  </si>
  <si>
    <t>III. Projecting Net Working Capital</t>
  </si>
  <si>
    <t>IV. Provisions</t>
  </si>
  <si>
    <t>D&amp;A as a % of Openning PP&amp;E</t>
  </si>
  <si>
    <t>CapEx as a % of Openning PP&amp;E</t>
  </si>
  <si>
    <t>Days Sales Outstanding</t>
  </si>
  <si>
    <t>Days Inventory Outstanding</t>
  </si>
  <si>
    <t>Days Payable Outstanding</t>
  </si>
  <si>
    <t>Current Liabilities without Provisions</t>
  </si>
  <si>
    <t>Revenue Growth - cháu không biết nguồn về giá của từng mặt hàng giống trong File Excel của DCM</t>
  </si>
  <si>
    <t>Revenue / Net Revenue</t>
  </si>
  <si>
    <t>COGS as % of N.Revenue</t>
  </si>
  <si>
    <t>Selling, General and Administration  as % of N.Revenue</t>
  </si>
  <si>
    <t>Profit/loss in associates as % of N.Revenue</t>
  </si>
  <si>
    <t>Other income as % of N.Revenue</t>
  </si>
  <si>
    <t>Other expense as % of N.Revenue</t>
  </si>
  <si>
    <t>Other Current Assets as a % of N.Revenue</t>
  </si>
  <si>
    <t>Advances from customers as % of N.Revenue</t>
  </si>
  <si>
    <t>Unearned current revenue as % of N.Revenue</t>
  </si>
  <si>
    <t>Current accrued expenses as % of N.Revenue</t>
  </si>
  <si>
    <t>Short-term borrowings as % of N.Revenue</t>
  </si>
  <si>
    <t>Taxes and others payable to State Treasury as % of N.Revenue</t>
  </si>
  <si>
    <t>Payables to employees as % of N.Revenue</t>
  </si>
  <si>
    <t>Other current liabilities as % of N.Revenue</t>
  </si>
  <si>
    <t>Add back Provisions as % of N.Revenue</t>
  </si>
  <si>
    <t>Note</t>
  </si>
  <si>
    <t>1. Assume the 2025-2030 plan of DPM to be successful to have sales growth rate increase steadily at 1% each year</t>
  </si>
  <si>
    <t>Net Revenue Growth  (1)</t>
  </si>
  <si>
    <t>Openning PP&amp;E</t>
  </si>
  <si>
    <t>Openning PP&amp;E as % of the Total Assets</t>
  </si>
  <si>
    <t>Total Assets Growth</t>
  </si>
  <si>
    <t>-</t>
  </si>
  <si>
    <t>2024E</t>
  </si>
  <si>
    <t>Account Receivables</t>
  </si>
  <si>
    <t>Inventory</t>
  </si>
  <si>
    <t>Account Payables</t>
  </si>
  <si>
    <t>Cash and Cash Equivalent</t>
  </si>
  <si>
    <t>If we have outlier appear only on one side of the dataset, we use median. If on two side of the normal data groups, we use average as outliers balanced each other out</t>
  </si>
  <si>
    <t>Other Current Assets</t>
  </si>
  <si>
    <t xml:space="preserve">I. </t>
  </si>
  <si>
    <t>II.</t>
  </si>
  <si>
    <t>N/A</t>
  </si>
  <si>
    <t>Forecasting Net Working Capital</t>
  </si>
  <si>
    <t>Fiscal year</t>
  </si>
  <si>
    <t>Accounts Receivables</t>
  </si>
  <si>
    <t>Current Assets - w/o Cash &amp; its equivalent</t>
  </si>
  <si>
    <t>Current liabilities - w/o Provision (current)</t>
  </si>
  <si>
    <t>Fiscal Year</t>
  </si>
  <si>
    <t>Unlevered Free Cash Flow (mm)</t>
  </si>
  <si>
    <t xml:space="preserve">Unlevered Free Cash Flow </t>
  </si>
  <si>
    <t>Projection Year</t>
  </si>
  <si>
    <t>Present Value of Free Cash Flow</t>
  </si>
  <si>
    <t>Implied Share Price Calculation</t>
  </si>
  <si>
    <t>Sum of PV of FCF</t>
  </si>
  <si>
    <t>Growth Rate</t>
  </si>
  <si>
    <t>WACC</t>
  </si>
  <si>
    <t>Terminal Value</t>
  </si>
  <si>
    <t>PV of Terminal Value</t>
  </si>
  <si>
    <t>Enterprise Value</t>
  </si>
  <si>
    <t xml:space="preserve">   (+) Cash</t>
  </si>
  <si>
    <t xml:space="preserve">   (-) Debt</t>
  </si>
  <si>
    <t xml:space="preserve">   (-) Minority Interest</t>
  </si>
  <si>
    <t>Equity Value</t>
  </si>
  <si>
    <t>Diluted Shares Outstanding (mm)</t>
  </si>
  <si>
    <t>Implied Share Price</t>
  </si>
  <si>
    <t>Market Value of Equity</t>
  </si>
  <si>
    <t>Market Value of Debt</t>
  </si>
  <si>
    <t>Total Value of the Firm (E+D)</t>
  </si>
  <si>
    <t>Cost of equity</t>
  </si>
  <si>
    <t>Corporate tax rate</t>
  </si>
  <si>
    <t>Assumptions for WACC calculation (Data from both 2023A &amp; 9m2024A period)</t>
  </si>
  <si>
    <t>Market Value of Equity / Total Value</t>
  </si>
  <si>
    <t>Market Value of Debt / Total Value</t>
  </si>
  <si>
    <t>Before-tax cost of debt</t>
  </si>
  <si>
    <t>After-tax cost of debt</t>
  </si>
  <si>
    <t>Pretax Income</t>
  </si>
  <si>
    <t>Financial income as % of N.Revenue</t>
  </si>
  <si>
    <t>Financial expense as % of N.Revenue</t>
  </si>
  <si>
    <t>Financial Income</t>
  </si>
  <si>
    <t>Financial Expense</t>
  </si>
  <si>
    <t>Risk-free rate</t>
  </si>
  <si>
    <t>Beta</t>
  </si>
  <si>
    <t>Market risk premium</t>
  </si>
  <si>
    <t>3. We use Hybrid Approach in terms of Moving Average and Simple Average to forcast the assumption ratio</t>
  </si>
  <si>
    <t xml:space="preserve">Tax % of EBIT </t>
  </si>
  <si>
    <t>Assumptions for FCF Projections (2)</t>
  </si>
  <si>
    <t>29/11/2024</t>
  </si>
  <si>
    <t>28/11/2024</t>
  </si>
  <si>
    <t>27/11/2024</t>
  </si>
  <si>
    <t>26/11/2024</t>
  </si>
  <si>
    <t>25/11/2024</t>
  </si>
  <si>
    <t>22/11/2024</t>
  </si>
  <si>
    <t>21/11/2024</t>
  </si>
  <si>
    <t>20/11/2024</t>
  </si>
  <si>
    <t>19/11/2024</t>
  </si>
  <si>
    <t>18/11/2024</t>
  </si>
  <si>
    <t>15/11/2024</t>
  </si>
  <si>
    <t>14/11/2024</t>
  </si>
  <si>
    <t>Beta Calculation</t>
  </si>
  <si>
    <t>13/11/2024</t>
  </si>
  <si>
    <t>31/10/2024</t>
  </si>
  <si>
    <t>30/10/2024</t>
  </si>
  <si>
    <t>29/10/2024</t>
  </si>
  <si>
    <t>28/10/2024</t>
  </si>
  <si>
    <t>25/10/2024</t>
  </si>
  <si>
    <t>24/10/2024</t>
  </si>
  <si>
    <t>23/10/2024</t>
  </si>
  <si>
    <t>22/10/2024</t>
  </si>
  <si>
    <t>21/10/2024</t>
  </si>
  <si>
    <t>18/10/2024</t>
  </si>
  <si>
    <t>17/10/2024</t>
  </si>
  <si>
    <t>16/10/2024</t>
  </si>
  <si>
    <t>15/10/2024</t>
  </si>
  <si>
    <t>14/10/2024</t>
  </si>
  <si>
    <t>30/09/2024</t>
  </si>
  <si>
    <t>27/09/2024</t>
  </si>
  <si>
    <t>26/09/2024</t>
  </si>
  <si>
    <t>25/09/2024</t>
  </si>
  <si>
    <t>24/09/2024</t>
  </si>
  <si>
    <t>23/09/2024</t>
  </si>
  <si>
    <t>20/09/2024</t>
  </si>
  <si>
    <t>19/09/2024</t>
  </si>
  <si>
    <t>18/09/2024</t>
  </si>
  <si>
    <t>17/09/2024</t>
  </si>
  <si>
    <t>16/09/2024</t>
  </si>
  <si>
    <t>13/09/2024</t>
  </si>
  <si>
    <t>30/08/2024</t>
  </si>
  <si>
    <t>29/08/2024</t>
  </si>
  <si>
    <t>28/08/2024</t>
  </si>
  <si>
    <t>27/08/2024</t>
  </si>
  <si>
    <t>26/08/2024</t>
  </si>
  <si>
    <t>23/08/2024</t>
  </si>
  <si>
    <t>22/08/2024</t>
  </si>
  <si>
    <t>21/08/2024</t>
  </si>
  <si>
    <t>20/08/2024</t>
  </si>
  <si>
    <t>19/08/2024</t>
  </si>
  <si>
    <t>16/08/2024</t>
  </si>
  <si>
    <t>15/08/2024</t>
  </si>
  <si>
    <t>14/08/2024</t>
  </si>
  <si>
    <t>13/08/2024</t>
  </si>
  <si>
    <t>31/07/2024</t>
  </si>
  <si>
    <t>30/07/2024</t>
  </si>
  <si>
    <t>29/07/2024</t>
  </si>
  <si>
    <t>26/07/2024</t>
  </si>
  <si>
    <t>25/07/2024</t>
  </si>
  <si>
    <t>24/07/2024</t>
  </si>
  <si>
    <t>23/07/2024</t>
  </si>
  <si>
    <t>22/07/2024</t>
  </si>
  <si>
    <t>19/07/2024</t>
  </si>
  <si>
    <t>18/07/2024</t>
  </si>
  <si>
    <t>17/07/2024</t>
  </si>
  <si>
    <t>16/07/2024</t>
  </si>
  <si>
    <t>15/07/2024</t>
  </si>
  <si>
    <t>28/06/2024</t>
  </si>
  <si>
    <t>27/06/2024</t>
  </si>
  <si>
    <t>26/06/2024</t>
  </si>
  <si>
    <t>25/06/2024</t>
  </si>
  <si>
    <t>24/06/2024</t>
  </si>
  <si>
    <t>21/06/2024</t>
  </si>
  <si>
    <t>20/06/2024</t>
  </si>
  <si>
    <t>19/06/2024</t>
  </si>
  <si>
    <t>18/06/2024</t>
  </si>
  <si>
    <t>17/06/2024</t>
  </si>
  <si>
    <t>14/06/2024</t>
  </si>
  <si>
    <t>13/06/2024</t>
  </si>
  <si>
    <t>31/05/2024</t>
  </si>
  <si>
    <t>30/05/2024</t>
  </si>
  <si>
    <t>29/05/2024</t>
  </si>
  <si>
    <t>28/05/2024</t>
  </si>
  <si>
    <t>27/05/2024</t>
  </si>
  <si>
    <t>24/05/2024</t>
  </si>
  <si>
    <t>23/05/2024</t>
  </si>
  <si>
    <t>22/05/2024</t>
  </si>
  <si>
    <t>21/05/2024</t>
  </si>
  <si>
    <t>20/05/2024</t>
  </si>
  <si>
    <t>17/05/2024</t>
  </si>
  <si>
    <t>16/05/2024</t>
  </si>
  <si>
    <t>15/05/2024</t>
  </si>
  <si>
    <t>14/05/2024</t>
  </si>
  <si>
    <t>13/05/2024</t>
  </si>
  <si>
    <t>26/04/2024</t>
  </si>
  <si>
    <t>25/04/2024</t>
  </si>
  <si>
    <t>24/04/2024</t>
  </si>
  <si>
    <t>23/04/2024</t>
  </si>
  <si>
    <t>22/04/2024</t>
  </si>
  <si>
    <t>19/04/2024</t>
  </si>
  <si>
    <t>17/04/2024</t>
  </si>
  <si>
    <t>16/04/2024</t>
  </si>
  <si>
    <t>15/04/2024</t>
  </si>
  <si>
    <t>29/03/2024</t>
  </si>
  <si>
    <t>28/03/2024</t>
  </si>
  <si>
    <t>27/03/2024</t>
  </si>
  <si>
    <t>26/03/2024</t>
  </si>
  <si>
    <t>25/03/2024</t>
  </si>
  <si>
    <t>22/03/2024</t>
  </si>
  <si>
    <t>21/03/2024</t>
  </si>
  <si>
    <t>20/03/2024</t>
  </si>
  <si>
    <t>19/03/2024</t>
  </si>
  <si>
    <t>18/03/2024</t>
  </si>
  <si>
    <t>15/03/2024</t>
  </si>
  <si>
    <t>14/03/2024</t>
  </si>
  <si>
    <t>13/03/2024</t>
  </si>
  <si>
    <t>29/02/2024</t>
  </si>
  <si>
    <t>28/02/2024</t>
  </si>
  <si>
    <t>27/02/2024</t>
  </si>
  <si>
    <t>26/02/2024</t>
  </si>
  <si>
    <t>23/02/2024</t>
  </si>
  <si>
    <t>22/02/2024</t>
  </si>
  <si>
    <t>21/02/2024</t>
  </si>
  <si>
    <t>20/02/2024</t>
  </si>
  <si>
    <t>19/02/2024</t>
  </si>
  <si>
    <t>16/02/2024</t>
  </si>
  <si>
    <t>15/02/2024</t>
  </si>
  <si>
    <t>31/01/2024</t>
  </si>
  <si>
    <t>30/01/2024</t>
  </si>
  <si>
    <t>29/01/2024</t>
  </si>
  <si>
    <t>26/01/2024</t>
  </si>
  <si>
    <t>25/01/2024</t>
  </si>
  <si>
    <t>24/01/2024</t>
  </si>
  <si>
    <t>23/01/2024</t>
  </si>
  <si>
    <t>22/01/2024</t>
  </si>
  <si>
    <t>19/01/2024</t>
  </si>
  <si>
    <t>18/01/2024</t>
  </si>
  <si>
    <t>17/01/2024</t>
  </si>
  <si>
    <t>16/01/2024</t>
  </si>
  <si>
    <t>15/01/2024</t>
  </si>
  <si>
    <t>30/11/2023</t>
  </si>
  <si>
    <t>29/11/2023</t>
  </si>
  <si>
    <t>28/11/2023</t>
  </si>
  <si>
    <t>27/11/2023</t>
  </si>
  <si>
    <t>24/11/2023</t>
  </si>
  <si>
    <t>23/11/2023</t>
  </si>
  <si>
    <t>22/11/2023</t>
  </si>
  <si>
    <t>21/11/2023</t>
  </si>
  <si>
    <t>20/11/2023</t>
  </si>
  <si>
    <t>17/11/2023</t>
  </si>
  <si>
    <t>16/11/2023</t>
  </si>
  <si>
    <t>15/11/2023</t>
  </si>
  <si>
    <t>29/12/2023</t>
  </si>
  <si>
    <t>28/12/2023</t>
  </si>
  <si>
    <t>27/12/2023</t>
  </si>
  <si>
    <t>26/12/2023</t>
  </si>
  <si>
    <t>25/12/2023</t>
  </si>
  <si>
    <t>22/12/2023</t>
  </si>
  <si>
    <t>21/12/2023</t>
  </si>
  <si>
    <t>20/12/2023</t>
  </si>
  <si>
    <t>19/12/2023</t>
  </si>
  <si>
    <t>18/12/2023</t>
  </si>
  <si>
    <t>15/12/2023</t>
  </si>
  <si>
    <t>14/12/2023</t>
  </si>
  <si>
    <t>13/12/2023</t>
  </si>
  <si>
    <t>14/11/2023</t>
  </si>
  <si>
    <t>13/11/2023</t>
  </si>
  <si>
    <t>31/10/2023</t>
  </si>
  <si>
    <t>30/10/2023</t>
  </si>
  <si>
    <t>27/10/2023</t>
  </si>
  <si>
    <t>26/10/2023</t>
  </si>
  <si>
    <t>25/10/2023</t>
  </si>
  <si>
    <t>24/10/2023</t>
  </si>
  <si>
    <t>23/10/2023</t>
  </si>
  <si>
    <t>20/10/2023</t>
  </si>
  <si>
    <t>19/10/2023</t>
  </si>
  <si>
    <t>18/10/2023</t>
  </si>
  <si>
    <t>17/10/2023</t>
  </si>
  <si>
    <t>16/10/2023</t>
  </si>
  <si>
    <t>13/10/2023</t>
  </si>
  <si>
    <t>29/09/2023</t>
  </si>
  <si>
    <t>28/09/2023</t>
  </si>
  <si>
    <t>27/09/2023</t>
  </si>
  <si>
    <t>26/09/2023</t>
  </si>
  <si>
    <t>25/09/2023</t>
  </si>
  <si>
    <t>22/09/2023</t>
  </si>
  <si>
    <t>21/09/2023</t>
  </si>
  <si>
    <t>20/09/2023</t>
  </si>
  <si>
    <t>19/09/2023</t>
  </si>
  <si>
    <t>18/09/2023</t>
  </si>
  <si>
    <t>15/09/2023</t>
  </si>
  <si>
    <t>14/09/2023</t>
  </si>
  <si>
    <t>13/09/2023</t>
  </si>
  <si>
    <t>31/08/2023</t>
  </si>
  <si>
    <t>30/08/2023</t>
  </si>
  <si>
    <t>29/08/2023</t>
  </si>
  <si>
    <t>28/08/2023</t>
  </si>
  <si>
    <t>25/08/2023</t>
  </si>
  <si>
    <t>24/08/2023</t>
  </si>
  <si>
    <t>23/08/2023</t>
  </si>
  <si>
    <t>22/08/2023</t>
  </si>
  <si>
    <t>21/08/2023</t>
  </si>
  <si>
    <t>18/08/2023</t>
  </si>
  <si>
    <t>17/08/2023</t>
  </si>
  <si>
    <t>16/08/2023</t>
  </si>
  <si>
    <t>15/08/2023</t>
  </si>
  <si>
    <t>14/08/2023</t>
  </si>
  <si>
    <t>31/07/2023</t>
  </si>
  <si>
    <t>28/07/2023</t>
  </si>
  <si>
    <t>27/07/2023</t>
  </si>
  <si>
    <t>26/07/2023</t>
  </si>
  <si>
    <t>25/07/2023</t>
  </si>
  <si>
    <t>24/07/2023</t>
  </si>
  <si>
    <t>21/07/2023</t>
  </si>
  <si>
    <t>20/07/2023</t>
  </si>
  <si>
    <t>19/07/2023</t>
  </si>
  <si>
    <t>18/07/2023</t>
  </si>
  <si>
    <t>17/07/2023</t>
  </si>
  <si>
    <t>14/07/2023</t>
  </si>
  <si>
    <t>13/07/2023</t>
  </si>
  <si>
    <t>30/06/2023</t>
  </si>
  <si>
    <t>29/06/2023</t>
  </si>
  <si>
    <t>28/06/2023</t>
  </si>
  <si>
    <t>27/06/2023</t>
  </si>
  <si>
    <t>26/06/2023</t>
  </si>
  <si>
    <t>23/06/2023</t>
  </si>
  <si>
    <t>22/06/2023</t>
  </si>
  <si>
    <t>21/06/2023</t>
  </si>
  <si>
    <t>20/06/2023</t>
  </si>
  <si>
    <t>19/06/2023</t>
  </si>
  <si>
    <t>16/06/2023</t>
  </si>
  <si>
    <t>15/06/2023</t>
  </si>
  <si>
    <t>14/06/2023</t>
  </si>
  <si>
    <t>13/06/2023</t>
  </si>
  <si>
    <t>31/05/2023</t>
  </si>
  <si>
    <t>30/05/2023</t>
  </si>
  <si>
    <t>29/05/2023</t>
  </si>
  <si>
    <t>26/05/2023</t>
  </si>
  <si>
    <t>25/05/2023</t>
  </si>
  <si>
    <t>24/05/2023</t>
  </si>
  <si>
    <t>23/05/2023</t>
  </si>
  <si>
    <t>22/05/2023</t>
  </si>
  <si>
    <t>19/05/2023</t>
  </si>
  <si>
    <t>18/05/2023</t>
  </si>
  <si>
    <t>17/05/2023</t>
  </si>
  <si>
    <t>16/05/2023</t>
  </si>
  <si>
    <t>15/05/2023</t>
  </si>
  <si>
    <t>28/04/2023</t>
  </si>
  <si>
    <t>27/04/2023</t>
  </si>
  <si>
    <t>26/04/2023</t>
  </si>
  <si>
    <t>25/04/2023</t>
  </si>
  <si>
    <t>24/04/2023</t>
  </si>
  <si>
    <t>21/04/2023</t>
  </si>
  <si>
    <t>20/04/2023</t>
  </si>
  <si>
    <t>19/04/2023</t>
  </si>
  <si>
    <t>18/04/2023</t>
  </si>
  <si>
    <t>17/04/2023</t>
  </si>
  <si>
    <t>14/04/2023</t>
  </si>
  <si>
    <t>13/04/2023</t>
  </si>
  <si>
    <t>31/03/2023</t>
  </si>
  <si>
    <t>30/03/2023</t>
  </si>
  <si>
    <t>29/03/2023</t>
  </si>
  <si>
    <t>28/03/2023</t>
  </si>
  <si>
    <t>27/03/2023</t>
  </si>
  <si>
    <t>24/03/2023</t>
  </si>
  <si>
    <t>23/03/2023</t>
  </si>
  <si>
    <t>22/03/2023</t>
  </si>
  <si>
    <t>21/03/2023</t>
  </si>
  <si>
    <t>20/03/2023</t>
  </si>
  <si>
    <t>17/03/2023</t>
  </si>
  <si>
    <t>16/03/2023</t>
  </si>
  <si>
    <t>15/03/2023</t>
  </si>
  <si>
    <t>14/03/2023</t>
  </si>
  <si>
    <t>13/03/2023</t>
  </si>
  <si>
    <t>28/02/2023</t>
  </si>
  <si>
    <t>27/02/2023</t>
  </si>
  <si>
    <t>24/02/2023</t>
  </si>
  <si>
    <t>23/02/2023</t>
  </si>
  <si>
    <t>22/02/2023</t>
  </si>
  <si>
    <t>21/02/2023</t>
  </si>
  <si>
    <t>20/02/2023</t>
  </si>
  <si>
    <t>17/02/2023</t>
  </si>
  <si>
    <t>16/02/2023</t>
  </si>
  <si>
    <t>15/02/2023</t>
  </si>
  <si>
    <t>14/02/2023</t>
  </si>
  <si>
    <t>13/02/2023</t>
  </si>
  <si>
    <t>31/01/2023</t>
  </si>
  <si>
    <t>30/01/2023</t>
  </si>
  <si>
    <t>27/01/2023</t>
  </si>
  <si>
    <t>19/01/2023</t>
  </si>
  <si>
    <t>18/01/2023</t>
  </si>
  <si>
    <t>17/01/2023</t>
  </si>
  <si>
    <t>16/01/2023</t>
  </si>
  <si>
    <t>13/01/2023</t>
  </si>
  <si>
    <t>30/12/2022</t>
  </si>
  <si>
    <t>29/12/2022</t>
  </si>
  <si>
    <t>28/12/2022</t>
  </si>
  <si>
    <t>27/12/2022</t>
  </si>
  <si>
    <t>26/12/2022</t>
  </si>
  <si>
    <t>23/12/2022</t>
  </si>
  <si>
    <t>22/12/2022</t>
  </si>
  <si>
    <t>21/12/2022</t>
  </si>
  <si>
    <t>20/12/2022</t>
  </si>
  <si>
    <t>19/12/2022</t>
  </si>
  <si>
    <t>16/12/2022</t>
  </si>
  <si>
    <t>15/12/2022</t>
  </si>
  <si>
    <t>14/12/2022</t>
  </si>
  <si>
    <t>13/12/2022</t>
  </si>
  <si>
    <t>30/11/2022</t>
  </si>
  <si>
    <t>29/11/2022</t>
  </si>
  <si>
    <t>28/11/2022</t>
  </si>
  <si>
    <t>25/11/2022</t>
  </si>
  <si>
    <t>24/11/2022</t>
  </si>
  <si>
    <t>23/11/2022</t>
  </si>
  <si>
    <t>22/11/2022</t>
  </si>
  <si>
    <t>21/11/2022</t>
  </si>
  <si>
    <t>18/11/2022</t>
  </si>
  <si>
    <t>17/11/2022</t>
  </si>
  <si>
    <t>16/11/2022</t>
  </si>
  <si>
    <t>15/11/2022</t>
  </si>
  <si>
    <t>14/11/2022</t>
  </si>
  <si>
    <t>31/10/2022</t>
  </si>
  <si>
    <t>28/10/2022</t>
  </si>
  <si>
    <t>27/10/2022</t>
  </si>
  <si>
    <t>26/10/2022</t>
  </si>
  <si>
    <t>25/10/2022</t>
  </si>
  <si>
    <t>24/10/2022</t>
  </si>
  <si>
    <t>21/10/2022</t>
  </si>
  <si>
    <t>20/10/2022</t>
  </si>
  <si>
    <t>19/10/2022</t>
  </si>
  <si>
    <t>18/10/2022</t>
  </si>
  <si>
    <t>17/10/2022</t>
  </si>
  <si>
    <t>14/10/2022</t>
  </si>
  <si>
    <t>13/10/2022</t>
  </si>
  <si>
    <t>30/09/2022</t>
  </si>
  <si>
    <t>29/09/2022</t>
  </si>
  <si>
    <t>28/09/2022</t>
  </si>
  <si>
    <t>27/09/2022</t>
  </si>
  <si>
    <t>26/09/2022</t>
  </si>
  <si>
    <t>23/09/2022</t>
  </si>
  <si>
    <t>22/09/2022</t>
  </si>
  <si>
    <t>21/09/2022</t>
  </si>
  <si>
    <t>20/09/2022</t>
  </si>
  <si>
    <t>19/09/2022</t>
  </si>
  <si>
    <t>16/09/2022</t>
  </si>
  <si>
    <t>15/09/2022</t>
  </si>
  <si>
    <t>14/09/2022</t>
  </si>
  <si>
    <t>13/09/2022</t>
  </si>
  <si>
    <t>31/08/2022</t>
  </si>
  <si>
    <t>30/08/2022</t>
  </si>
  <si>
    <t>29/08/2022</t>
  </si>
  <si>
    <t>26/08/2022</t>
  </si>
  <si>
    <t>25/08/2022</t>
  </si>
  <si>
    <t>24/08/2022</t>
  </si>
  <si>
    <t>23/08/2022</t>
  </si>
  <si>
    <t>22/08/2022</t>
  </si>
  <si>
    <t>19/08/2022</t>
  </si>
  <si>
    <t>18/08/2022</t>
  </si>
  <si>
    <t>17/08/2022</t>
  </si>
  <si>
    <t>16/08/2022</t>
  </si>
  <si>
    <t>15/08/2022</t>
  </si>
  <si>
    <t>29/07/2022</t>
  </si>
  <si>
    <t>28/07/2022</t>
  </si>
  <si>
    <t>27/07/2022</t>
  </si>
  <si>
    <t>26/07/2022</t>
  </si>
  <si>
    <t>25/07/2022</t>
  </si>
  <si>
    <t>22/07/2022</t>
  </si>
  <si>
    <t>21/07/2022</t>
  </si>
  <si>
    <t>20/07/2022</t>
  </si>
  <si>
    <t>19/07/2022</t>
  </si>
  <si>
    <t>18/07/2022</t>
  </si>
  <si>
    <t>15/07/2022</t>
  </si>
  <si>
    <t>14/07/2022</t>
  </si>
  <si>
    <t>13/07/2022</t>
  </si>
  <si>
    <t>30/06/2022</t>
  </si>
  <si>
    <t>29/06/2022</t>
  </si>
  <si>
    <t>28/06/2022</t>
  </si>
  <si>
    <t>27/06/2022</t>
  </si>
  <si>
    <t>24/06/2022</t>
  </si>
  <si>
    <t>23/06/2022</t>
  </si>
  <si>
    <t>22/06/2022</t>
  </si>
  <si>
    <t>21/06/2022</t>
  </si>
  <si>
    <t>20/06/2022</t>
  </si>
  <si>
    <t>17/06/2022</t>
  </si>
  <si>
    <t>16/06/2022</t>
  </si>
  <si>
    <t>15/06/2022</t>
  </si>
  <si>
    <t>14/06/2022</t>
  </si>
  <si>
    <t>13/06/2022</t>
  </si>
  <si>
    <t>31/05/2022</t>
  </si>
  <si>
    <t>30/05/2022</t>
  </si>
  <si>
    <t>27/05/2022</t>
  </si>
  <si>
    <t>26/05/2022</t>
  </si>
  <si>
    <t>25/05/2022</t>
  </si>
  <si>
    <t>24/05/2022</t>
  </si>
  <si>
    <t>23/05/2022</t>
  </si>
  <si>
    <t>20/05/2022</t>
  </si>
  <si>
    <t>19/05/2022</t>
  </si>
  <si>
    <t>18/05/2022</t>
  </si>
  <si>
    <t>17/05/2022</t>
  </si>
  <si>
    <t>16/05/2022</t>
  </si>
  <si>
    <t>13/05/2022</t>
  </si>
  <si>
    <t>29/04/2022</t>
  </si>
  <si>
    <t>28/04/2022</t>
  </si>
  <si>
    <t>27/04/2022</t>
  </si>
  <si>
    <t>26/04/2022</t>
  </si>
  <si>
    <t>25/04/2022</t>
  </si>
  <si>
    <t>22/04/2022</t>
  </si>
  <si>
    <t>21/04/2022</t>
  </si>
  <si>
    <t>20/04/2022</t>
  </si>
  <si>
    <t>19/04/2022</t>
  </si>
  <si>
    <t>18/04/2022</t>
  </si>
  <si>
    <t>15/04/2022</t>
  </si>
  <si>
    <t>14/04/2022</t>
  </si>
  <si>
    <t>13/04/2022</t>
  </si>
  <si>
    <t>31/03/2022</t>
  </si>
  <si>
    <t>30/03/2022</t>
  </si>
  <si>
    <t>29/03/2022</t>
  </si>
  <si>
    <t>28/03/2022</t>
  </si>
  <si>
    <t>25/03/2022</t>
  </si>
  <si>
    <t>24/03/2022</t>
  </si>
  <si>
    <t>23/03/2022</t>
  </si>
  <si>
    <t>22/03/2022</t>
  </si>
  <si>
    <t>21/03/2022</t>
  </si>
  <si>
    <t>18/03/2022</t>
  </si>
  <si>
    <t>17/03/2022</t>
  </si>
  <si>
    <t>16/03/2022</t>
  </si>
  <si>
    <t>15/03/2022</t>
  </si>
  <si>
    <t>14/03/2022</t>
  </si>
  <si>
    <t>28/02/2022</t>
  </si>
  <si>
    <t>25/02/2022</t>
  </si>
  <si>
    <t>24/02/2022</t>
  </si>
  <si>
    <t>23/02/2022</t>
  </si>
  <si>
    <t>22/02/2022</t>
  </si>
  <si>
    <t>21/02/2022</t>
  </si>
  <si>
    <t>18/02/2022</t>
  </si>
  <si>
    <t>17/02/2022</t>
  </si>
  <si>
    <t>16/02/2022</t>
  </si>
  <si>
    <t>15/02/2022</t>
  </si>
  <si>
    <t>14/02/2022</t>
  </si>
  <si>
    <t>28/01/2022</t>
  </si>
  <si>
    <t>27/01/2022</t>
  </si>
  <si>
    <t>26/01/2022</t>
  </si>
  <si>
    <t>25/01/2022</t>
  </si>
  <si>
    <t>24/01/2022</t>
  </si>
  <si>
    <t>21/01/2022</t>
  </si>
  <si>
    <t>20/01/2022</t>
  </si>
  <si>
    <t>19/01/2022</t>
  </si>
  <si>
    <t>18/01/2022</t>
  </si>
  <si>
    <t>17/01/2022</t>
  </si>
  <si>
    <t>14/01/2022</t>
  </si>
  <si>
    <t>13/01/2022</t>
  </si>
  <si>
    <t>DPM Change %</t>
  </si>
  <si>
    <t>VNINDEX Change %</t>
  </si>
  <si>
    <t>31/12/2021</t>
  </si>
  <si>
    <t>30/12/2021</t>
  </si>
  <si>
    <t>29/12/2021</t>
  </si>
  <si>
    <t>28/12/2021</t>
  </si>
  <si>
    <t>27/12/2021</t>
  </si>
  <si>
    <t>24/12/2021</t>
  </si>
  <si>
    <t>23/12/2021</t>
  </si>
  <si>
    <t>22/12/2021</t>
  </si>
  <si>
    <t>21/12/2021</t>
  </si>
  <si>
    <t>20/12/2021</t>
  </si>
  <si>
    <t>17/12/2021</t>
  </si>
  <si>
    <t>16/12/2021</t>
  </si>
  <si>
    <t>15/12/2021</t>
  </si>
  <si>
    <t>14/12/2021</t>
  </si>
  <si>
    <t>13/12/2021</t>
  </si>
  <si>
    <t>30/11/2021</t>
  </si>
  <si>
    <t>29/11/2021</t>
  </si>
  <si>
    <t>26/11/2021</t>
  </si>
  <si>
    <t>25/11/2021</t>
  </si>
  <si>
    <t>24/11/2021</t>
  </si>
  <si>
    <t>23/11/2021</t>
  </si>
  <si>
    <t>22/11/2021</t>
  </si>
  <si>
    <t>19/11/2021</t>
  </si>
  <si>
    <t>18/11/2021</t>
  </si>
  <si>
    <t>17/11/2021</t>
  </si>
  <si>
    <t>16/11/2021</t>
  </si>
  <si>
    <t>15/11/2021</t>
  </si>
  <si>
    <t>29/10/2021</t>
  </si>
  <si>
    <t>28/10/2021</t>
  </si>
  <si>
    <t>27/10/2021</t>
  </si>
  <si>
    <t>26/10/2021</t>
  </si>
  <si>
    <t>25/10/2021</t>
  </si>
  <si>
    <t>22/10/2021</t>
  </si>
  <si>
    <t>21/10/2021</t>
  </si>
  <si>
    <t>20/10/2021</t>
  </si>
  <si>
    <t>19/10/2021</t>
  </si>
  <si>
    <t>18/10/2021</t>
  </si>
  <si>
    <t>15/10/2021</t>
  </si>
  <si>
    <t>14/10/2021</t>
  </si>
  <si>
    <t>13/10/2021</t>
  </si>
  <si>
    <t>30/09/2021</t>
  </si>
  <si>
    <t>29/09/2021</t>
  </si>
  <si>
    <t>28/09/2021</t>
  </si>
  <si>
    <t>27/09/2021</t>
  </si>
  <si>
    <t>24/09/2021</t>
  </si>
  <si>
    <t>23/09/2021</t>
  </si>
  <si>
    <t>22/09/2021</t>
  </si>
  <si>
    <t>21/09/2021</t>
  </si>
  <si>
    <t>20/09/2021</t>
  </si>
  <si>
    <t>17/09/2021</t>
  </si>
  <si>
    <t>16/09/2021</t>
  </si>
  <si>
    <t>15/09/2021</t>
  </si>
  <si>
    <t>14/09/2021</t>
  </si>
  <si>
    <t>13/09/2021</t>
  </si>
  <si>
    <t>31/08/2021</t>
  </si>
  <si>
    <t>30/08/2021</t>
  </si>
  <si>
    <t>27/08/2021</t>
  </si>
  <si>
    <t>26/08/2021</t>
  </si>
  <si>
    <t>25/08/2021</t>
  </si>
  <si>
    <t>24/08/2021</t>
  </si>
  <si>
    <t>23/08/2021</t>
  </si>
  <si>
    <t>20/08/2021</t>
  </si>
  <si>
    <t>19/08/2021</t>
  </si>
  <si>
    <t>18/08/2021</t>
  </si>
  <si>
    <t>17/08/2021</t>
  </si>
  <si>
    <t>16/08/2021</t>
  </si>
  <si>
    <t>13/08/2021</t>
  </si>
  <si>
    <t>30/07/2021</t>
  </si>
  <si>
    <t>29/07/2021</t>
  </si>
  <si>
    <t>28/07/2021</t>
  </si>
  <si>
    <t>27/07/2021</t>
  </si>
  <si>
    <t>26/07/2021</t>
  </si>
  <si>
    <t>23/07/2021</t>
  </si>
  <si>
    <t>22/07/2021</t>
  </si>
  <si>
    <t>21/07/2021</t>
  </si>
  <si>
    <t>20/07/2021</t>
  </si>
  <si>
    <t>19/07/2021</t>
  </si>
  <si>
    <t>16/07/2021</t>
  </si>
  <si>
    <t>15/07/2021</t>
  </si>
  <si>
    <t>14/07/2021</t>
  </si>
  <si>
    <t>13/07/2021</t>
  </si>
  <si>
    <t>30/06/2021</t>
  </si>
  <si>
    <t>29/06/2021</t>
  </si>
  <si>
    <t>28/06/2021</t>
  </si>
  <si>
    <t>25/06/2021</t>
  </si>
  <si>
    <t>24/06/2021</t>
  </si>
  <si>
    <t>23/06/2021</t>
  </si>
  <si>
    <t>22/06/2021</t>
  </si>
  <si>
    <t>21/06/2021</t>
  </si>
  <si>
    <t>18/06/2021</t>
  </si>
  <si>
    <t>17/06/2021</t>
  </si>
  <si>
    <t>16/06/2021</t>
  </si>
  <si>
    <t>15/06/2021</t>
  </si>
  <si>
    <t>14/06/2021</t>
  </si>
  <si>
    <t>31/05/2021</t>
  </si>
  <si>
    <t>28/05/2021</t>
  </si>
  <si>
    <t>27/05/2021</t>
  </si>
  <si>
    <t>26/05/2021</t>
  </si>
  <si>
    <t>25/05/2021</t>
  </si>
  <si>
    <t>24/05/2021</t>
  </si>
  <si>
    <t>21/05/2021</t>
  </si>
  <si>
    <t>20/05/2021</t>
  </si>
  <si>
    <t>19/05/2021</t>
  </si>
  <si>
    <t>18/05/2021</t>
  </si>
  <si>
    <t>17/05/2021</t>
  </si>
  <si>
    <t>14/05/2021</t>
  </si>
  <si>
    <t>13/05/2021</t>
  </si>
  <si>
    <t>29/04/2021</t>
  </si>
  <si>
    <t>28/04/2021</t>
  </si>
  <si>
    <t>27/04/2021</t>
  </si>
  <si>
    <t>26/04/2021</t>
  </si>
  <si>
    <t>23/04/2021</t>
  </si>
  <si>
    <t>22/04/2021</t>
  </si>
  <si>
    <t>20/04/2021</t>
  </si>
  <si>
    <t>19/04/2021</t>
  </si>
  <si>
    <t>16/04/2021</t>
  </si>
  <si>
    <t>15/04/2021</t>
  </si>
  <si>
    <t>14/04/2021</t>
  </si>
  <si>
    <t>13/04/2021</t>
  </si>
  <si>
    <t>31/03/2021</t>
  </si>
  <si>
    <t>30/03/2021</t>
  </si>
  <si>
    <t>29/03/2021</t>
  </si>
  <si>
    <t>26/03/2021</t>
  </si>
  <si>
    <t>25/03/2021</t>
  </si>
  <si>
    <t>24/03/2021</t>
  </si>
  <si>
    <t>23/03/2021</t>
  </si>
  <si>
    <t>22/03/2021</t>
  </si>
  <si>
    <t>19/03/2021</t>
  </si>
  <si>
    <t>18/03/2021</t>
  </si>
  <si>
    <t>17/03/2021</t>
  </si>
  <si>
    <t>16/03/2021</t>
  </si>
  <si>
    <t>15/03/2021</t>
  </si>
  <si>
    <t>26/02/2021</t>
  </si>
  <si>
    <t>25/02/2021</t>
  </si>
  <si>
    <t>24/02/2021</t>
  </si>
  <si>
    <t>23/02/2021</t>
  </si>
  <si>
    <t>22/02/2021</t>
  </si>
  <si>
    <t>19/02/2021</t>
  </si>
  <si>
    <t>18/02/2021</t>
  </si>
  <si>
    <t>17/02/2021</t>
  </si>
  <si>
    <t>29/01/2021</t>
  </si>
  <si>
    <t>28/01/2021</t>
  </si>
  <si>
    <t>27/01/2021</t>
  </si>
  <si>
    <t>26/01/2021</t>
  </si>
  <si>
    <t>25/01/2021</t>
  </si>
  <si>
    <t>22/01/2021</t>
  </si>
  <si>
    <t>21/01/2021</t>
  </si>
  <si>
    <t>20/01/2021</t>
  </si>
  <si>
    <t>19/01/2021</t>
  </si>
  <si>
    <t>18/01/2021</t>
  </si>
  <si>
    <t>15/01/2021</t>
  </si>
  <si>
    <t>14/01/2021</t>
  </si>
  <si>
    <t>13/01/2021</t>
  </si>
  <si>
    <t>31/12/2020</t>
  </si>
  <si>
    <t>30/12/2020</t>
  </si>
  <si>
    <t>29/12/2020</t>
  </si>
  <si>
    <t>28/12/2020</t>
  </si>
  <si>
    <t>25/12/2020</t>
  </si>
  <si>
    <t>24/12/2020</t>
  </si>
  <si>
    <t>23/12/2020</t>
  </si>
  <si>
    <t>22/12/2020</t>
  </si>
  <si>
    <t>21/12/2020</t>
  </si>
  <si>
    <t>18/12/2020</t>
  </si>
  <si>
    <t>17/12/2020</t>
  </si>
  <si>
    <t>16/12/2020</t>
  </si>
  <si>
    <t>15/12/2020</t>
  </si>
  <si>
    <t>14/12/2020</t>
  </si>
  <si>
    <t>30/11/2020</t>
  </si>
  <si>
    <t>27/11/2020</t>
  </si>
  <si>
    <t>26/11/2020</t>
  </si>
  <si>
    <t>25/11/2020</t>
  </si>
  <si>
    <t>24/11/2020</t>
  </si>
  <si>
    <t>23/11/2020</t>
  </si>
  <si>
    <t>20/11/2020</t>
  </si>
  <si>
    <t>19/11/2020</t>
  </si>
  <si>
    <t>18/11/2020</t>
  </si>
  <si>
    <t>17/11/2020</t>
  </si>
  <si>
    <t>16/11/2020</t>
  </si>
  <si>
    <t>13/11/2020</t>
  </si>
  <si>
    <t>30/10/2020</t>
  </si>
  <si>
    <t>29/10/2020</t>
  </si>
  <si>
    <t>28/10/2020</t>
  </si>
  <si>
    <t>27/10/2020</t>
  </si>
  <si>
    <t>26/10/2020</t>
  </si>
  <si>
    <t>23/10/2020</t>
  </si>
  <si>
    <t>22/10/2020</t>
  </si>
  <si>
    <t>21/10/2020</t>
  </si>
  <si>
    <t>20/10/2020</t>
  </si>
  <si>
    <t>19/10/2020</t>
  </si>
  <si>
    <t>16/10/2020</t>
  </si>
  <si>
    <t>15/10/2020</t>
  </si>
  <si>
    <t>14/10/2020</t>
  </si>
  <si>
    <t>13/10/2020</t>
  </si>
  <si>
    <t>30/09/2020</t>
  </si>
  <si>
    <t>29/09/2020</t>
  </si>
  <si>
    <t>28/09/2020</t>
  </si>
  <si>
    <t>25/09/2020</t>
  </si>
  <si>
    <t>24/09/2020</t>
  </si>
  <si>
    <t>23/09/2020</t>
  </si>
  <si>
    <t>22/09/2020</t>
  </si>
  <si>
    <t>21/09/2020</t>
  </si>
  <si>
    <t>18/09/2020</t>
  </si>
  <si>
    <t>17/09/2020</t>
  </si>
  <si>
    <t>16/09/2020</t>
  </si>
  <si>
    <t>15/09/2020</t>
  </si>
  <si>
    <t>14/09/2020</t>
  </si>
  <si>
    <t>31/08/2020</t>
  </si>
  <si>
    <t>28/08/2020</t>
  </si>
  <si>
    <t>27/08/2020</t>
  </si>
  <si>
    <t>26/08/2020</t>
  </si>
  <si>
    <t>25/08/2020</t>
  </si>
  <si>
    <t>24/08/2020</t>
  </si>
  <si>
    <t>21/08/2020</t>
  </si>
  <si>
    <t>20/08/2020</t>
  </si>
  <si>
    <t>19/08/2020</t>
  </si>
  <si>
    <t>18/08/2020</t>
  </si>
  <si>
    <t>17/08/2020</t>
  </si>
  <si>
    <t>14/08/2020</t>
  </si>
  <si>
    <t>13/08/2020</t>
  </si>
  <si>
    <t>31/07/2020</t>
  </si>
  <si>
    <t>30/07/2020</t>
  </si>
  <si>
    <t>29/07/2020</t>
  </si>
  <si>
    <t>28/07/2020</t>
  </si>
  <si>
    <t>27/07/2020</t>
  </si>
  <si>
    <t>24/07/2020</t>
  </si>
  <si>
    <t>23/07/2020</t>
  </si>
  <si>
    <t>22/07/2020</t>
  </si>
  <si>
    <t>21/07/2020</t>
  </si>
  <si>
    <t>20/07/2020</t>
  </si>
  <si>
    <t>17/07/2020</t>
  </si>
  <si>
    <t>16/07/2020</t>
  </si>
  <si>
    <t>15/07/2020</t>
  </si>
  <si>
    <t>14/07/2020</t>
  </si>
  <si>
    <t>13/07/2020</t>
  </si>
  <si>
    <t>30/06/2020</t>
  </si>
  <si>
    <t>29/06/2020</t>
  </si>
  <si>
    <t>26/06/2020</t>
  </si>
  <si>
    <t>25/06/2020</t>
  </si>
  <si>
    <t>24/06/2020</t>
  </si>
  <si>
    <t>23/06/2020</t>
  </si>
  <si>
    <t>22/06/2020</t>
  </si>
  <si>
    <t>19/06/2020</t>
  </si>
  <si>
    <t>18/06/2020</t>
  </si>
  <si>
    <t>17/06/2020</t>
  </si>
  <si>
    <t>16/06/2020</t>
  </si>
  <si>
    <t>15/06/2020</t>
  </si>
  <si>
    <t>29/05/2020</t>
  </si>
  <si>
    <t>28/05/2020</t>
  </si>
  <si>
    <t>27/05/2020</t>
  </si>
  <si>
    <t>26/05/2020</t>
  </si>
  <si>
    <t>25/05/2020</t>
  </si>
  <si>
    <t>22/05/2020</t>
  </si>
  <si>
    <t>21/05/2020</t>
  </si>
  <si>
    <t>20/05/2020</t>
  </si>
  <si>
    <t>19/05/2020</t>
  </si>
  <si>
    <t>18/05/2020</t>
  </si>
  <si>
    <t>15/05/2020</t>
  </si>
  <si>
    <t>14/05/2020</t>
  </si>
  <si>
    <t>13/05/2020</t>
  </si>
  <si>
    <t>29/04/2020</t>
  </si>
  <si>
    <t>28/04/2020</t>
  </si>
  <si>
    <t>27/04/2020</t>
  </si>
  <si>
    <t>24/04/2020</t>
  </si>
  <si>
    <t>23/04/2020</t>
  </si>
  <si>
    <t>22/04/2020</t>
  </si>
  <si>
    <t>21/04/2020</t>
  </si>
  <si>
    <t>20/04/2020</t>
  </si>
  <si>
    <t>17/04/2020</t>
  </si>
  <si>
    <t>16/04/2020</t>
  </si>
  <si>
    <t>15/04/2020</t>
  </si>
  <si>
    <t>14/04/2020</t>
  </si>
  <si>
    <t>13/04/2020</t>
  </si>
  <si>
    <t>31/03/2020</t>
  </si>
  <si>
    <t>30/03/2020</t>
  </si>
  <si>
    <t>27/03/2020</t>
  </si>
  <si>
    <t>26/03/2020</t>
  </si>
  <si>
    <t>25/03/2020</t>
  </si>
  <si>
    <t>24/03/2020</t>
  </si>
  <si>
    <t>23/03/2020</t>
  </si>
  <si>
    <t>20/03/2020</t>
  </si>
  <si>
    <t>19/03/2020</t>
  </si>
  <si>
    <t>18/03/2020</t>
  </si>
  <si>
    <t>17/03/2020</t>
  </si>
  <si>
    <t>16/03/2020</t>
  </si>
  <si>
    <t>13/03/2020</t>
  </si>
  <si>
    <t>28/02/2020</t>
  </si>
  <si>
    <t>27/02/2020</t>
  </si>
  <si>
    <t>26/02/2020</t>
  </si>
  <si>
    <t>25/02/2020</t>
  </si>
  <si>
    <t>24/02/2020</t>
  </si>
  <si>
    <t>21/02/2020</t>
  </si>
  <si>
    <t>20/02/2020</t>
  </si>
  <si>
    <t>19/02/2020</t>
  </si>
  <si>
    <t>18/02/2020</t>
  </si>
  <si>
    <t>17/02/2020</t>
  </si>
  <si>
    <t>14/02/2020</t>
  </si>
  <si>
    <t>13/02/2020</t>
  </si>
  <si>
    <t>31/01/2020</t>
  </si>
  <si>
    <t>30/01/2020</t>
  </si>
  <si>
    <t>22/01/2020</t>
  </si>
  <si>
    <t>21/01/2020</t>
  </si>
  <si>
    <t>20/01/2020</t>
  </si>
  <si>
    <t>17/01/2020</t>
  </si>
  <si>
    <t>16/01/2020</t>
  </si>
  <si>
    <t>15/01/2020</t>
  </si>
  <si>
    <t>14/01/2020</t>
  </si>
  <si>
    <t>13/01/2020</t>
  </si>
  <si>
    <t>5y Beta</t>
  </si>
  <si>
    <t>https://www.imarcgroup.com/vietnam-fertilizers-market</t>
  </si>
  <si>
    <t>Weighted Average Cost of Capital (WACC)</t>
  </si>
  <si>
    <t>Industry growth rate for Terminal Value Calculation</t>
  </si>
  <si>
    <t>Market Premium Calculation</t>
  </si>
  <si>
    <t>VNINDEX</t>
  </si>
  <si>
    <t>Expected rate of market return</t>
  </si>
  <si>
    <t>%</t>
  </si>
  <si>
    <t>Market Index - VNINDEX price datta</t>
  </si>
  <si>
    <t>https://www.investing.com/indices/vn-historical-data</t>
  </si>
  <si>
    <t>End of 2023</t>
  </si>
  <si>
    <t>End of 2024</t>
  </si>
  <si>
    <t>Sensitivity Analysis</t>
  </si>
  <si>
    <t>V. Others</t>
  </si>
  <si>
    <t>Net Income to common shareholders</t>
  </si>
  <si>
    <t>Net Income After Tax</t>
  </si>
  <si>
    <t>End of 2025</t>
  </si>
  <si>
    <t>Cash and Cash Equivaluent as % of N.Revenue</t>
  </si>
  <si>
    <t>Total Debt Growth (for implied share price calculation)</t>
  </si>
  <si>
    <t>Exponential decay regression until it hits 2% minimum rate</t>
  </si>
  <si>
    <t>Urea</t>
  </si>
  <si>
    <t>Sales Volume (Thousand tons)</t>
  </si>
  <si>
    <t>Average Price</t>
  </si>
  <si>
    <t>% of Net Revenue</t>
  </si>
  <si>
    <t>NPK</t>
  </si>
  <si>
    <t>Other fertilizers</t>
  </si>
  <si>
    <t>Fertilizers</t>
  </si>
  <si>
    <t>Imported goods</t>
  </si>
  <si>
    <t>Other fertilizers produced</t>
  </si>
  <si>
    <t>Chemicals and Others domestically produced</t>
  </si>
  <si>
    <t>Net Revenue, Gross Profit and their components</t>
  </si>
  <si>
    <t>Gross Profit (same structure as Net Revenue)</t>
  </si>
  <si>
    <t>% of Gross Profit</t>
  </si>
  <si>
    <t>% of Fertilizer</t>
  </si>
  <si>
    <t xml:space="preserve">Others </t>
  </si>
  <si>
    <t>Assume that Average price of Urea = Average price of NPK in Vietnam all over the period / 1.35 = Average price of other fertilizers (except the ratio for NPK price calc, GP is similar)</t>
  </si>
  <si>
    <t>CoS price</t>
  </si>
  <si>
    <t>%YoY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</si>
</sst>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_(&quot;$&quot;* \(#,##0.00\);_(&quot;$&quot;* &quot;-&quot;??_);_(@_)"/>
    <numFmt numFmtId="43" formatCode="_(* #,##0.00_);_(* \(#,##0.00\);_(* &quot;-&quot;??_);_(@_)"/>
    <numFmt numFmtId="164" formatCode="0.0%"/>
    <numFmt numFmtId="165" formatCode="0.000"/>
    <numFmt numFmtId="166" formatCode="0.0"/>
    <numFmt numFmtId="167" formatCode="_(* #,##0_);_(* \(#,##0\);_(* &quot;-&quot;??_);_(@_)"/>
    <numFmt numFmtId="168" formatCode="yyyy\-mm\-dd;@"/>
    <numFmt numFmtId="169" formatCode="dd/mm/yyyy"/>
    <numFmt numFmtId="170" formatCode="#,##0.0_);\(#,##0.0\)"/>
    <numFmt numFmtId="171" formatCode="mm/dd/yyyy"/>
    <numFmt numFmtId="172" formatCode="###,###,###.###"/>
  </numFmts>
  <fonts count="21" x14ac:knownFonts="1">
    <font>
      <sz val="11"/>
      <color theme="1"/>
      <name val="Aptos Narrow"/>
      <family val="2"/>
      <scheme val="minor"/>
    </font>
    <font>
      <sz val="11"/>
      <color theme="1"/>
      <name val="Aptos Narrow"/>
      <family val="2"/>
      <scheme val="minor"/>
    </font>
    <font>
      <b/>
      <sz val="10"/>
      <color theme="0"/>
      <name val="Arial"/>
      <family val="2"/>
      <charset val="163"/>
    </font>
    <font>
      <sz val="10"/>
      <color theme="0"/>
      <name val="Arial"/>
      <family val="2"/>
      <charset val="163"/>
    </font>
    <font>
      <b/>
      <sz val="10"/>
      <color theme="1"/>
      <name val="Arial"/>
      <family val="2"/>
      <charset val="163"/>
    </font>
    <font>
      <sz val="10"/>
      <color theme="1"/>
      <name val="Arial"/>
      <family val="2"/>
      <charset val="163"/>
    </font>
    <font>
      <sz val="10"/>
      <color theme="1"/>
      <name val="Arial"/>
      <family val="2"/>
    </font>
    <font>
      <sz val="10"/>
      <color theme="1"/>
      <name val="Calibri"/>
      <family val="2"/>
      <charset val="163"/>
    </font>
    <font>
      <b/>
      <sz val="10"/>
      <color rgb="FF002060"/>
      <name val="Arial"/>
      <family val="2"/>
      <charset val="163"/>
    </font>
    <font>
      <b/>
      <sz val="10"/>
      <color theme="1"/>
      <name val="Arial"/>
      <family val="2"/>
    </font>
    <font>
      <b/>
      <sz val="10"/>
      <color theme="0"/>
      <name val="Arial"/>
      <family val="2"/>
    </font>
    <font>
      <b/>
      <sz val="10"/>
      <color rgb="FF002060"/>
      <name val="Arial"/>
      <family val="2"/>
    </font>
    <font>
      <b/>
      <sz val="10"/>
      <color theme="4" tint="-0.499984740745262"/>
      <name val="Arial"/>
      <family val="2"/>
      <charset val="163"/>
    </font>
    <font>
      <sz val="8"/>
      <color theme="1"/>
      <name val="Verdana"/>
      <family val="2"/>
    </font>
    <font>
      <b/>
      <sz val="10"/>
      <color rgb="FF000000"/>
      <name val="Arial"/>
      <family val="2"/>
      <charset val="163"/>
    </font>
    <font>
      <u/>
      <sz val="11"/>
      <color theme="10"/>
      <name val="Aptos Narrow"/>
      <family val="2"/>
      <scheme val="minor"/>
    </font>
    <font>
      <b/>
      <sz val="11"/>
      <color theme="1"/>
      <name val="Aptos Narrow"/>
      <family val="2"/>
      <scheme val="minor"/>
    </font>
    <font>
      <i/>
      <sz val="10"/>
      <color theme="1"/>
      <name val="Arial"/>
      <family val="2"/>
    </font>
    <font>
      <sz val="8"/>
      <name val="Aptos Narrow"/>
      <family val="2"/>
      <scheme val="minor"/>
    </font>
    <font>
      <b/>
      <sz val="11"/>
      <color theme="0"/>
      <name val="Aptos Narrow"/>
      <family val="2"/>
      <scheme val="minor"/>
    </font>
    <font>
      <sz val="11"/>
      <color theme="0"/>
      <name val="Aptos Narrow"/>
      <family val="2"/>
      <scheme val="minor"/>
    </font>
  </fonts>
  <fills count="18">
    <fill>
      <patternFill patternType="none"/>
    </fill>
    <fill>
      <patternFill patternType="gray125"/>
    </fill>
    <fill>
      <patternFill patternType="solid">
        <fgColor rgb="FF06428B"/>
        <bgColor rgb="FF2954B4"/>
      </patternFill>
    </fill>
    <fill>
      <patternFill patternType="solid">
        <fgColor theme="0"/>
        <bgColor theme="0"/>
      </patternFill>
    </fill>
    <fill>
      <patternFill patternType="solid">
        <fgColor rgb="FFFFFF00"/>
        <bgColor theme="0"/>
      </patternFill>
    </fill>
    <fill>
      <patternFill patternType="solid">
        <fgColor theme="0"/>
        <bgColor indexed="64"/>
      </patternFill>
    </fill>
    <fill>
      <patternFill patternType="solid">
        <fgColor rgb="FFFFFFFF"/>
        <bgColor indexed="64"/>
      </patternFill>
    </fill>
    <fill>
      <patternFill patternType="solid">
        <fgColor rgb="FF06428B"/>
        <bgColor theme="0"/>
      </patternFill>
    </fill>
    <fill>
      <patternFill patternType="solid">
        <fgColor rgb="FFCDE9F1"/>
        <bgColor rgb="FFDBE5F1"/>
      </patternFill>
    </fill>
    <fill>
      <patternFill patternType="solid">
        <fgColor rgb="FFCDE9F1"/>
        <bgColor rgb="FFFDE9D9"/>
      </patternFill>
    </fill>
    <fill>
      <patternFill patternType="solid">
        <fgColor theme="7" tint="0.79998168889431442"/>
        <bgColor indexed="64"/>
      </patternFill>
    </fill>
    <fill>
      <patternFill patternType="solid">
        <fgColor theme="7" tint="0.79998168889431442"/>
        <bgColor theme="0"/>
      </patternFill>
    </fill>
    <fill>
      <patternFill patternType="solid">
        <fgColor theme="4" tint="0.59999389629810485"/>
        <bgColor theme="0"/>
      </patternFill>
    </fill>
    <fill>
      <patternFill patternType="solid">
        <fgColor theme="3" tint="0.749992370372631"/>
        <bgColor indexed="64"/>
      </patternFill>
    </fill>
    <fill>
      <patternFill patternType="solid">
        <fgColor theme="3" tint="0.89999084444715716"/>
        <bgColor theme="0"/>
      </patternFill>
    </fill>
    <fill>
      <patternFill patternType="solid">
        <fgColor theme="3" tint="0.89999084444715716"/>
        <bgColor indexed="64"/>
      </patternFill>
    </fill>
    <fill>
      <patternFill patternType="solid">
        <fgColor theme="3" tint="0.249977111117893"/>
        <bgColor indexed="64"/>
      </patternFill>
    </fill>
    <fill>
      <patternFill patternType="solid">
        <fgColor theme="3" tint="0.499984740745262"/>
        <bgColor indexed="64"/>
      </patternFill>
    </fill>
  </fills>
  <borders count="25">
    <border>
      <left/>
      <right/>
      <top/>
      <bottom/>
      <diagonal/>
    </border>
    <border>
      <left/>
      <right/>
      <top style="thin">
        <color indexed="64"/>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000000"/>
      </left>
      <right style="thin">
        <color indexed="64"/>
      </right>
      <top style="medium">
        <color rgb="FF000000"/>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15" fillId="0" borderId="0" applyNumberFormat="0" applyFill="0" applyBorder="0" applyAlignment="0" applyProtection="0"/>
    <xf numFmtId="9" fontId="1" fillId="0" borderId="0" applyFont="0" applyFill="0" applyBorder="0" applyAlignment="0" applyProtection="0"/>
  </cellStyleXfs>
  <cellXfs count="169">
    <xf numFmtId="0" fontId="0" fillId="0" borderId="0" xfId="0"/>
    <xf numFmtId="3" fontId="2" fillId="2" borderId="0" xfId="0" applyNumberFormat="1" applyFont="1" applyFill="1"/>
    <xf numFmtId="3" fontId="3" fillId="2" borderId="0" xfId="0" applyNumberFormat="1" applyFont="1" applyFill="1"/>
    <xf numFmtId="3" fontId="4" fillId="3" borderId="0" xfId="0" applyNumberFormat="1" applyFont="1" applyFill="1"/>
    <xf numFmtId="3" fontId="5" fillId="3" borderId="0" xfId="0" applyNumberFormat="1" applyFont="1" applyFill="1"/>
    <xf numFmtId="3" fontId="4" fillId="3" borderId="0" xfId="0" applyNumberFormat="1" applyFont="1" applyFill="1" applyAlignment="1">
      <alignment horizontal="right"/>
    </xf>
    <xf numFmtId="1" fontId="4" fillId="3" borderId="0" xfId="0" applyNumberFormat="1" applyFont="1" applyFill="1" applyAlignment="1">
      <alignment horizontal="right"/>
    </xf>
    <xf numFmtId="3" fontId="4" fillId="3" borderId="1" xfId="0" applyNumberFormat="1" applyFont="1" applyFill="1" applyBorder="1" applyAlignment="1">
      <alignment horizontal="left"/>
    </xf>
    <xf numFmtId="3" fontId="4" fillId="3" borderId="0" xfId="0" applyNumberFormat="1" applyFont="1" applyFill="1" applyAlignment="1">
      <alignment horizontal="left"/>
    </xf>
    <xf numFmtId="0" fontId="0" fillId="0" borderId="0" xfId="0" applyAlignment="1">
      <alignment horizontal="left"/>
    </xf>
    <xf numFmtId="3" fontId="6" fillId="3" borderId="0" xfId="0" applyNumberFormat="1" applyFont="1" applyFill="1" applyAlignment="1">
      <alignment horizontal="left"/>
    </xf>
    <xf numFmtId="3" fontId="5" fillId="3" borderId="2" xfId="0" applyNumberFormat="1" applyFont="1" applyFill="1" applyBorder="1" applyAlignment="1">
      <alignment horizontal="left"/>
    </xf>
    <xf numFmtId="3" fontId="8" fillId="3" borderId="2" xfId="0" applyNumberFormat="1" applyFont="1" applyFill="1" applyBorder="1"/>
    <xf numFmtId="3" fontId="5" fillId="4" borderId="2" xfId="0" applyNumberFormat="1" applyFont="1" applyFill="1" applyBorder="1" applyAlignment="1">
      <alignment horizontal="left"/>
    </xf>
    <xf numFmtId="3" fontId="8" fillId="3" borderId="3" xfId="0" applyNumberFormat="1" applyFont="1" applyFill="1" applyBorder="1"/>
    <xf numFmtId="3" fontId="8" fillId="3" borderId="4" xfId="0" applyNumberFormat="1" applyFont="1" applyFill="1" applyBorder="1"/>
    <xf numFmtId="3" fontId="5" fillId="3" borderId="2" xfId="0" applyNumberFormat="1" applyFont="1" applyFill="1" applyBorder="1"/>
    <xf numFmtId="3" fontId="8" fillId="3" borderId="2" xfId="0" applyNumberFormat="1" applyFont="1" applyFill="1" applyBorder="1" applyAlignment="1">
      <alignment horizontal="left"/>
    </xf>
    <xf numFmtId="3" fontId="5" fillId="0" borderId="2" xfId="0" applyNumberFormat="1" applyFont="1" applyBorder="1" applyAlignment="1">
      <alignment horizontal="left"/>
    </xf>
    <xf numFmtId="3" fontId="5" fillId="5" borderId="2" xfId="0" applyNumberFormat="1" applyFont="1" applyFill="1" applyBorder="1" applyAlignment="1">
      <alignment horizontal="left"/>
    </xf>
    <xf numFmtId="3" fontId="8" fillId="0" borderId="2" xfId="0" applyNumberFormat="1" applyFont="1" applyBorder="1" applyAlignment="1">
      <alignment horizontal="left"/>
    </xf>
    <xf numFmtId="3" fontId="5" fillId="3" borderId="2" xfId="0" applyNumberFormat="1" applyFont="1" applyFill="1" applyBorder="1" applyAlignment="1">
      <alignment horizontal="left" vertical="top"/>
    </xf>
    <xf numFmtId="3" fontId="5" fillId="3" borderId="3" xfId="0" applyNumberFormat="1" applyFont="1" applyFill="1" applyBorder="1" applyAlignment="1">
      <alignment horizontal="left"/>
    </xf>
    <xf numFmtId="3" fontId="5" fillId="4" borderId="2" xfId="0" applyNumberFormat="1" applyFont="1" applyFill="1" applyBorder="1"/>
    <xf numFmtId="3" fontId="5" fillId="3" borderId="3" xfId="0" applyNumberFormat="1" applyFont="1" applyFill="1" applyBorder="1"/>
    <xf numFmtId="3" fontId="0" fillId="0" borderId="0" xfId="0" applyNumberFormat="1"/>
    <xf numFmtId="44" fontId="4" fillId="3" borderId="1" xfId="2" applyFont="1" applyFill="1" applyBorder="1"/>
    <xf numFmtId="44" fontId="5" fillId="3" borderId="1" xfId="2" applyFont="1" applyFill="1" applyBorder="1"/>
    <xf numFmtId="44" fontId="4" fillId="3" borderId="0" xfId="2" applyFont="1" applyFill="1" applyAlignment="1">
      <alignment horizontal="right"/>
    </xf>
    <xf numFmtId="4" fontId="0" fillId="0" borderId="0" xfId="0" applyNumberFormat="1"/>
    <xf numFmtId="39" fontId="4" fillId="3" borderId="0" xfId="2" applyNumberFormat="1" applyFont="1" applyFill="1"/>
    <xf numFmtId="39" fontId="5" fillId="3" borderId="0" xfId="2" applyNumberFormat="1" applyFont="1" applyFill="1"/>
    <xf numFmtId="39" fontId="0" fillId="0" borderId="0" xfId="2" applyNumberFormat="1" applyFont="1"/>
    <xf numFmtId="39" fontId="4" fillId="3" borderId="0" xfId="2" applyNumberFormat="1" applyFont="1" applyFill="1" applyAlignment="1">
      <alignment horizontal="right"/>
    </xf>
    <xf numFmtId="39" fontId="6" fillId="3" borderId="0" xfId="2" applyNumberFormat="1" applyFont="1" applyFill="1" applyAlignment="1">
      <alignment horizontal="right"/>
    </xf>
    <xf numFmtId="39" fontId="9" fillId="3" borderId="0" xfId="2" applyNumberFormat="1" applyFont="1" applyFill="1" applyAlignment="1">
      <alignment horizontal="right"/>
    </xf>
    <xf numFmtId="3" fontId="10" fillId="2" borderId="0" xfId="0" applyNumberFormat="1" applyFont="1" applyFill="1"/>
    <xf numFmtId="39" fontId="6" fillId="3" borderId="0" xfId="2" applyNumberFormat="1" applyFont="1" applyFill="1"/>
    <xf numFmtId="3" fontId="11" fillId="3" borderId="3" xfId="0" applyNumberFormat="1" applyFont="1" applyFill="1" applyBorder="1"/>
    <xf numFmtId="39" fontId="9" fillId="3" borderId="0" xfId="2" applyNumberFormat="1" applyFont="1" applyFill="1"/>
    <xf numFmtId="0" fontId="12" fillId="3" borderId="4" xfId="0" applyFont="1" applyFill="1" applyBorder="1"/>
    <xf numFmtId="0" fontId="12" fillId="3" borderId="2" xfId="0" applyFont="1" applyFill="1" applyBorder="1"/>
    <xf numFmtId="0" fontId="5" fillId="3" borderId="2" xfId="0" applyFont="1" applyFill="1" applyBorder="1"/>
    <xf numFmtId="0" fontId="5" fillId="3" borderId="3" xfId="0" applyFont="1" applyFill="1" applyBorder="1"/>
    <xf numFmtId="0" fontId="5" fillId="3" borderId="0" xfId="0" applyFont="1" applyFill="1"/>
    <xf numFmtId="0" fontId="13" fillId="6" borderId="0" xfId="0" applyFont="1" applyFill="1" applyAlignment="1">
      <alignment vertical="center" wrapText="1"/>
    </xf>
    <xf numFmtId="0" fontId="0" fillId="3" borderId="0" xfId="0" applyFill="1"/>
    <xf numFmtId="0" fontId="4" fillId="3" borderId="4" xfId="0" applyFont="1" applyFill="1" applyBorder="1"/>
    <xf numFmtId="0" fontId="4" fillId="3" borderId="0" xfId="0" applyFont="1" applyFill="1"/>
    <xf numFmtId="1" fontId="2" fillId="7" borderId="5" xfId="0" applyNumberFormat="1" applyFont="1" applyFill="1" applyBorder="1" applyAlignment="1">
      <alignment horizontal="right"/>
    </xf>
    <xf numFmtId="0" fontId="5" fillId="3" borderId="7" xfId="0" applyFont="1" applyFill="1" applyBorder="1"/>
    <xf numFmtId="164" fontId="4" fillId="8" borderId="0" xfId="0" applyNumberFormat="1" applyFont="1" applyFill="1"/>
    <xf numFmtId="2" fontId="14" fillId="8" borderId="0" xfId="0" applyNumberFormat="1" applyFont="1" applyFill="1"/>
    <xf numFmtId="164" fontId="4" fillId="3" borderId="0" xfId="0" applyNumberFormat="1" applyFont="1" applyFill="1"/>
    <xf numFmtId="164" fontId="4" fillId="3" borderId="7" xfId="0" applyNumberFormat="1" applyFont="1" applyFill="1" applyBorder="1"/>
    <xf numFmtId="0" fontId="4" fillId="3" borderId="7" xfId="0" applyFont="1" applyFill="1" applyBorder="1"/>
    <xf numFmtId="2" fontId="4" fillId="8" borderId="0" xfId="0" applyNumberFormat="1" applyFont="1" applyFill="1"/>
    <xf numFmtId="164" fontId="4" fillId="8" borderId="8" xfId="0" applyNumberFormat="1" applyFont="1" applyFill="1" applyBorder="1"/>
    <xf numFmtId="165" fontId="5" fillId="3" borderId="0" xfId="0" applyNumberFormat="1" applyFont="1" applyFill="1"/>
    <xf numFmtId="166" fontId="5" fillId="3" borderId="0" xfId="0" applyNumberFormat="1" applyFont="1" applyFill="1"/>
    <xf numFmtId="167" fontId="5" fillId="3" borderId="0" xfId="1" applyNumberFormat="1" applyFont="1" applyFill="1" applyBorder="1"/>
    <xf numFmtId="166" fontId="0" fillId="0" borderId="0" xfId="0" applyNumberFormat="1"/>
    <xf numFmtId="0" fontId="5" fillId="3" borderId="0" xfId="0" applyFont="1" applyFill="1" applyAlignment="1">
      <alignment horizontal="right"/>
    </xf>
    <xf numFmtId="2" fontId="4" fillId="9" borderId="0" xfId="0" applyNumberFormat="1" applyFont="1" applyFill="1"/>
    <xf numFmtId="164" fontId="4" fillId="9" borderId="0" xfId="0" applyNumberFormat="1" applyFont="1" applyFill="1"/>
    <xf numFmtId="166" fontId="4" fillId="9" borderId="0" xfId="0" applyNumberFormat="1" applyFont="1" applyFill="1"/>
    <xf numFmtId="1" fontId="4" fillId="9" borderId="0" xfId="0" applyNumberFormat="1" applyFont="1" applyFill="1"/>
    <xf numFmtId="166" fontId="4" fillId="9" borderId="8" xfId="0" applyNumberFormat="1" applyFont="1" applyFill="1" applyBorder="1"/>
    <xf numFmtId="0" fontId="5" fillId="3" borderId="5" xfId="0" applyFont="1" applyFill="1" applyBorder="1"/>
    <xf numFmtId="164" fontId="5" fillId="3" borderId="0" xfId="0" applyNumberFormat="1" applyFont="1" applyFill="1"/>
    <xf numFmtId="164" fontId="5" fillId="3" borderId="0" xfId="0" applyNumberFormat="1" applyFont="1" applyFill="1" applyAlignment="1">
      <alignment horizontal="right"/>
    </xf>
    <xf numFmtId="0" fontId="4" fillId="3" borderId="5" xfId="0" applyFont="1" applyFill="1" applyBorder="1"/>
    <xf numFmtId="3" fontId="4" fillId="3" borderId="8" xfId="0" applyNumberFormat="1" applyFont="1" applyFill="1" applyBorder="1"/>
    <xf numFmtId="0" fontId="5" fillId="3" borderId="5" xfId="0" applyFont="1" applyFill="1" applyBorder="1" applyAlignment="1">
      <alignment horizontal="right"/>
    </xf>
    <xf numFmtId="164" fontId="4" fillId="9" borderId="0" xfId="0" applyNumberFormat="1" applyFont="1" applyFill="1" applyAlignment="1">
      <alignment horizontal="right"/>
    </xf>
    <xf numFmtId="0" fontId="5" fillId="3" borderId="7" xfId="0" applyFont="1" applyFill="1" applyBorder="1" applyAlignment="1">
      <alignment horizontal="right"/>
    </xf>
    <xf numFmtId="0" fontId="5" fillId="3" borderId="6" xfId="0" applyFont="1" applyFill="1" applyBorder="1"/>
    <xf numFmtId="0" fontId="5" fillId="3" borderId="6" xfId="0" applyFont="1" applyFill="1" applyBorder="1" applyAlignment="1">
      <alignment horizontal="right"/>
    </xf>
    <xf numFmtId="164" fontId="5" fillId="3" borderId="7" xfId="0" applyNumberFormat="1" applyFont="1" applyFill="1" applyBorder="1" applyAlignment="1">
      <alignment horizontal="right"/>
    </xf>
    <xf numFmtId="164" fontId="4" fillId="8" borderId="9" xfId="0" applyNumberFormat="1" applyFont="1" applyFill="1" applyBorder="1"/>
    <xf numFmtId="2" fontId="14" fillId="8" borderId="9" xfId="0" applyNumberFormat="1" applyFont="1" applyFill="1" applyBorder="1"/>
    <xf numFmtId="164" fontId="4" fillId="3" borderId="9" xfId="0" applyNumberFormat="1" applyFont="1" applyFill="1" applyBorder="1"/>
    <xf numFmtId="0" fontId="4" fillId="3" borderId="9" xfId="0" applyFont="1" applyFill="1" applyBorder="1"/>
    <xf numFmtId="2" fontId="4" fillId="8" borderId="9" xfId="0" applyNumberFormat="1" applyFont="1" applyFill="1" applyBorder="1"/>
    <xf numFmtId="0" fontId="5" fillId="3" borderId="9" xfId="0" applyFont="1"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68" fontId="0" fillId="0" borderId="0" xfId="0" applyNumberFormat="1"/>
    <xf numFmtId="0" fontId="0" fillId="0" borderId="15" xfId="0" applyBorder="1"/>
    <xf numFmtId="0" fontId="0" fillId="0" borderId="16" xfId="0" applyBorder="1"/>
    <xf numFmtId="0" fontId="0" fillId="0" borderId="17" xfId="0" applyBorder="1"/>
    <xf numFmtId="0" fontId="15" fillId="0" borderId="0" xfId="3"/>
    <xf numFmtId="169" fontId="0" fillId="0" borderId="0" xfId="0" applyNumberFormat="1"/>
    <xf numFmtId="170" fontId="5" fillId="3" borderId="0" xfId="2" applyNumberFormat="1" applyFont="1" applyFill="1"/>
    <xf numFmtId="3" fontId="10" fillId="2" borderId="0" xfId="0" applyNumberFormat="1" applyFont="1" applyFill="1" applyAlignment="1">
      <alignment horizontal="center"/>
    </xf>
    <xf numFmtId="3" fontId="5" fillId="3" borderId="0" xfId="0" applyNumberFormat="1" applyFont="1" applyFill="1" applyAlignment="1">
      <alignment horizontal="left"/>
    </xf>
    <xf numFmtId="3" fontId="8" fillId="3" borderId="16" xfId="0" applyNumberFormat="1" applyFont="1" applyFill="1" applyBorder="1" applyAlignment="1">
      <alignment wrapText="1"/>
    </xf>
    <xf numFmtId="1" fontId="4" fillId="3" borderId="16" xfId="0" applyNumberFormat="1" applyFont="1" applyFill="1" applyBorder="1" applyAlignment="1">
      <alignment horizontal="right"/>
    </xf>
    <xf numFmtId="39" fontId="0" fillId="0" borderId="0" xfId="0" applyNumberFormat="1"/>
    <xf numFmtId="39" fontId="16" fillId="0" borderId="0" xfId="0" applyNumberFormat="1" applyFont="1"/>
    <xf numFmtId="3" fontId="15" fillId="2" borderId="0" xfId="3" applyNumberFormat="1" applyFill="1"/>
    <xf numFmtId="10" fontId="5" fillId="11" borderId="0" xfId="4" applyNumberFormat="1" applyFont="1" applyFill="1"/>
    <xf numFmtId="10" fontId="5" fillId="3" borderId="0" xfId="4" applyNumberFormat="1" applyFont="1" applyFill="1"/>
    <xf numFmtId="39" fontId="0" fillId="10" borderId="0" xfId="0" applyNumberFormat="1" applyFill="1"/>
    <xf numFmtId="3" fontId="8" fillId="12" borderId="2" xfId="0" applyNumberFormat="1" applyFont="1" applyFill="1" applyBorder="1" applyAlignment="1">
      <alignment horizontal="left"/>
    </xf>
    <xf numFmtId="10" fontId="5" fillId="12" borderId="0" xfId="4" applyNumberFormat="1" applyFont="1" applyFill="1"/>
    <xf numFmtId="3" fontId="8" fillId="12" borderId="2" xfId="0" applyNumberFormat="1" applyFont="1" applyFill="1" applyBorder="1"/>
    <xf numFmtId="39" fontId="9" fillId="12" borderId="0" xfId="2" applyNumberFormat="1" applyFont="1" applyFill="1"/>
    <xf numFmtId="3" fontId="15" fillId="2" borderId="0" xfId="3" applyNumberFormat="1" applyFill="1" applyAlignment="1">
      <alignment horizontal="center"/>
    </xf>
    <xf numFmtId="10" fontId="0" fillId="10" borderId="0" xfId="4" applyNumberFormat="1" applyFont="1" applyFill="1"/>
    <xf numFmtId="3" fontId="8" fillId="3" borderId="19" xfId="0" applyNumberFormat="1" applyFont="1" applyFill="1" applyBorder="1" applyAlignment="1">
      <alignment horizontal="left"/>
    </xf>
    <xf numFmtId="3" fontId="5" fillId="3" borderId="19" xfId="0" applyNumberFormat="1" applyFont="1" applyFill="1" applyBorder="1" applyAlignment="1">
      <alignment horizontal="left"/>
    </xf>
    <xf numFmtId="0" fontId="0" fillId="0" borderId="19" xfId="0" applyBorder="1"/>
    <xf numFmtId="3" fontId="8" fillId="3" borderId="18" xfId="0" applyNumberFormat="1" applyFont="1" applyFill="1" applyBorder="1"/>
    <xf numFmtId="39" fontId="5" fillId="3" borderId="19" xfId="2" applyNumberFormat="1" applyFont="1" applyFill="1" applyBorder="1"/>
    <xf numFmtId="3" fontId="17" fillId="3" borderId="19" xfId="0" applyNumberFormat="1" applyFont="1" applyFill="1" applyBorder="1" applyAlignment="1">
      <alignment horizontal="left"/>
    </xf>
    <xf numFmtId="39" fontId="5" fillId="3" borderId="0" xfId="2" applyNumberFormat="1" applyFont="1" applyFill="1" applyAlignment="1">
      <alignment horizontal="center" vertical="center"/>
    </xf>
    <xf numFmtId="10" fontId="0" fillId="0" borderId="0" xfId="4" applyNumberFormat="1" applyFont="1"/>
    <xf numFmtId="10" fontId="0" fillId="0" borderId="0" xfId="0" applyNumberFormat="1"/>
    <xf numFmtId="10" fontId="5" fillId="11" borderId="0" xfId="4" applyNumberFormat="1" applyFont="1" applyFill="1" applyAlignment="1">
      <alignment horizontal="right"/>
    </xf>
    <xf numFmtId="9" fontId="0" fillId="10" borderId="0" xfId="4" applyFont="1" applyFill="1"/>
    <xf numFmtId="10" fontId="0" fillId="0" borderId="20" xfId="4" applyNumberFormat="1" applyFont="1" applyBorder="1"/>
    <xf numFmtId="39" fontId="0" fillId="10" borderId="0" xfId="0" quotePrefix="1" applyNumberFormat="1" applyFill="1"/>
    <xf numFmtId="0" fontId="0" fillId="13" borderId="0" xfId="0" applyFill="1"/>
    <xf numFmtId="0" fontId="16" fillId="0" borderId="16" xfId="0" applyFont="1" applyBorder="1"/>
    <xf numFmtId="39" fontId="5" fillId="3" borderId="1" xfId="2" applyNumberFormat="1" applyFont="1" applyFill="1" applyBorder="1"/>
    <xf numFmtId="39" fontId="5" fillId="14" borderId="21" xfId="2" applyNumberFormat="1" applyFont="1" applyFill="1" applyBorder="1"/>
    <xf numFmtId="3" fontId="8" fillId="12" borderId="0" xfId="0" applyNumberFormat="1" applyFont="1" applyFill="1" applyAlignment="1">
      <alignment horizontal="left"/>
    </xf>
    <xf numFmtId="14" fontId="0" fillId="0" borderId="0" xfId="0" applyNumberFormat="1"/>
    <xf numFmtId="171" fontId="2" fillId="2" borderId="0" xfId="0" applyNumberFormat="1" applyFont="1" applyFill="1"/>
    <xf numFmtId="171" fontId="0" fillId="0" borderId="0" xfId="0" applyNumberFormat="1"/>
    <xf numFmtId="171" fontId="8" fillId="3" borderId="4" xfId="0" applyNumberFormat="1" applyFont="1" applyFill="1" applyBorder="1"/>
    <xf numFmtId="171" fontId="10" fillId="2" borderId="0" xfId="0" applyNumberFormat="1" applyFont="1" applyFill="1" applyAlignment="1">
      <alignment horizontal="center"/>
    </xf>
    <xf numFmtId="171" fontId="0" fillId="0" borderId="0" xfId="0" applyNumberFormat="1" applyAlignment="1">
      <alignment horizontal="right"/>
    </xf>
    <xf numFmtId="2" fontId="0" fillId="15" borderId="0" xfId="0" applyNumberFormat="1" applyFill="1"/>
    <xf numFmtId="3" fontId="5" fillId="3" borderId="20" xfId="0" applyNumberFormat="1" applyFont="1" applyFill="1" applyBorder="1" applyAlignment="1">
      <alignment horizontal="left"/>
    </xf>
    <xf numFmtId="1" fontId="0" fillId="0" borderId="0" xfId="4" applyNumberFormat="1" applyFont="1"/>
    <xf numFmtId="2" fontId="0" fillId="0" borderId="0" xfId="0" applyNumberFormat="1"/>
    <xf numFmtId="10" fontId="0" fillId="15" borderId="0" xfId="4" applyNumberFormat="1" applyFont="1" applyFill="1"/>
    <xf numFmtId="172" fontId="0" fillId="0" borderId="16" xfId="0" applyNumberFormat="1" applyBorder="1"/>
    <xf numFmtId="10" fontId="19" fillId="16" borderId="0" xfId="0" applyNumberFormat="1" applyFont="1" applyFill="1" applyAlignment="1">
      <alignment horizontal="center" vertical="center"/>
    </xf>
    <xf numFmtId="3" fontId="0" fillId="13" borderId="0" xfId="0" applyNumberFormat="1" applyFill="1" applyAlignment="1">
      <alignment horizontal="center" vertical="center"/>
    </xf>
    <xf numFmtId="3" fontId="20" fillId="17" borderId="0" xfId="0" applyNumberFormat="1" applyFont="1" applyFill="1" applyAlignment="1">
      <alignment horizontal="center" vertical="center"/>
    </xf>
    <xf numFmtId="3" fontId="0" fillId="5" borderId="0" xfId="0" applyNumberFormat="1" applyFill="1" applyAlignment="1">
      <alignment horizontal="center" vertical="center"/>
    </xf>
    <xf numFmtId="10" fontId="19" fillId="16" borderId="14" xfId="0" applyNumberFormat="1" applyFont="1" applyFill="1" applyBorder="1" applyAlignment="1">
      <alignment horizontal="center" vertical="center"/>
    </xf>
    <xf numFmtId="3" fontId="0" fillId="5" borderId="14" xfId="0" applyNumberFormat="1" applyFill="1" applyBorder="1" applyAlignment="1">
      <alignment horizontal="center" vertical="center"/>
    </xf>
    <xf numFmtId="3" fontId="0" fillId="5" borderId="17" xfId="0" applyNumberFormat="1" applyFill="1" applyBorder="1" applyAlignment="1">
      <alignment horizontal="center" vertical="center"/>
    </xf>
    <xf numFmtId="10" fontId="19" fillId="16" borderId="16" xfId="0" applyNumberFormat="1" applyFont="1" applyFill="1" applyBorder="1" applyAlignment="1">
      <alignment horizontal="center" vertical="center"/>
    </xf>
    <xf numFmtId="3" fontId="0" fillId="5" borderId="16" xfId="0" applyNumberFormat="1" applyFill="1" applyBorder="1" applyAlignment="1">
      <alignment horizontal="center" vertical="center"/>
    </xf>
    <xf numFmtId="0" fontId="0" fillId="0" borderId="18" xfId="0" applyBorder="1"/>
    <xf numFmtId="0" fontId="0" fillId="0" borderId="23" xfId="0" applyBorder="1"/>
    <xf numFmtId="10" fontId="0" fillId="0" borderId="0" xfId="4" applyNumberFormat="1" applyFont="1" applyBorder="1"/>
    <xf numFmtId="0" fontId="0" fillId="0" borderId="0" xfId="0" applyAlignment="1">
      <alignment horizontal="left" indent="2"/>
    </xf>
    <xf numFmtId="1" fontId="0" fillId="0" borderId="0" xfId="0" applyNumberFormat="1"/>
    <xf numFmtId="3" fontId="8" fillId="3" borderId="24" xfId="0" applyNumberFormat="1" applyFont="1" applyFill="1" applyBorder="1"/>
    <xf numFmtId="10" fontId="9" fillId="3" borderId="0" xfId="4" applyNumberFormat="1" applyFont="1" applyFill="1"/>
    <xf numFmtId="3" fontId="10" fillId="2" borderId="0" xfId="0" applyNumberFormat="1" applyFont="1" applyFill="1" applyAlignment="1">
      <alignment horizontal="center"/>
    </xf>
    <xf numFmtId="3" fontId="8" fillId="3" borderId="10" xfId="0" applyNumberFormat="1" applyFont="1" applyFill="1" applyBorder="1" applyAlignment="1">
      <alignment horizontal="right"/>
    </xf>
    <xf numFmtId="3" fontId="8" fillId="3" borderId="12" xfId="0" applyNumberFormat="1" applyFont="1" applyFill="1" applyBorder="1" applyAlignment="1">
      <alignment horizontal="right"/>
    </xf>
    <xf numFmtId="3" fontId="8" fillId="3" borderId="15" xfId="0" applyNumberFormat="1" applyFont="1" applyFill="1" applyBorder="1" applyAlignment="1">
      <alignment horizontal="right"/>
    </xf>
    <xf numFmtId="3" fontId="8" fillId="3" borderId="17" xfId="0" applyNumberFormat="1" applyFont="1" applyFill="1" applyBorder="1" applyAlignment="1">
      <alignment horizontal="right"/>
    </xf>
    <xf numFmtId="3" fontId="10" fillId="2" borderId="14" xfId="0" applyNumberFormat="1" applyFont="1" applyFill="1" applyBorder="1" applyAlignment="1">
      <alignment horizontal="center"/>
    </xf>
    <xf numFmtId="3" fontId="10" fillId="2" borderId="0" xfId="0" applyNumberFormat="1" applyFont="1" applyFill="1" applyAlignment="1">
      <alignment horizontal="center" vertical="center" textRotation="90"/>
    </xf>
    <xf numFmtId="3" fontId="10" fillId="2" borderId="16" xfId="0" applyNumberFormat="1" applyFont="1" applyFill="1" applyBorder="1" applyAlignment="1">
      <alignment horizontal="center" vertical="center" textRotation="90"/>
    </xf>
    <xf numFmtId="39" fontId="0" fillId="0" borderId="0" xfId="0" applyNumberFormat="1" applyAlignment="1">
      <alignment horizontal="center"/>
    </xf>
    <xf numFmtId="172" fontId="0" fillId="0" borderId="22" xfId="0" applyNumberFormat="1" applyBorder="1" applyAlignment="1">
      <alignment horizontal="center"/>
    </xf>
  </cellXfs>
  <cellStyles count="5">
    <cellStyle name="Comma" xfId="1" builtinId="3"/>
    <cellStyle name="Currency" xfId="2" builtinId="4"/>
    <cellStyle name="Hyperlink" xfId="3" builtinId="8"/>
    <cellStyle name="Normal" xfId="0" builtinId="0"/>
    <cellStyle name="Percent" xfId="4" builtinId="5"/>
  </cellStyles>
  <dxfs count="1">
    <dxf>
      <fill>
        <patternFill>
          <fgColor theme="3" tint="0.24994659260841701"/>
        </patternFill>
      </fill>
    </dxf>
  </dxfs>
  <tableStyles count="1" defaultTableStyle="TableStyleMedium2" defaultPivotStyle="PivotStyleLight16">
    <tableStyle name="Table Style 1" pivot="0" count="1" xr9:uid="{A988596E-514A-4694-B4FF-9B3C73A24D3F}">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LEGION\Downloads\HOSE%20DPM%20Other%20Analysis.xlsx" TargetMode="External"/><Relationship Id="rId1" Type="http://schemas.openxmlformats.org/officeDocument/2006/relationships/externalLinkPath" Target="HOSE%20DPM%20Other%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ình 15"/>
      <sheetName val="Hình 16"/>
      <sheetName val="Hình 17"/>
      <sheetName val="Hình 19"/>
      <sheetName val="Hình 20"/>
      <sheetName val="Hình 21"/>
      <sheetName val="Hình 25"/>
      <sheetName val="Hình 27"/>
      <sheetName val="Hình 28"/>
      <sheetName val="HÌnh 29"/>
      <sheetName val="Hình 30"/>
      <sheetName val="Hình 31"/>
      <sheetName val="Hình 32"/>
      <sheetName val="Hình 33"/>
      <sheetName val="Giá sản phẩm"/>
      <sheetName val="Hình 35"/>
      <sheetName val="Hình 36"/>
      <sheetName val="Net Revenue"/>
      <sheetName val="Hình 26"/>
      <sheetName val="Hình 21 (1)"/>
      <sheetName val="Hình 24"/>
    </sheetNames>
    <sheetDataSet>
      <sheetData sheetId="0"/>
      <sheetData sheetId="1"/>
      <sheetData sheetId="2"/>
      <sheetData sheetId="3"/>
      <sheetData sheetId="4"/>
      <sheetData sheetId="5"/>
      <sheetData sheetId="6">
        <row r="7">
          <cell r="D7">
            <v>215.52999999999997</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fef1.mediacdn.vn/Images/Uploaded/DuLieuDownload/BCTC/DPM_22Q3_BCTC_HN.pdf" TargetMode="External"/><Relationship Id="rId3" Type="http://schemas.openxmlformats.org/officeDocument/2006/relationships/hyperlink" Target="https://static2.vietstock.vn/data/HOSE/2024/BCTC/VN/QUY%203/DPM_Baocaotaichinh_Q3_2024_Hopnhat.pdf" TargetMode="External"/><Relationship Id="rId7" Type="http://schemas.openxmlformats.org/officeDocument/2006/relationships/hyperlink" Target="https://cafef1.mediacdn.vn/Images/Uploaded/DuLieuDownload/2021/DPM_21Q3_BCTC_HN.pdf" TargetMode="External"/><Relationship Id="rId2" Type="http://schemas.openxmlformats.org/officeDocument/2006/relationships/hyperlink" Target="https://dpm.vn/en/annual-report" TargetMode="External"/><Relationship Id="rId1" Type="http://schemas.openxmlformats.org/officeDocument/2006/relationships/hyperlink" Target="https://www.bsc.com.vn/News/NewsAttachedFile/1100251" TargetMode="External"/><Relationship Id="rId6" Type="http://schemas.openxmlformats.org/officeDocument/2006/relationships/hyperlink" Target="https://cafef1.mediacdn.vn/Images/Uploaded/DuLieuDownload/2020/DPM_20Q3_BCTC_HN.pdf" TargetMode="External"/><Relationship Id="rId11" Type="http://schemas.openxmlformats.org/officeDocument/2006/relationships/hyperlink" Target="https://www.investing.com/indices/vn-historical-data" TargetMode="External"/><Relationship Id="rId5" Type="http://schemas.openxmlformats.org/officeDocument/2006/relationships/hyperlink" Target="https://cafef1.mediacdn.vn/Images/Uploaded/DuLieuDownload/2019/DPM_19Q3_BCTC_HN.pdf" TargetMode="External"/><Relationship Id="rId10" Type="http://schemas.openxmlformats.org/officeDocument/2006/relationships/hyperlink" Target="https://www.imarcgroup.com/vietnam-fertilizers-market" TargetMode="External"/><Relationship Id="rId4" Type="http://schemas.openxmlformats.org/officeDocument/2006/relationships/hyperlink" Target="https://cafef1.mediacdn.vn/Images/Uploaded/DuLieuDownload/2018/DPM_18Q3_BCTC_HN.pdf" TargetMode="External"/><Relationship Id="rId9" Type="http://schemas.openxmlformats.org/officeDocument/2006/relationships/hyperlink" Target="https://cafef1.mediacdn.vn/Images/Uploaded/DuLieuDownload/BCTC/DPM_23Q3_BCTC_HN_081120231503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4E46-686F-424B-9B58-F26A67B6F885}">
  <dimension ref="A1:H13"/>
  <sheetViews>
    <sheetView zoomScale="98" zoomScaleNormal="100" workbookViewId="0">
      <selection activeCell="F24" sqref="F24"/>
    </sheetView>
  </sheetViews>
  <sheetFormatPr defaultRowHeight="14.5" x14ac:dyDescent="0.35"/>
  <cols>
    <col min="2" max="2" width="45.90625" customWidth="1"/>
    <col min="8" max="8" width="10.08984375" bestFit="1" customWidth="1"/>
  </cols>
  <sheetData>
    <row r="1" spans="1:8" x14ac:dyDescent="0.35">
      <c r="A1">
        <v>1</v>
      </c>
      <c r="B1" t="s">
        <v>174</v>
      </c>
      <c r="C1" s="94" t="s">
        <v>175</v>
      </c>
    </row>
    <row r="2" spans="1:8" x14ac:dyDescent="0.35">
      <c r="A2">
        <v>2</v>
      </c>
      <c r="B2" t="s">
        <v>176</v>
      </c>
      <c r="C2" s="94" t="s">
        <v>177</v>
      </c>
    </row>
    <row r="3" spans="1:8" x14ac:dyDescent="0.35">
      <c r="C3" s="94" t="s">
        <v>178</v>
      </c>
    </row>
    <row r="4" spans="1:8" x14ac:dyDescent="0.35">
      <c r="A4">
        <v>3</v>
      </c>
      <c r="B4" t="s">
        <v>197</v>
      </c>
    </row>
    <row r="5" spans="1:8" x14ac:dyDescent="0.35">
      <c r="B5">
        <v>2023</v>
      </c>
      <c r="C5" s="94" t="s">
        <v>203</v>
      </c>
    </row>
    <row r="6" spans="1:8" x14ac:dyDescent="0.35">
      <c r="B6">
        <f>B5-1</f>
        <v>2022</v>
      </c>
      <c r="C6" s="94" t="s">
        <v>202</v>
      </c>
    </row>
    <row r="7" spans="1:8" x14ac:dyDescent="0.35">
      <c r="B7">
        <f>B6-1</f>
        <v>2021</v>
      </c>
      <c r="C7" s="94" t="s">
        <v>201</v>
      </c>
    </row>
    <row r="8" spans="1:8" x14ac:dyDescent="0.35">
      <c r="B8">
        <f>B7-1</f>
        <v>2020</v>
      </c>
      <c r="C8" s="94" t="s">
        <v>200</v>
      </c>
    </row>
    <row r="9" spans="1:8" x14ac:dyDescent="0.35">
      <c r="B9">
        <f>B8-1</f>
        <v>2019</v>
      </c>
      <c r="C9" s="94" t="s">
        <v>199</v>
      </c>
      <c r="H9" s="95"/>
    </row>
    <row r="10" spans="1:8" x14ac:dyDescent="0.35">
      <c r="B10">
        <f>B9-1</f>
        <v>2018</v>
      </c>
      <c r="C10" s="94" t="s">
        <v>198</v>
      </c>
      <c r="H10" s="95"/>
    </row>
    <row r="11" spans="1:8" x14ac:dyDescent="0.35">
      <c r="C11" s="94"/>
      <c r="H11" s="95"/>
    </row>
    <row r="12" spans="1:8" x14ac:dyDescent="0.35">
      <c r="A12">
        <v>4</v>
      </c>
      <c r="B12" t="s">
        <v>1074</v>
      </c>
      <c r="C12" s="94" t="s">
        <v>1072</v>
      </c>
      <c r="H12" s="95"/>
    </row>
    <row r="13" spans="1:8" x14ac:dyDescent="0.35">
      <c r="A13">
        <v>5</v>
      </c>
      <c r="B13" t="s">
        <v>1079</v>
      </c>
      <c r="C13" s="94" t="s">
        <v>1080</v>
      </c>
    </row>
  </sheetData>
  <sheetProtection algorithmName="SHA-512" hashValue="DIFO1xIwiGYUkGFF0wSkW505yv0OODM5f2kl2Oe3HDP5svOZuJBf0taoejrAAg8u1XG8Td01Sq3MJMleMxpkXA==" saltValue="7ObmmMmoT92pmdFgQiyM2g==" spinCount="100000" sheet="1" objects="1" scenarios="1"/>
  <hyperlinks>
    <hyperlink ref="C1" r:id="rId1" xr:uid="{6A10EC5E-F38C-4F26-B7BB-8E8B9D333A4C}"/>
    <hyperlink ref="C2" r:id="rId2" xr:uid="{1F39E7E5-5D41-455A-8BF6-4405E7D0646F}"/>
    <hyperlink ref="C3" r:id="rId3" xr:uid="{CC8800CB-A3BB-453D-B138-770E219FF68A}"/>
    <hyperlink ref="C10" r:id="rId4" xr:uid="{8997514C-F3E3-4241-A743-157884695A7A}"/>
    <hyperlink ref="C9" r:id="rId5" xr:uid="{DCA772B4-5A41-40B2-822E-CEF98585D1F3}"/>
    <hyperlink ref="C8" r:id="rId6" xr:uid="{20B4A5EA-BDF6-4A94-B698-A47116F5E2B3}"/>
    <hyperlink ref="C7" r:id="rId7" xr:uid="{D1FBC389-25E2-4B33-BB5B-E0C56AF44DA9}"/>
    <hyperlink ref="C6" r:id="rId8" xr:uid="{4F9E5704-2D3B-4279-8A77-ADC6854B03D2}"/>
    <hyperlink ref="C5" r:id="rId9" xr:uid="{19A6D0EF-59A2-47C6-9174-79949028C075}"/>
    <hyperlink ref="C12" r:id="rId10" xr:uid="{2D96D98B-2BEF-4F5F-AA4F-F4450A118BCC}"/>
    <hyperlink ref="C13" r:id="rId11" xr:uid="{F392E17A-7F2E-459D-B458-D6CB721BED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359D7-8D82-410E-B4EC-0EE5D41FF773}">
  <dimension ref="A1:M63"/>
  <sheetViews>
    <sheetView showGridLines="0" topLeftCell="A5" zoomScale="97" zoomScaleNormal="40" workbookViewId="0">
      <selection activeCell="F27" sqref="F27"/>
    </sheetView>
  </sheetViews>
  <sheetFormatPr defaultRowHeight="14.5" x14ac:dyDescent="0.35"/>
  <cols>
    <col min="1" max="1" width="46.54296875" bestFit="1" customWidth="1"/>
    <col min="2" max="2" width="12.7265625" bestFit="1" customWidth="1"/>
    <col min="3" max="4" width="13.453125" bestFit="1" customWidth="1"/>
    <col min="5" max="5" width="16.453125" bestFit="1" customWidth="1"/>
    <col min="6" max="6" width="17.90625" bestFit="1" customWidth="1"/>
    <col min="7" max="7" width="13.453125" customWidth="1"/>
    <col min="8" max="8" width="13.36328125" customWidth="1"/>
    <col min="9" max="13" width="13.453125" bestFit="1" customWidth="1"/>
  </cols>
  <sheetData>
    <row r="1" spans="1:13" x14ac:dyDescent="0.35">
      <c r="A1" s="1" t="s">
        <v>0</v>
      </c>
      <c r="B1" s="1"/>
      <c r="C1" s="2"/>
      <c r="D1" s="2"/>
      <c r="E1" s="2"/>
      <c r="F1" s="2"/>
      <c r="G1" s="2"/>
      <c r="H1" s="2"/>
    </row>
    <row r="2" spans="1:13" x14ac:dyDescent="0.35">
      <c r="A2" s="1" t="s">
        <v>1</v>
      </c>
      <c r="B2" s="1"/>
      <c r="C2" s="2" t="s">
        <v>2</v>
      </c>
      <c r="D2" s="36"/>
      <c r="E2" s="2"/>
      <c r="F2" s="2"/>
      <c r="G2" s="36"/>
      <c r="H2" s="2"/>
    </row>
    <row r="3" spans="1:13" ht="15" thickBot="1" x14ac:dyDescent="0.4">
      <c r="A3" t="s">
        <v>1106</v>
      </c>
    </row>
    <row r="4" spans="1:13" x14ac:dyDescent="0.35">
      <c r="A4" s="157" t="s">
        <v>1101</v>
      </c>
      <c r="B4">
        <v>1</v>
      </c>
      <c r="C4">
        <v>2</v>
      </c>
      <c r="D4">
        <v>3</v>
      </c>
      <c r="E4">
        <v>4</v>
      </c>
      <c r="F4">
        <v>5</v>
      </c>
      <c r="I4">
        <v>6</v>
      </c>
    </row>
    <row r="5" spans="1:13" x14ac:dyDescent="0.35">
      <c r="A5" s="17" t="s">
        <v>127</v>
      </c>
      <c r="B5" s="97" t="s">
        <v>4</v>
      </c>
      <c r="C5" s="97" t="s">
        <v>5</v>
      </c>
      <c r="D5" s="97" t="s">
        <v>6</v>
      </c>
      <c r="E5" s="97" t="s">
        <v>7</v>
      </c>
      <c r="F5" s="97" t="s">
        <v>191</v>
      </c>
      <c r="G5" s="97" t="s">
        <v>210</v>
      </c>
      <c r="H5" s="97" t="s">
        <v>126</v>
      </c>
      <c r="I5" s="97" t="s">
        <v>192</v>
      </c>
      <c r="J5" s="97" t="s">
        <v>193</v>
      </c>
      <c r="K5" s="97" t="s">
        <v>194</v>
      </c>
      <c r="L5" s="97" t="s">
        <v>195</v>
      </c>
      <c r="M5" s="97" t="s">
        <v>196</v>
      </c>
    </row>
    <row r="6" spans="1:13" x14ac:dyDescent="0.35">
      <c r="A6" s="17" t="s">
        <v>64</v>
      </c>
      <c r="B6" s="31">
        <v>7761818.6045629997</v>
      </c>
      <c r="C6" s="31">
        <v>12786141.193352001</v>
      </c>
      <c r="D6" s="31">
        <v>18627179.544264998</v>
      </c>
      <c r="E6" s="31">
        <v>13569185.52</v>
      </c>
      <c r="F6" s="106">
        <f>'FCF Forecast'!F6</f>
        <v>14258162.042204542</v>
      </c>
      <c r="G6" s="31">
        <f>'2024FinalKeyData'!L6</f>
        <v>10187364.506297</v>
      </c>
      <c r="H6" s="31">
        <f>'2024FinalKeyData'!D41</f>
        <v>10332103.90148</v>
      </c>
      <c r="I6" s="106">
        <f>'FCF Forecast'!G6</f>
        <v>16806274.301444251</v>
      </c>
      <c r="J6" s="106">
        <f>'FCF Forecast'!H6</f>
        <v>19839801.076313507</v>
      </c>
      <c r="K6" s="106">
        <f>'FCF Forecast'!I6</f>
        <v>23456689.171825781</v>
      </c>
      <c r="L6" s="106">
        <f>'FCF Forecast'!J6</f>
        <v>27775715.441008896</v>
      </c>
      <c r="M6" s="106">
        <f>'FCF Forecast'!K6</f>
        <v>32941136.877677582</v>
      </c>
    </row>
    <row r="7" spans="1:13" x14ac:dyDescent="0.35">
      <c r="A7" t="s">
        <v>1091</v>
      </c>
      <c r="B7" s="31">
        <f>B9*B10</f>
        <v>4355324.2151639992</v>
      </c>
      <c r="C7" s="31">
        <f t="shared" ref="C7:I7" si="0">C9*C10</f>
        <v>5985699.4542695535</v>
      </c>
      <c r="D7" s="31">
        <f t="shared" si="0"/>
        <v>9743127.2987861447</v>
      </c>
      <c r="E7" s="31">
        <f>E9*E10</f>
        <v>7083300.7061915332</v>
      </c>
      <c r="F7" s="31">
        <f>F9*F10</f>
        <v>7142662.9885378899</v>
      </c>
      <c r="G7" s="31">
        <f>G9*G10</f>
        <v>5522488.3359744614</v>
      </c>
      <c r="H7" s="31">
        <f t="shared" si="0"/>
        <v>5727721.0035032369</v>
      </c>
      <c r="I7" s="31">
        <f t="shared" si="0"/>
        <v>7786127.5395280039</v>
      </c>
    </row>
    <row r="8" spans="1:13" x14ac:dyDescent="0.35">
      <c r="A8" s="155" t="s">
        <v>1108</v>
      </c>
      <c r="B8" s="120"/>
      <c r="C8" s="120">
        <f>(C7-B7)/B7</f>
        <v>0.3743407283960748</v>
      </c>
      <c r="D8" s="120">
        <f>(D7-C7)/C7</f>
        <v>0.62773413086025343</v>
      </c>
      <c r="E8" s="120">
        <f>(E7-D7)/D7</f>
        <v>-0.27299515966767551</v>
      </c>
      <c r="F8" s="120">
        <f t="shared" ref="F8:H8" si="1">(F7-E7)/E7</f>
        <v>8.380596110294727E-3</v>
      </c>
      <c r="G8" s="120"/>
      <c r="H8" s="120">
        <f t="shared" si="1"/>
        <v>3.7163078497034353E-2</v>
      </c>
      <c r="I8" s="120">
        <f>(I7-F7)/F7</f>
        <v>9.0087485861044633E-2</v>
      </c>
    </row>
    <row r="9" spans="1:13" x14ac:dyDescent="0.35">
      <c r="A9" s="155" t="s">
        <v>1092</v>
      </c>
      <c r="B9">
        <v>826.8</v>
      </c>
      <c r="C9">
        <v>749</v>
      </c>
      <c r="D9" s="140">
        <f>791.157+2.6</f>
        <v>793.75700000000006</v>
      </c>
      <c r="E9">
        <f>879+7.9</f>
        <v>886.9</v>
      </c>
      <c r="F9" s="140">
        <f>256+256/(1+4%)+409</f>
        <v>911.15384615384619</v>
      </c>
      <c r="G9">
        <f>480.4+364/2</f>
        <v>662.4</v>
      </c>
      <c r="H9" s="140">
        <f>501+409/2</f>
        <v>705.5</v>
      </c>
      <c r="I9" s="140">
        <f>6*SLOPE(B9:F9,B4:F4)+INTERCEPT(B9:F9,B4:F4)</f>
        <v>925.50447692307694</v>
      </c>
    </row>
    <row r="10" spans="1:13" x14ac:dyDescent="0.35">
      <c r="A10" s="155" t="s">
        <v>1093</v>
      </c>
      <c r="B10" s="31">
        <v>5267.6877299999996</v>
      </c>
      <c r="C10" s="31">
        <f>C23/(C9+1.35*C15+C20)</f>
        <v>7991.5880564346508</v>
      </c>
      <c r="D10" s="31">
        <f t="shared" ref="D10:I10" si="2">D23/(D9+1.35*D15+D20)</f>
        <v>12274.697796411427</v>
      </c>
      <c r="E10" s="31">
        <f>E23/(E9+1.35*E15+E20)</f>
        <v>7986.5832745422631</v>
      </c>
      <c r="F10" s="31">
        <f>F23/(F9+1.35*F15+F20)</f>
        <v>7839.1404686359283</v>
      </c>
      <c r="G10" s="31">
        <f>G23/(G9+1.35*G15+G20)</f>
        <v>8337.0898791884993</v>
      </c>
      <c r="H10" s="31">
        <f t="shared" si="2"/>
        <v>8118.6690340230152</v>
      </c>
      <c r="I10" s="31">
        <f t="shared" si="2"/>
        <v>8412.8469755367223</v>
      </c>
    </row>
    <row r="11" spans="1:13" x14ac:dyDescent="0.35">
      <c r="A11" s="155" t="s">
        <v>1094</v>
      </c>
      <c r="B11" s="120">
        <f t="shared" ref="B11:I11" si="3">B7/B6</f>
        <v>0.56112161814804606</v>
      </c>
      <c r="C11" s="120">
        <f t="shared" si="3"/>
        <v>0.46813963366693817</v>
      </c>
      <c r="D11" s="120">
        <f t="shared" si="3"/>
        <v>0.52305971903222959</v>
      </c>
      <c r="E11" s="120">
        <f t="shared" si="3"/>
        <v>0.52201369756137972</v>
      </c>
      <c r="F11" s="120">
        <f t="shared" si="3"/>
        <v>0.50095257491080658</v>
      </c>
      <c r="G11" s="120">
        <f t="shared" si="3"/>
        <v>0.54209195445602332</v>
      </c>
      <c r="H11" s="120">
        <f t="shared" si="3"/>
        <v>0.55436153740989591</v>
      </c>
      <c r="I11" s="120">
        <f t="shared" si="3"/>
        <v>0.46328694866410108</v>
      </c>
    </row>
    <row r="13" spans="1:13" x14ac:dyDescent="0.35">
      <c r="A13" t="s">
        <v>1095</v>
      </c>
      <c r="B13" s="31">
        <f>B15*B16</f>
        <v>672025.26215474994</v>
      </c>
      <c r="C13" s="31">
        <f t="shared" ref="C13:I13" si="4">C15*C16</f>
        <v>1639873.8691803904</v>
      </c>
      <c r="D13" s="31">
        <f t="shared" si="4"/>
        <v>2137638.6212450499</v>
      </c>
      <c r="E13" s="31">
        <f>E15*E16</f>
        <v>1487900.4640472238</v>
      </c>
      <c r="F13" s="31">
        <f>F15*F16</f>
        <v>1503821.5118007734</v>
      </c>
      <c r="G13" s="31">
        <f>G15*G16</f>
        <v>1065517.6034647466</v>
      </c>
      <c r="H13" s="31">
        <f t="shared" si="4"/>
        <v>1255491.2760939042</v>
      </c>
      <c r="I13" s="31">
        <f t="shared" si="4"/>
        <v>2447848.2266605301</v>
      </c>
    </row>
    <row r="14" spans="1:13" x14ac:dyDescent="0.35">
      <c r="A14" s="155" t="s">
        <v>1108</v>
      </c>
      <c r="B14" s="120"/>
      <c r="C14" s="120">
        <f>(C13-B13)/B13</f>
        <v>1.4401967627264138</v>
      </c>
      <c r="D14" s="120">
        <f>(D13-C13)/C13</f>
        <v>0.30353843757108134</v>
      </c>
      <c r="E14" s="120">
        <f>(E13-D13)/D13</f>
        <v>-0.30395135582804517</v>
      </c>
      <c r="F14" s="120">
        <f>(F13-E13)/E13</f>
        <v>1.0700344638809344E-2</v>
      </c>
      <c r="G14" s="120"/>
      <c r="H14" s="120">
        <f t="shared" ref="H14" si="5">(H13-G13)/G13</f>
        <v>0.17829238298027139</v>
      </c>
      <c r="I14" s="120">
        <f>(I13-F13)/F13</f>
        <v>0.62775183587400463</v>
      </c>
    </row>
    <row r="15" spans="1:13" x14ac:dyDescent="0.35">
      <c r="A15" s="155" t="s">
        <v>1092</v>
      </c>
      <c r="B15">
        <v>94.5</v>
      </c>
      <c r="C15">
        <v>152</v>
      </c>
      <c r="D15">
        <v>129</v>
      </c>
      <c r="E15">
        <v>138</v>
      </c>
      <c r="F15">
        <f>87+55.1</f>
        <v>142.1</v>
      </c>
      <c r="G15">
        <v>94.67</v>
      </c>
      <c r="H15" s="140">
        <f>87+55.1/2</f>
        <v>114.55</v>
      </c>
      <c r="I15">
        <f>'[1]Hình 25'!$D$7</f>
        <v>215.52999999999997</v>
      </c>
    </row>
    <row r="16" spans="1:13" x14ac:dyDescent="0.35">
      <c r="A16" s="155" t="s">
        <v>1093</v>
      </c>
      <c r="B16" s="31">
        <f>1.35*B10</f>
        <v>7111.3784354999998</v>
      </c>
      <c r="C16" s="31">
        <f t="shared" ref="C16:I16" si="6">1.35*C10</f>
        <v>10788.643876186779</v>
      </c>
      <c r="D16" s="31">
        <f t="shared" si="6"/>
        <v>16570.842025155427</v>
      </c>
      <c r="E16" s="31">
        <f>1.35*E10</f>
        <v>10781.887420632056</v>
      </c>
      <c r="F16" s="31">
        <f>1.35*F10</f>
        <v>10582.839632658504</v>
      </c>
      <c r="G16" s="31">
        <f>1.35*G10</f>
        <v>11255.071336904475</v>
      </c>
      <c r="H16" s="31">
        <f t="shared" si="6"/>
        <v>10960.203195931072</v>
      </c>
      <c r="I16" s="31">
        <f t="shared" si="6"/>
        <v>11357.343416974576</v>
      </c>
    </row>
    <row r="17" spans="1:9" x14ac:dyDescent="0.35">
      <c r="A17" s="155" t="s">
        <v>1094</v>
      </c>
      <c r="B17" s="120">
        <f t="shared" ref="B17:I17" si="7">B13/B6</f>
        <v>8.6580902800238252E-2</v>
      </c>
      <c r="C17" s="120">
        <f t="shared" si="7"/>
        <v>0.1282540091167633</v>
      </c>
      <c r="D17" s="120">
        <f t="shared" si="7"/>
        <v>0.11475911402288456</v>
      </c>
      <c r="E17" s="120">
        <f t="shared" si="7"/>
        <v>0.10965289418839222</v>
      </c>
      <c r="F17" s="120">
        <f t="shared" si="7"/>
        <v>0.10547092306493792</v>
      </c>
      <c r="G17" s="120">
        <f t="shared" si="7"/>
        <v>0.10459207607680381</v>
      </c>
      <c r="H17" s="120">
        <f t="shared" si="7"/>
        <v>0.12151361310972338</v>
      </c>
      <c r="I17" s="120">
        <f t="shared" si="7"/>
        <v>0.1456508553148019</v>
      </c>
    </row>
    <row r="18" spans="1:9" x14ac:dyDescent="0.35">
      <c r="A18" s="155"/>
    </row>
    <row r="19" spans="1:9" x14ac:dyDescent="0.35">
      <c r="A19" s="9" t="s">
        <v>1099</v>
      </c>
      <c r="B19" s="101">
        <f t="shared" ref="B19:I19" si="8">B23-B13-B7</f>
        <v>942916.10419625137</v>
      </c>
      <c r="C19" s="101">
        <f t="shared" si="8"/>
        <v>1949947.4857700551</v>
      </c>
      <c r="D19" s="101">
        <f t="shared" si="8"/>
        <v>2567412.615190804</v>
      </c>
      <c r="E19" s="101">
        <f t="shared" si="8"/>
        <v>2124431.1510282429</v>
      </c>
      <c r="F19" s="101">
        <f t="shared" si="8"/>
        <v>2203437.3616348905</v>
      </c>
      <c r="G19" s="101">
        <f t="shared" si="8"/>
        <v>1588830.7912272252</v>
      </c>
      <c r="H19" s="101">
        <f t="shared" si="8"/>
        <v>1589402.0173284411</v>
      </c>
      <c r="I19" s="101">
        <f t="shared" si="8"/>
        <v>2554963.1182071539</v>
      </c>
    </row>
    <row r="20" spans="1:9" x14ac:dyDescent="0.35">
      <c r="A20" s="155" t="s">
        <v>1092</v>
      </c>
      <c r="B20">
        <v>179</v>
      </c>
      <c r="C20">
        <v>244</v>
      </c>
      <c r="D20">
        <v>209.16300000000001</v>
      </c>
      <c r="E20">
        <v>266</v>
      </c>
      <c r="F20" s="140">
        <f>SLOPE(B20:E20,B4:E4)*F4+INTERCEPT(B20:E20,B4:E4)</f>
        <v>281.08150000000001</v>
      </c>
      <c r="G20" s="156">
        <f>AVERAGE(G9/E9,G15/E15)*E20</f>
        <v>190.57378704688699</v>
      </c>
      <c r="H20" s="140">
        <f>113/110*G20</f>
        <v>195.77125396634756</v>
      </c>
      <c r="I20" s="140">
        <f>I4*SLOPE(B20:F20,B4:F4)+INTERCEPT(B20:F20,B4:F4)</f>
        <v>303.69780000000003</v>
      </c>
    </row>
    <row r="21" spans="1:9" x14ac:dyDescent="0.35">
      <c r="A21" s="155" t="s">
        <v>1094</v>
      </c>
      <c r="B21" s="120">
        <f t="shared" ref="B21:I21" si="9">B19/B6</f>
        <v>0.12148133733013705</v>
      </c>
      <c r="C21" s="120">
        <f t="shared" si="9"/>
        <v>0.15250476717587841</v>
      </c>
      <c r="D21" s="120">
        <f t="shared" si="9"/>
        <v>0.13783152779999203</v>
      </c>
      <c r="E21" s="120">
        <f t="shared" si="9"/>
        <v>0.15656290850301846</v>
      </c>
      <c r="F21" s="120">
        <f t="shared" si="9"/>
        <v>0.15453866740416169</v>
      </c>
      <c r="G21" s="120">
        <f t="shared" si="9"/>
        <v>0.15596092495219341</v>
      </c>
      <c r="H21" s="120">
        <f t="shared" si="9"/>
        <v>0.15383140089220074</v>
      </c>
      <c r="I21" s="120">
        <f t="shared" si="9"/>
        <v>0.15202436140100323</v>
      </c>
    </row>
    <row r="23" spans="1:9" x14ac:dyDescent="0.35">
      <c r="A23" s="9" t="s">
        <v>1097</v>
      </c>
      <c r="B23" s="31">
        <v>5970265.5815150002</v>
      </c>
      <c r="C23" s="31">
        <v>9575520.8092199992</v>
      </c>
      <c r="D23" s="31">
        <v>14448178.535222</v>
      </c>
      <c r="E23" s="31">
        <v>10695632.321266999</v>
      </c>
      <c r="F23" s="31">
        <f>F6-F26-F32</f>
        <v>10849921.861973554</v>
      </c>
      <c r="G23" s="31">
        <f>G6-G26-G32</f>
        <v>8176836.7306664335</v>
      </c>
      <c r="H23" s="31">
        <f>H6-H26-H32</f>
        <v>8572614.296925582</v>
      </c>
      <c r="I23" s="31">
        <f>I6-I26-I32</f>
        <v>12788938.884395689</v>
      </c>
    </row>
    <row r="24" spans="1:9" x14ac:dyDescent="0.35">
      <c r="A24" s="155" t="s">
        <v>1094</v>
      </c>
      <c r="B24" s="120">
        <f t="shared" ref="B24:I24" si="10">B23/B6</f>
        <v>0.76918385827842128</v>
      </c>
      <c r="C24" s="120">
        <f t="shared" si="10"/>
        <v>0.7488984099595799</v>
      </c>
      <c r="D24" s="120">
        <f t="shared" si="10"/>
        <v>0.7756503608551063</v>
      </c>
      <c r="E24" s="120">
        <f t="shared" si="10"/>
        <v>0.78822950025279037</v>
      </c>
      <c r="F24" s="120">
        <f t="shared" si="10"/>
        <v>0.76096216537990624</v>
      </c>
      <c r="G24" s="120">
        <f t="shared" si="10"/>
        <v>0.80264495548502057</v>
      </c>
      <c r="H24" s="120">
        <f t="shared" si="10"/>
        <v>0.82970655141182004</v>
      </c>
      <c r="I24" s="120">
        <f t="shared" si="10"/>
        <v>0.76096216537990624</v>
      </c>
    </row>
    <row r="25" spans="1:9" x14ac:dyDescent="0.35">
      <c r="A25" s="9"/>
    </row>
    <row r="26" spans="1:9" s="31" customFormat="1" ht="12.5" x14ac:dyDescent="0.25">
      <c r="A26" s="31" t="s">
        <v>1098</v>
      </c>
      <c r="B26" s="31">
        <v>1328696.335557</v>
      </c>
      <c r="C26" s="31">
        <v>2190354.8814659999</v>
      </c>
      <c r="D26" s="31">
        <v>2488990.6974550001</v>
      </c>
      <c r="E26" s="31">
        <v>2144234.567669</v>
      </c>
      <c r="F26" s="31">
        <f>F6*AVERAGE($B$27:$E$27)</f>
        <v>2260397.7066930952</v>
      </c>
      <c r="G26" s="31">
        <f>289690.401071+349724.412427+497354.048379</f>
        <v>1136768.861877</v>
      </c>
      <c r="H26" s="31">
        <f>353262.409677+308116.488395+266332.552747</f>
        <v>927711.45081900002</v>
      </c>
      <c r="I26" s="31">
        <f>I6*AVERAGE($B$27:$E$27)</f>
        <v>2664359.1071971008</v>
      </c>
    </row>
    <row r="27" spans="1:9" x14ac:dyDescent="0.35">
      <c r="A27" s="155" t="s">
        <v>1094</v>
      </c>
      <c r="B27" s="120">
        <f t="shared" ref="B27:I27" si="11">B26/B6</f>
        <v>0.17118363662555694</v>
      </c>
      <c r="C27" s="120">
        <f t="shared" si="11"/>
        <v>0.17130695245292993</v>
      </c>
      <c r="D27" s="120">
        <f t="shared" si="11"/>
        <v>0.1336214477097967</v>
      </c>
      <c r="E27" s="120">
        <f t="shared" si="11"/>
        <v>0.15802234883652766</v>
      </c>
      <c r="F27" s="120">
        <f t="shared" si="11"/>
        <v>0.15853359640620279</v>
      </c>
      <c r="G27" s="120">
        <f t="shared" si="11"/>
        <v>0.11158615765386053</v>
      </c>
      <c r="H27" s="120">
        <f t="shared" si="11"/>
        <v>8.9789210374289011E-2</v>
      </c>
      <c r="I27" s="120">
        <f t="shared" si="11"/>
        <v>0.15853359640620279</v>
      </c>
    </row>
    <row r="28" spans="1:9" x14ac:dyDescent="0.35">
      <c r="A28" s="155"/>
    </row>
    <row r="29" spans="1:9" x14ac:dyDescent="0.35">
      <c r="A29" s="9" t="s">
        <v>1096</v>
      </c>
      <c r="B29" s="101">
        <f>B26+B19</f>
        <v>2271612.4397532512</v>
      </c>
      <c r="C29" s="101">
        <f t="shared" ref="C29:I29" si="12">C26+C19</f>
        <v>4140302.367236055</v>
      </c>
      <c r="D29" s="101">
        <f t="shared" si="12"/>
        <v>5056403.3126458041</v>
      </c>
      <c r="E29" s="101">
        <f>E26+E19</f>
        <v>4268665.7186972424</v>
      </c>
      <c r="F29" s="101">
        <f>F26+F19</f>
        <v>4463835.0683279857</v>
      </c>
      <c r="G29" s="101">
        <f>G26+G19</f>
        <v>2725599.6531042252</v>
      </c>
      <c r="H29" s="101">
        <f t="shared" si="12"/>
        <v>2517113.4681474413</v>
      </c>
      <c r="I29" s="101">
        <f t="shared" si="12"/>
        <v>5219322.2254042551</v>
      </c>
    </row>
    <row r="30" spans="1:9" x14ac:dyDescent="0.35">
      <c r="A30" s="155" t="s">
        <v>1108</v>
      </c>
      <c r="B30" s="120"/>
      <c r="C30" s="120">
        <f>(C29-B29)/B29</f>
        <v>0.82262708848600341</v>
      </c>
      <c r="D30" s="120">
        <f>(D29-C29)/C29</f>
        <v>0.22126426143637221</v>
      </c>
      <c r="E30" s="120">
        <f>(E29-D29)/D29</f>
        <v>-0.15579010321001699</v>
      </c>
      <c r="F30" s="120">
        <f>(F29-E29)/E29</f>
        <v>4.5721394574393413E-2</v>
      </c>
      <c r="G30" s="120"/>
      <c r="H30" s="120">
        <f t="shared" ref="H30" si="13">(H29-G29)/G29</f>
        <v>-7.6491859220533712E-2</v>
      </c>
      <c r="I30" s="120">
        <f>(I29-F29)/F29</f>
        <v>0.16924620769182036</v>
      </c>
    </row>
    <row r="31" spans="1:9" x14ac:dyDescent="0.35">
      <c r="A31" s="155"/>
      <c r="E31" s="101"/>
    </row>
    <row r="32" spans="1:9" x14ac:dyDescent="0.35">
      <c r="A32" t="s">
        <v>1100</v>
      </c>
      <c r="B32" s="31">
        <f>536558.632218+ 31677.464721</f>
        <v>568236.09693900007</v>
      </c>
      <c r="C32" s="31">
        <f>1068134.565808+ 45282.77605</f>
        <v>1113417.341858</v>
      </c>
      <c r="D32" s="31">
        <f>1765926.74299+ 41235.711997</f>
        <v>1807162.454987</v>
      </c>
      <c r="E32" s="31">
        <f xml:space="preserve"> 840512.835832+37553.125063</f>
        <v>878065.96089500003</v>
      </c>
      <c r="F32" s="31">
        <f>F6*AVERAGE($B$34:$D$34,$E$34)</f>
        <v>1147842.4735378926</v>
      </c>
      <c r="G32" s="31">
        <f>G6*AVERAGE(B34:D34)</f>
        <v>873758.91375356622</v>
      </c>
      <c r="H32" s="31">
        <f>H6*AVERAGE($B$34:$D$34,$E$34)</f>
        <v>831778.15373541822</v>
      </c>
      <c r="I32" s="31">
        <f>I6*AVERAGE($B$34:$D$34,$E$34)</f>
        <v>1352976.309851462</v>
      </c>
    </row>
    <row r="33" spans="1:13" x14ac:dyDescent="0.35">
      <c r="A33" s="155" t="s">
        <v>1108</v>
      </c>
      <c r="B33" s="120"/>
      <c r="C33" s="120">
        <f>(C32-B32)/B32</f>
        <v>0.95942733637621225</v>
      </c>
      <c r="D33" s="120">
        <f>(D32-C32)/C32</f>
        <v>0.62307733771356766</v>
      </c>
      <c r="E33" s="120">
        <f>(E32-D32)/D32</f>
        <v>-0.51411896674152824</v>
      </c>
      <c r="F33" s="120">
        <f>(F32-E32)/E32</f>
        <v>0.30723946110826711</v>
      </c>
      <c r="G33" s="120"/>
      <c r="H33" s="120">
        <f t="shared" ref="H33" si="14">(H32-G32)/G32</f>
        <v>-4.8046159366550614E-2</v>
      </c>
      <c r="I33" s="120">
        <f>(I32-F32)/F32</f>
        <v>0.17871253333334469</v>
      </c>
    </row>
    <row r="34" spans="1:13" x14ac:dyDescent="0.35">
      <c r="A34" s="155" t="s">
        <v>1094</v>
      </c>
      <c r="B34" s="120">
        <f t="shared" ref="B34:I34" si="15">B32/B6</f>
        <v>7.3209144130854428E-2</v>
      </c>
      <c r="C34" s="120">
        <f t="shared" si="15"/>
        <v>8.7080013040752899E-2</v>
      </c>
      <c r="D34" s="120">
        <f t="shared" si="15"/>
        <v>9.7017503411749501E-2</v>
      </c>
      <c r="E34" s="120">
        <f t="shared" si="15"/>
        <v>6.4710292272207065E-2</v>
      </c>
      <c r="F34" s="120">
        <f t="shared" si="15"/>
        <v>8.0504238213890966E-2</v>
      </c>
      <c r="G34" s="120">
        <f t="shared" si="15"/>
        <v>8.5768886861118943E-2</v>
      </c>
      <c r="H34" s="120">
        <f t="shared" si="15"/>
        <v>8.0504238213890966E-2</v>
      </c>
      <c r="I34" s="120">
        <f t="shared" si="15"/>
        <v>8.0504238213890966E-2</v>
      </c>
    </row>
    <row r="36" spans="1:13" x14ac:dyDescent="0.35">
      <c r="A36" s="17" t="s">
        <v>1102</v>
      </c>
      <c r="B36" s="101" cm="1">
        <f t="array" ref="B36:E36">'Raw Data'!B69:E69</f>
        <v>1729803.6135729998</v>
      </c>
      <c r="C36" s="101">
        <v>4785538.7550350009</v>
      </c>
      <c r="D36" s="101">
        <v>7838219.8814519979</v>
      </c>
      <c r="E36" s="101">
        <v>1651746.8899999987</v>
      </c>
      <c r="F36" s="101">
        <f>'2024FinalKeyData'!E43</f>
        <v>2252918.812713543</v>
      </c>
      <c r="G36" s="101">
        <f>'2024FinalKeyData'!L8</f>
        <v>1319467.9231679998</v>
      </c>
      <c r="H36" s="101">
        <f>'2024FinalKeyData'!D43</f>
        <v>1505274.8390330002</v>
      </c>
      <c r="I36" s="106" cm="1">
        <f t="array" ref="I36:M36">'FCF Forecast'!G8:K8</f>
        <v>4361791.806999689</v>
      </c>
      <c r="J36" s="106">
        <v>5149093.7393382471</v>
      </c>
      <c r="K36" s="106">
        <v>6087797.4983554631</v>
      </c>
      <c r="L36" s="106">
        <v>7208729.6607872322</v>
      </c>
      <c r="M36" s="106">
        <v>8549329.7544216588</v>
      </c>
    </row>
    <row r="37" spans="1:13" x14ac:dyDescent="0.35">
      <c r="A37" s="155" t="s">
        <v>1108</v>
      </c>
      <c r="B37" s="120"/>
      <c r="C37" s="120">
        <f>(C36-B36)/B36</f>
        <v>1.7665214232904858</v>
      </c>
      <c r="D37" s="120">
        <f>(D36-C36)/C36</f>
        <v>0.63789706502850585</v>
      </c>
      <c r="E37" s="120">
        <f>(E36-D36)/D36</f>
        <v>-0.78927015126117905</v>
      </c>
      <c r="F37" s="120">
        <f>(F36-E36)/E36</f>
        <v>0.36396128629220226</v>
      </c>
      <c r="G37" s="120"/>
      <c r="H37" s="120">
        <f t="shared" ref="H37" si="16">(H36-G36)/G36</f>
        <v>0.14081957780291007</v>
      </c>
      <c r="I37" s="120">
        <f>(I36-F36)/F36</f>
        <v>0.93606257907984713</v>
      </c>
    </row>
    <row r="38" spans="1:13" x14ac:dyDescent="0.35">
      <c r="A38" t="s">
        <v>1091</v>
      </c>
      <c r="B38" s="31">
        <f>B39*B9</f>
        <v>1152686.6754023673</v>
      </c>
      <c r="C38" s="31">
        <f t="shared" ref="C38:H38" si="17">C39*C9</f>
        <v>2406086.5010760045</v>
      </c>
      <c r="D38" s="31">
        <f t="shared" si="17"/>
        <v>4599169.7645151839</v>
      </c>
      <c r="E38" s="31">
        <f t="shared" si="17"/>
        <v>1138653.1138675818</v>
      </c>
      <c r="F38" s="31">
        <f t="shared" si="17"/>
        <v>1289195.152670783</v>
      </c>
      <c r="G38" s="31">
        <f t="shared" si="17"/>
        <v>863682.76050249231</v>
      </c>
      <c r="H38" s="31">
        <f t="shared" si="17"/>
        <v>868648.07626584813</v>
      </c>
      <c r="I38" s="31">
        <f>I40*I49</f>
        <v>2525432.1587045286</v>
      </c>
    </row>
    <row r="39" spans="1:13" x14ac:dyDescent="0.35">
      <c r="A39" s="155" t="s">
        <v>1107</v>
      </c>
      <c r="B39" s="31">
        <f>B49/(B9+B20+B15*AVERAGE(1.4,2))</f>
        <v>1394.1541792481462</v>
      </c>
      <c r="C39" s="31">
        <f>C49/(C9+C20+C15*AVERAGE(1.5,2))</f>
        <v>3212.3985328117551</v>
      </c>
      <c r="D39" s="31">
        <f>D49/(D9+D20+D15*AVERAGE(1.2,1.5))</f>
        <v>5794.1785263187394</v>
      </c>
      <c r="E39" s="31">
        <f>E49/(E9+E20+E15*AVERAGE(1.1,1.3))</f>
        <v>1283.8573839977246</v>
      </c>
      <c r="F39" s="31">
        <f>F49/(F9+F20+F15*AVERAGE(1.5,1.3))</f>
        <v>1414.9039244170688</v>
      </c>
      <c r="G39" s="31">
        <f>G49/(G9+G20+G15*14/13)</f>
        <v>1303.8689017247771</v>
      </c>
      <c r="H39" s="31">
        <f>H49/(H9+H20+H15*11/8)</f>
        <v>1231.2517027155891</v>
      </c>
      <c r="I39" s="31"/>
    </row>
    <row r="40" spans="1:13" x14ac:dyDescent="0.35">
      <c r="A40" s="155" t="s">
        <v>1104</v>
      </c>
      <c r="B40" s="120">
        <f t="shared" ref="B40:H40" si="18">B38/B49</f>
        <v>0.70881735179390459</v>
      </c>
      <c r="C40" s="120">
        <f t="shared" si="18"/>
        <v>0.59491660047656869</v>
      </c>
      <c r="D40" s="120">
        <f t="shared" si="18"/>
        <v>0.67434986874187597</v>
      </c>
      <c r="E40" s="120">
        <f t="shared" si="18"/>
        <v>0.67265832385286306</v>
      </c>
      <c r="F40" s="120">
        <f t="shared" si="18"/>
        <v>0.65495255409240416</v>
      </c>
      <c r="G40" s="120">
        <f t="shared" si="18"/>
        <v>0.69366624668573096</v>
      </c>
      <c r="H40" s="120">
        <f t="shared" si="18"/>
        <v>0.66633452010180205</v>
      </c>
      <c r="I40" s="120">
        <f>AVERAGE(B40:E40)</f>
        <v>0.66268553621630311</v>
      </c>
    </row>
    <row r="42" spans="1:13" x14ac:dyDescent="0.35">
      <c r="A42" s="31" t="s">
        <v>1095</v>
      </c>
      <c r="B42" s="31">
        <f>B43*B15</f>
        <v>223970.86889621467</v>
      </c>
      <c r="C42" s="31">
        <f t="shared" ref="C42:H42" si="19">C43*C15</f>
        <v>854498.00972792681</v>
      </c>
      <c r="D42" s="31">
        <f t="shared" si="19"/>
        <v>1009056.1903584085</v>
      </c>
      <c r="E42" s="31">
        <f t="shared" si="19"/>
        <v>212606.78279002322</v>
      </c>
      <c r="F42" s="31">
        <f t="shared" si="19"/>
        <v>281480.98672353162</v>
      </c>
      <c r="G42" s="31">
        <f t="shared" si="19"/>
        <v>132932.44345907576</v>
      </c>
      <c r="H42" s="31">
        <f t="shared" si="19"/>
        <v>193929.83850084725</v>
      </c>
      <c r="I42" s="31">
        <f>I44*I49</f>
        <v>593123.43331077893</v>
      </c>
    </row>
    <row r="43" spans="1:13" x14ac:dyDescent="0.35">
      <c r="A43" s="155" t="s">
        <v>1107</v>
      </c>
      <c r="B43" s="31">
        <f>B39*AVERAGE(1.4,2)</f>
        <v>2370.0621047218483</v>
      </c>
      <c r="C43" s="31">
        <f>C39*AVERAGE(1.5,2)</f>
        <v>5621.6974324205712</v>
      </c>
      <c r="D43" s="31">
        <f>D39*AVERAGE(1.2,1.5)</f>
        <v>7822.1410105302984</v>
      </c>
      <c r="E43" s="31">
        <f>E39*AVERAGE(1.1,1.3)</f>
        <v>1540.6288607972697</v>
      </c>
      <c r="F43" s="31">
        <f>F39*AVERAGE(1.5,1.3)</f>
        <v>1980.8654941838961</v>
      </c>
      <c r="G43" s="31">
        <f>G39*14/13</f>
        <v>1404.1665095497597</v>
      </c>
      <c r="H43" s="31">
        <f>H39*11/8</f>
        <v>1692.9710912339351</v>
      </c>
      <c r="I43" s="31"/>
    </row>
    <row r="44" spans="1:13" x14ac:dyDescent="0.35">
      <c r="A44" s="155" t="s">
        <v>1104</v>
      </c>
      <c r="B44" s="120">
        <f t="shared" ref="B44:H44" si="20">B42/B49</f>
        <v>0.13772557760726992</v>
      </c>
      <c r="C44" s="120">
        <f t="shared" si="20"/>
        <v>0.21127879269261318</v>
      </c>
      <c r="D44" s="120">
        <f t="shared" si="20"/>
        <v>0.14795211839567737</v>
      </c>
      <c r="E44" s="120">
        <f t="shared" si="20"/>
        <v>0.1255972696245734</v>
      </c>
      <c r="F44" s="120">
        <f t="shared" si="20"/>
        <v>0.14300138408145693</v>
      </c>
      <c r="G44" s="120">
        <f t="shared" si="20"/>
        <v>0.10676460540137658</v>
      </c>
      <c r="H44" s="120">
        <f t="shared" si="20"/>
        <v>0.14876236925128911</v>
      </c>
      <c r="I44" s="120">
        <f>AVERAGE(B44:E44)</f>
        <v>0.15563843958003346</v>
      </c>
    </row>
    <row r="46" spans="1:13" x14ac:dyDescent="0.35">
      <c r="A46" t="s">
        <v>1099</v>
      </c>
      <c r="B46" s="31">
        <f>B49-B42-B38</f>
        <v>249553.59808541811</v>
      </c>
      <c r="C46" s="31">
        <f t="shared" ref="C46:I46" si="21">C49-C42-C38</f>
        <v>783825.24200606812</v>
      </c>
      <c r="D46" s="31">
        <f t="shared" si="21"/>
        <v>1211927.7631004071</v>
      </c>
      <c r="E46" s="31">
        <f t="shared" si="21"/>
        <v>341506.06414339482</v>
      </c>
      <c r="F46" s="31">
        <f t="shared" si="21"/>
        <v>397703.31743103638</v>
      </c>
      <c r="G46" s="31">
        <f t="shared" si="21"/>
        <v>248483.23441435606</v>
      </c>
      <c r="H46" s="31">
        <f t="shared" si="21"/>
        <v>241043.68978883128</v>
      </c>
      <c r="I46" s="31">
        <f t="shared" si="21"/>
        <v>692350.21577377012</v>
      </c>
    </row>
    <row r="47" spans="1:13" x14ac:dyDescent="0.35">
      <c r="A47" s="155" t="s">
        <v>1104</v>
      </c>
      <c r="B47" s="120">
        <f t="shared" ref="B47:I47" si="22">B46/B49</f>
        <v>0.15345707059882546</v>
      </c>
      <c r="C47" s="120">
        <f t="shared" si="22"/>
        <v>0.1938046068308181</v>
      </c>
      <c r="D47" s="120">
        <f t="shared" si="22"/>
        <v>0.17769801286244663</v>
      </c>
      <c r="E47" s="120">
        <f t="shared" si="22"/>
        <v>0.20174440652256356</v>
      </c>
      <c r="F47" s="120">
        <f t="shared" si="22"/>
        <v>0.2020460618261388</v>
      </c>
      <c r="G47" s="120">
        <f t="shared" si="22"/>
        <v>0.19956914791289232</v>
      </c>
      <c r="H47" s="120">
        <f t="shared" si="22"/>
        <v>0.18490311064690876</v>
      </c>
      <c r="I47" s="120">
        <f t="shared" si="22"/>
        <v>0.18167602420366347</v>
      </c>
    </row>
    <row r="48" spans="1:13" x14ac:dyDescent="0.35">
      <c r="E48" s="101"/>
    </row>
    <row r="49" spans="1:10" x14ac:dyDescent="0.35">
      <c r="A49" s="9" t="s">
        <v>1097</v>
      </c>
      <c r="B49" s="101">
        <f>B23- 4344054.439131</f>
        <v>1626211.1423840001</v>
      </c>
      <c r="C49" s="101">
        <f>C23- 5531111.05641</f>
        <v>4044409.7528099995</v>
      </c>
      <c r="D49" s="101">
        <f>D23-7628024.817248</f>
        <v>6820153.7179739997</v>
      </c>
      <c r="E49" s="101">
        <f>E23-9002866.360466</f>
        <v>1692765.9608009998</v>
      </c>
      <c r="F49" s="101">
        <f>F36-F56-F51</f>
        <v>1968379.4568253511</v>
      </c>
      <c r="G49" s="101">
        <f>G36-G56-G51</f>
        <v>1245098.4383759242</v>
      </c>
      <c r="H49" s="101">
        <f>H36-H56-H51</f>
        <v>1303621.6045555267</v>
      </c>
      <c r="I49" s="101">
        <f>I36-I56-I51</f>
        <v>3810905.8077890775</v>
      </c>
    </row>
    <row r="51" spans="1:10" x14ac:dyDescent="0.35">
      <c r="A51" s="31" t="s">
        <v>1098</v>
      </c>
      <c r="B51" s="31">
        <f>63110.851407</f>
        <v>63110.851407000002</v>
      </c>
      <c r="C51" s="31">
        <v>292643.72117600002</v>
      </c>
      <c r="D51" s="31">
        <v>85067.318683999998</v>
      </c>
      <c r="E51" s="31">
        <v>-61536.882478</v>
      </c>
      <c r="F51" s="31">
        <f>F36*AVERAGE(B52:E52)</f>
        <v>40120.727497534222</v>
      </c>
      <c r="G51" s="31">
        <f>G26-(461687.717507+397556.284763+348948.933338)</f>
        <v>-71424.07373100007</v>
      </c>
      <c r="H51" s="31">
        <f>H26-(318843.976824+309493.900948+261027.249334)</f>
        <v>38346.323713000049</v>
      </c>
      <c r="I51" s="31">
        <f>I36*AVERAGE(B52:F52)</f>
        <v>77676.239153435847</v>
      </c>
    </row>
    <row r="52" spans="1:10" x14ac:dyDescent="0.35">
      <c r="A52" s="155" t="s">
        <v>1103</v>
      </c>
      <c r="B52" s="120">
        <f t="shared" ref="B52:I52" si="23">B51/B36</f>
        <v>3.6484402571365447E-2</v>
      </c>
      <c r="C52" s="120">
        <f t="shared" si="23"/>
        <v>6.1151677200002044E-2</v>
      </c>
      <c r="D52" s="120">
        <f t="shared" si="23"/>
        <v>1.0852887514076938E-2</v>
      </c>
      <c r="E52" s="120">
        <f t="shared" si="23"/>
        <v>-3.7255636956579977E-2</v>
      </c>
      <c r="F52" s="120">
        <f t="shared" si="23"/>
        <v>1.7808332582216112E-2</v>
      </c>
      <c r="G52" s="120">
        <f t="shared" si="23"/>
        <v>-5.4130966336425348E-2</v>
      </c>
      <c r="H52" s="120">
        <f t="shared" si="23"/>
        <v>2.5474632750544089E-2</v>
      </c>
      <c r="I52" s="120">
        <f t="shared" si="23"/>
        <v>1.7808332582216112E-2</v>
      </c>
    </row>
    <row r="54" spans="1:10" x14ac:dyDescent="0.35">
      <c r="A54" s="9" t="s">
        <v>1096</v>
      </c>
      <c r="B54" s="101">
        <f t="shared" ref="B54:I54" si="24">B46+B51</f>
        <v>312664.44949241809</v>
      </c>
      <c r="C54" s="101">
        <f t="shared" si="24"/>
        <v>1076468.9631820682</v>
      </c>
      <c r="D54" s="101">
        <f t="shared" si="24"/>
        <v>1296995.0817844071</v>
      </c>
      <c r="E54" s="101">
        <f t="shared" si="24"/>
        <v>279969.1816653948</v>
      </c>
      <c r="F54" s="101">
        <f t="shared" si="24"/>
        <v>437824.04492857063</v>
      </c>
      <c r="G54" s="101">
        <f t="shared" si="24"/>
        <v>177059.16068335599</v>
      </c>
      <c r="H54" s="101">
        <f t="shared" si="24"/>
        <v>279390.01350183133</v>
      </c>
      <c r="I54" s="101">
        <f t="shared" si="24"/>
        <v>770026.45492720592</v>
      </c>
    </row>
    <row r="56" spans="1:10" x14ac:dyDescent="0.35">
      <c r="A56" t="s">
        <v>1100</v>
      </c>
      <c r="B56" s="101">
        <f>B32-(400560.139795+21814.927914)</f>
        <v>145861.02923000004</v>
      </c>
      <c r="C56" s="101">
        <f>C32-( 549154.589045+22625.632572)</f>
        <v>541637.12024099997</v>
      </c>
      <c r="D56" s="101">
        <f>D32-(717849.244209+39162.222585)</f>
        <v>1050150.988193</v>
      </c>
      <c r="E56" s="101">
        <f>E32-(683418.843329+25381.977935)</f>
        <v>169265.139631</v>
      </c>
      <c r="F56" s="101">
        <f>F36*AVERAGE(B57:E57)</f>
        <v>244418.62839065769</v>
      </c>
      <c r="G56" s="101">
        <f>G36*AVERAGE(B57:D57)</f>
        <v>145793.55852307568</v>
      </c>
      <c r="H56" s="101">
        <f>H36*AVERAGE(B57:E57)</f>
        <v>163306.9107644734</v>
      </c>
      <c r="I56" s="101">
        <f>I36*AVERAGE(B57:E57)</f>
        <v>473209.76005717547</v>
      </c>
      <c r="J56" s="101"/>
    </row>
    <row r="57" spans="1:10" x14ac:dyDescent="0.35">
      <c r="A57" s="155" t="s">
        <v>1103</v>
      </c>
      <c r="B57" s="120">
        <f t="shared" ref="B57:I57" si="25">B56/B36</f>
        <v>8.4322305772454975E-2</v>
      </c>
      <c r="C57" s="120">
        <f t="shared" si="25"/>
        <v>0.11318205701941672</v>
      </c>
      <c r="D57" s="120">
        <f t="shared" si="25"/>
        <v>0.13397825068393768</v>
      </c>
      <c r="E57" s="120">
        <f t="shared" si="25"/>
        <v>0.10247643912984764</v>
      </c>
      <c r="F57" s="120">
        <f t="shared" si="25"/>
        <v>0.10848976315141426</v>
      </c>
      <c r="G57" s="120">
        <f t="shared" si="25"/>
        <v>0.11049420449193646</v>
      </c>
      <c r="H57" s="120">
        <f t="shared" si="25"/>
        <v>0.10848976315141426</v>
      </c>
      <c r="I57" s="120">
        <f t="shared" si="25"/>
        <v>0.10848976315141426</v>
      </c>
    </row>
    <row r="59" spans="1:10" x14ac:dyDescent="0.35">
      <c r="A59" s="17" t="s">
        <v>137</v>
      </c>
      <c r="D59" s="101"/>
    </row>
    <row r="60" spans="1:10" x14ac:dyDescent="0.35">
      <c r="A60" t="s">
        <v>1091</v>
      </c>
      <c r="B60" s="121">
        <f t="shared" ref="B60:I60" si="26">B38/B7</f>
        <v>0.26466150818096168</v>
      </c>
      <c r="C60" s="121">
        <f t="shared" si="26"/>
        <v>0.40197248783678263</v>
      </c>
      <c r="D60" s="121">
        <f t="shared" si="26"/>
        <v>0.47204245859419031</v>
      </c>
      <c r="E60" s="121">
        <f t="shared" si="26"/>
        <v>0.16075176829246879</v>
      </c>
      <c r="F60" s="121">
        <f t="shared" si="26"/>
        <v>0.18049222744228655</v>
      </c>
      <c r="G60" s="121">
        <f t="shared" si="26"/>
        <v>0.15639376816358502</v>
      </c>
      <c r="H60" s="121">
        <f t="shared" si="26"/>
        <v>0.15165684147928266</v>
      </c>
      <c r="I60" s="121">
        <f t="shared" si="26"/>
        <v>0.32435021721434848</v>
      </c>
    </row>
    <row r="61" spans="1:10" x14ac:dyDescent="0.35">
      <c r="A61" t="s">
        <v>1095</v>
      </c>
      <c r="B61" s="121">
        <f t="shared" ref="B61:I61" si="27">B42/B13</f>
        <v>0.33327745474639614</v>
      </c>
      <c r="C61" s="121">
        <f t="shared" si="27"/>
        <v>0.52107544719582932</v>
      </c>
      <c r="D61" s="121">
        <f t="shared" si="27"/>
        <v>0.47204245859419031</v>
      </c>
      <c r="E61" s="121">
        <f t="shared" si="27"/>
        <v>0.14289046070441672</v>
      </c>
      <c r="F61" s="121">
        <f t="shared" si="27"/>
        <v>0.18717712475496379</v>
      </c>
      <c r="G61" s="121">
        <f t="shared" si="27"/>
        <v>0.12475856149801651</v>
      </c>
      <c r="H61" s="121">
        <f t="shared" si="27"/>
        <v>0.15446530150667676</v>
      </c>
      <c r="I61" s="121">
        <f t="shared" si="27"/>
        <v>0.24230400678065972</v>
      </c>
    </row>
    <row r="62" spans="1:10" x14ac:dyDescent="0.35">
      <c r="A62" t="s">
        <v>1096</v>
      </c>
      <c r="B62" s="121">
        <f t="shared" ref="B62:I62" si="28">B54/B29</f>
        <v>0.13763987378339088</v>
      </c>
      <c r="C62" s="121">
        <f t="shared" si="28"/>
        <v>0.25999766869700569</v>
      </c>
      <c r="D62" s="121">
        <f t="shared" si="28"/>
        <v>0.256505464771904</v>
      </c>
      <c r="E62" s="121">
        <f t="shared" si="28"/>
        <v>6.5587047596418216E-2</v>
      </c>
      <c r="F62" s="121">
        <f t="shared" si="28"/>
        <v>9.8082486970685931E-2</v>
      </c>
      <c r="G62" s="121">
        <f t="shared" si="28"/>
        <v>6.4961543593425666E-2</v>
      </c>
      <c r="H62" s="121">
        <f t="shared" si="28"/>
        <v>0.11099619347214343</v>
      </c>
      <c r="I62" s="121">
        <f t="shared" si="28"/>
        <v>0.14753380260356785</v>
      </c>
    </row>
    <row r="63" spans="1:10" x14ac:dyDescent="0.35">
      <c r="A63" t="s">
        <v>1105</v>
      </c>
      <c r="B63" s="121">
        <f t="shared" ref="B63:I63" si="29">B56/B32</f>
        <v>0.25669088960685682</v>
      </c>
      <c r="C63" s="121">
        <f t="shared" si="29"/>
        <v>0.48646370042804471</v>
      </c>
      <c r="D63" s="121">
        <f t="shared" si="29"/>
        <v>0.58110491687951449</v>
      </c>
      <c r="E63" s="121">
        <f t="shared" si="29"/>
        <v>0.19277041494521718</v>
      </c>
      <c r="F63" s="121">
        <f t="shared" si="29"/>
        <v>0.21293743176910673</v>
      </c>
      <c r="G63" s="121">
        <f t="shared" si="29"/>
        <v>0.16685787833255239</v>
      </c>
      <c r="H63" s="121">
        <f t="shared" si="29"/>
        <v>0.19633469577324339</v>
      </c>
      <c r="I63" s="121">
        <f t="shared" si="29"/>
        <v>0.34975465321275828</v>
      </c>
    </row>
  </sheetData>
  <sheetProtection algorithmName="SHA-512" hashValue="tECHkR/V3Q2QTVdD23q5RfBNUvDgmxIfCbrusZ1W19uoXiogWZBKi3rLkNIdeZq/gNVlv8mieJxXKRvFKe04kw==" saltValue="34G/LChNJ7Mq3P8ATsfCzA=="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AB247-132D-4078-AB9C-D1F5F7999605}">
  <dimension ref="A1:L135"/>
  <sheetViews>
    <sheetView topLeftCell="C18" zoomScale="101" zoomScaleNormal="94" workbookViewId="0">
      <selection activeCell="H24" sqref="H24"/>
    </sheetView>
  </sheetViews>
  <sheetFormatPr defaultRowHeight="14.5" x14ac:dyDescent="0.35"/>
  <cols>
    <col min="1" max="1" width="68.7265625" style="9" customWidth="1"/>
    <col min="2" max="2" width="17.6328125" customWidth="1"/>
    <col min="3" max="3" width="18" customWidth="1"/>
    <col min="4" max="4" width="16.6328125" customWidth="1"/>
    <col min="5" max="5" width="17.08984375" customWidth="1"/>
    <col min="6" max="6" width="19.26953125" customWidth="1"/>
    <col min="8" max="8" width="59.90625" customWidth="1"/>
    <col min="9" max="9" width="15" customWidth="1"/>
    <col min="10" max="10" width="14.54296875" customWidth="1"/>
    <col min="11" max="11" width="13.6328125" customWidth="1"/>
    <col min="12" max="12" width="12.7265625" customWidth="1"/>
    <col min="19" max="19" width="12.08984375" bestFit="1" customWidth="1"/>
  </cols>
  <sheetData>
    <row r="1" spans="1:12" x14ac:dyDescent="0.35">
      <c r="A1" s="1" t="s">
        <v>0</v>
      </c>
      <c r="B1" s="1"/>
      <c r="C1" s="2"/>
      <c r="D1" s="2"/>
      <c r="E1" s="2"/>
      <c r="F1" s="2"/>
    </row>
    <row r="2" spans="1:12" x14ac:dyDescent="0.35">
      <c r="A2" s="1" t="s">
        <v>1</v>
      </c>
      <c r="B2" s="1"/>
      <c r="C2" s="2" t="s">
        <v>2</v>
      </c>
      <c r="D2" s="36" t="s">
        <v>122</v>
      </c>
      <c r="E2" s="2" t="s">
        <v>124</v>
      </c>
      <c r="F2" s="2"/>
    </row>
    <row r="3" spans="1:12" x14ac:dyDescent="0.35">
      <c r="A3" s="3"/>
      <c r="B3" s="3"/>
      <c r="C3" s="4"/>
      <c r="D3" s="4"/>
      <c r="E3" s="4"/>
      <c r="F3" s="4"/>
    </row>
    <row r="4" spans="1:12" ht="15" thickBot="1" x14ac:dyDescent="0.4">
      <c r="A4" s="5" t="s">
        <v>3</v>
      </c>
      <c r="B4" s="6" t="s">
        <v>4</v>
      </c>
      <c r="C4" s="6" t="s">
        <v>5</v>
      </c>
      <c r="D4" s="6" t="s">
        <v>6</v>
      </c>
      <c r="E4" s="6" t="s">
        <v>7</v>
      </c>
      <c r="F4" s="6" t="s">
        <v>126</v>
      </c>
      <c r="H4" s="99"/>
      <c r="I4" s="100"/>
      <c r="J4" s="100"/>
      <c r="K4" s="100"/>
      <c r="L4" s="100"/>
    </row>
    <row r="5" spans="1:12" x14ac:dyDescent="0.35">
      <c r="A5" s="7" t="s">
        <v>8</v>
      </c>
      <c r="B5" s="26"/>
      <c r="C5" s="27"/>
      <c r="D5" s="27"/>
      <c r="E5" s="27"/>
      <c r="F5" s="27"/>
      <c r="H5" s="21"/>
      <c r="I5" s="31"/>
      <c r="J5" s="31"/>
      <c r="K5" s="31"/>
      <c r="L5" s="31"/>
    </row>
    <row r="6" spans="1:12" x14ac:dyDescent="0.35">
      <c r="A6" s="8" t="s">
        <v>9</v>
      </c>
      <c r="B6" s="28"/>
      <c r="C6" s="28"/>
      <c r="D6" s="28"/>
      <c r="E6" s="28"/>
      <c r="F6" s="28"/>
      <c r="H6" s="21"/>
      <c r="I6" s="31"/>
      <c r="J6" s="31"/>
      <c r="K6" s="31"/>
      <c r="L6" s="31"/>
    </row>
    <row r="7" spans="1:12" x14ac:dyDescent="0.35">
      <c r="A7" t="s">
        <v>10</v>
      </c>
      <c r="B7" s="31">
        <v>2029198.585342</v>
      </c>
      <c r="C7" s="31">
        <v>2524115.3129659998</v>
      </c>
      <c r="D7" s="29">
        <v>2083841.05</v>
      </c>
      <c r="E7" s="32">
        <v>1241561.3621149999</v>
      </c>
      <c r="F7" s="34">
        <v>1188481.3373809999</v>
      </c>
      <c r="H7" s="21"/>
      <c r="I7" s="31"/>
      <c r="J7" s="31"/>
      <c r="K7" s="31"/>
      <c r="L7" s="31"/>
    </row>
    <row r="8" spans="1:12" x14ac:dyDescent="0.35">
      <c r="A8" t="s">
        <v>11</v>
      </c>
      <c r="B8" s="34">
        <v>2185000</v>
      </c>
      <c r="C8" s="34">
        <v>3455000</v>
      </c>
      <c r="D8" s="29">
        <v>6880000</v>
      </c>
      <c r="E8" s="34">
        <v>5385000</v>
      </c>
      <c r="F8" s="34">
        <v>9464000</v>
      </c>
    </row>
    <row r="9" spans="1:12" x14ac:dyDescent="0.35">
      <c r="A9" t="s">
        <v>12</v>
      </c>
      <c r="B9" s="31">
        <v>340731.44385600003</v>
      </c>
      <c r="C9" s="31">
        <v>488926.62917199999</v>
      </c>
      <c r="D9" s="31">
        <v>458327.99</v>
      </c>
      <c r="E9" s="34">
        <v>642215.36</v>
      </c>
      <c r="F9" s="34">
        <v>812805.42399100005</v>
      </c>
    </row>
    <row r="10" spans="1:12" x14ac:dyDescent="0.35">
      <c r="A10" t="s">
        <v>13</v>
      </c>
      <c r="B10" s="34">
        <v>1468360.37362</v>
      </c>
      <c r="C10" s="34">
        <v>2775533.9882459999</v>
      </c>
      <c r="D10" s="34">
        <v>3871453.6</v>
      </c>
      <c r="E10" s="34">
        <v>1910840.6</v>
      </c>
      <c r="F10" s="34">
        <v>1795453.9308760001</v>
      </c>
    </row>
    <row r="11" spans="1:12" x14ac:dyDescent="0.35">
      <c r="A11" s="11" t="s">
        <v>25</v>
      </c>
      <c r="B11" s="31">
        <v>290872.63011899998</v>
      </c>
      <c r="C11" s="31">
        <v>276003.77086699998</v>
      </c>
      <c r="D11" s="29">
        <v>285300.83</v>
      </c>
      <c r="E11" s="34">
        <v>385489.42</v>
      </c>
      <c r="F11" s="34">
        <v>384072.50954200001</v>
      </c>
    </row>
    <row r="12" spans="1:12" x14ac:dyDescent="0.35">
      <c r="A12" s="11" t="s">
        <v>26</v>
      </c>
      <c r="B12" s="31">
        <v>0</v>
      </c>
      <c r="C12" s="31">
        <v>0</v>
      </c>
      <c r="D12" s="31">
        <v>0</v>
      </c>
      <c r="E12" s="31">
        <v>0</v>
      </c>
      <c r="F12" s="34">
        <v>0</v>
      </c>
    </row>
    <row r="13" spans="1:12" x14ac:dyDescent="0.35">
      <c r="A13" s="11" t="s">
        <v>27</v>
      </c>
      <c r="B13" s="31"/>
      <c r="C13" s="31"/>
      <c r="D13" s="31"/>
      <c r="E13" s="31"/>
      <c r="F13" s="34"/>
    </row>
    <row r="14" spans="1:12" x14ac:dyDescent="0.35">
      <c r="A14" s="11" t="s">
        <v>28</v>
      </c>
      <c r="B14" s="31"/>
      <c r="C14" s="31"/>
      <c r="D14" s="31"/>
      <c r="E14" s="31"/>
      <c r="F14" s="34"/>
    </row>
    <row r="15" spans="1:12" x14ac:dyDescent="0.35">
      <c r="B15" s="28"/>
      <c r="C15" s="33"/>
      <c r="D15" s="33"/>
      <c r="E15" s="34"/>
      <c r="F15" s="34"/>
    </row>
    <row r="16" spans="1:12" x14ac:dyDescent="0.35">
      <c r="A16" t="s">
        <v>14</v>
      </c>
      <c r="B16" s="31">
        <f>SUM(B7:B12)</f>
        <v>6314163.0329369996</v>
      </c>
      <c r="C16" s="34">
        <f>SUM(C7:C12)</f>
        <v>9519579.7012510002</v>
      </c>
      <c r="D16" s="34">
        <f>SUM(D7:D12)</f>
        <v>13578923.470000001</v>
      </c>
      <c r="E16" s="34">
        <f>SUM(E7:E12)</f>
        <v>9565106.7421150003</v>
      </c>
      <c r="F16" s="34">
        <f>SUM(F7:F12)</f>
        <v>13644813.201789999</v>
      </c>
    </row>
    <row r="17" spans="1:6" x14ac:dyDescent="0.35">
      <c r="A17" t="s">
        <v>15</v>
      </c>
      <c r="B17" s="34">
        <v>698.37400000000002</v>
      </c>
      <c r="C17" s="34">
        <v>849.87400000000002</v>
      </c>
      <c r="D17" s="34">
        <v>1154.0999999999999</v>
      </c>
      <c r="E17" s="34">
        <v>876.1</v>
      </c>
      <c r="F17" s="34">
        <v>1194.1559999999999</v>
      </c>
    </row>
    <row r="18" spans="1:6" x14ac:dyDescent="0.35">
      <c r="A18" t="s">
        <v>19</v>
      </c>
      <c r="B18" s="31">
        <v>11646460.047003999</v>
      </c>
      <c r="C18" s="31">
        <v>11546905.383342</v>
      </c>
      <c r="D18" s="25">
        <v>11487944</v>
      </c>
      <c r="E18" s="34">
        <v>11574815.720000001</v>
      </c>
      <c r="F18" s="34">
        <v>11621515.336144</v>
      </c>
    </row>
    <row r="19" spans="1:6" x14ac:dyDescent="0.35">
      <c r="A19" t="s">
        <v>20</v>
      </c>
      <c r="B19" s="34">
        <v>-8207589.1596189998</v>
      </c>
      <c r="C19" s="31">
        <v>-8663415.5844790004</v>
      </c>
      <c r="D19" s="34">
        <v>-9053636.5800000001</v>
      </c>
      <c r="E19" s="34">
        <v>-9420617.0700000003</v>
      </c>
      <c r="F19" s="34">
        <v>-9693993.8310640007</v>
      </c>
    </row>
    <row r="20" spans="1:6" x14ac:dyDescent="0.35">
      <c r="A20" t="s">
        <v>21</v>
      </c>
      <c r="B20" s="31">
        <v>844021.56596599997</v>
      </c>
      <c r="C20" s="31">
        <v>833475.20588599995</v>
      </c>
      <c r="D20" s="29">
        <v>820511.72</v>
      </c>
      <c r="E20" s="34">
        <v>834247.14</v>
      </c>
      <c r="F20" s="34">
        <v>861178.95706599997</v>
      </c>
    </row>
    <row r="21" spans="1:6" x14ac:dyDescent="0.35">
      <c r="A21" t="s">
        <v>16</v>
      </c>
      <c r="B21" s="34">
        <v>219743.745413</v>
      </c>
      <c r="C21" s="34">
        <v>209845.31386299999</v>
      </c>
      <c r="D21" s="34">
        <v>200140.39</v>
      </c>
      <c r="E21" s="34">
        <v>190456.65</v>
      </c>
      <c r="F21" s="34">
        <v>183207.064507</v>
      </c>
    </row>
    <row r="22" spans="1:6" x14ac:dyDescent="0.35">
      <c r="A22" t="s">
        <v>17</v>
      </c>
      <c r="B22" s="37">
        <v>153441.22447700001</v>
      </c>
      <c r="C22" s="31">
        <v>174082.18794100001</v>
      </c>
      <c r="D22" s="34">
        <v>218938.45</v>
      </c>
      <c r="E22" s="34">
        <v>261326.27</v>
      </c>
      <c r="F22" s="34">
        <v>134345.67291299999</v>
      </c>
    </row>
    <row r="23" spans="1:6" x14ac:dyDescent="0.35">
      <c r="A23" s="10" t="s">
        <v>18</v>
      </c>
      <c r="B23" s="34">
        <v>44245.603945000003</v>
      </c>
      <c r="C23" s="25">
        <v>44656.956639000004</v>
      </c>
      <c r="D23" s="34">
        <v>41768.06</v>
      </c>
      <c r="E23" s="34">
        <v>33359.980000000003</v>
      </c>
      <c r="F23" s="34">
        <v>34467.951814</v>
      </c>
    </row>
    <row r="24" spans="1:6" x14ac:dyDescent="0.35">
      <c r="A24" s="11" t="s">
        <v>22</v>
      </c>
      <c r="B24" s="30">
        <v>0</v>
      </c>
      <c r="C24" s="31">
        <v>0</v>
      </c>
      <c r="D24" s="31">
        <v>0</v>
      </c>
      <c r="E24" s="34">
        <v>0</v>
      </c>
      <c r="F24" s="34">
        <v>0</v>
      </c>
    </row>
    <row r="25" spans="1:6" x14ac:dyDescent="0.35">
      <c r="A25" s="11" t="s">
        <v>23</v>
      </c>
      <c r="B25" s="34">
        <v>101730.355972</v>
      </c>
      <c r="C25" s="34">
        <v>79187.651840000006</v>
      </c>
      <c r="D25" s="34">
        <v>187897.31</v>
      </c>
      <c r="E25" s="34">
        <v>59981.49</v>
      </c>
      <c r="F25" s="34">
        <v>59093.988118000001</v>
      </c>
    </row>
    <row r="26" spans="1:6" x14ac:dyDescent="0.35">
      <c r="A26" s="11" t="s">
        <v>24</v>
      </c>
      <c r="B26" s="37">
        <f>284756.871272-B25</f>
        <v>183026.51530000003</v>
      </c>
      <c r="C26" s="31">
        <f>251951.205958-C25</f>
        <v>172763.554118</v>
      </c>
      <c r="D26" s="31">
        <f>403052.12-D25</f>
        <v>215154.81</v>
      </c>
      <c r="E26" s="31">
        <f>269688.5-E$25</f>
        <v>209707.01</v>
      </c>
      <c r="F26" s="34">
        <f>260663.514166-F25</f>
        <v>201569.526048</v>
      </c>
    </row>
    <row r="27" spans="1:6" x14ac:dyDescent="0.35">
      <c r="A27" s="12" t="s">
        <v>29</v>
      </c>
      <c r="B27" s="35">
        <f>SUM(B16:B26)</f>
        <v>11299941.305395</v>
      </c>
      <c r="C27" s="35">
        <f>SUM(C16:C26)</f>
        <v>13917930.244400999</v>
      </c>
      <c r="D27" s="35">
        <f>SUM(D16:D26)</f>
        <v>17698795.729999997</v>
      </c>
      <c r="E27" s="35">
        <f>SUM(E16:E26)</f>
        <v>13309260.032114999</v>
      </c>
      <c r="F27" s="35">
        <f>SUM(F16:F26)</f>
        <v>17047392.023336001</v>
      </c>
    </row>
    <row r="28" spans="1:6" x14ac:dyDescent="0.35">
      <c r="A28" s="8"/>
      <c r="B28" s="30"/>
      <c r="C28" s="31"/>
      <c r="D28" s="31">
        <f>D27/C27</f>
        <v>1.2716542919246194</v>
      </c>
      <c r="E28" s="34"/>
      <c r="F28" s="34"/>
    </row>
    <row r="29" spans="1:6" x14ac:dyDescent="0.35">
      <c r="A29" s="12" t="s">
        <v>30</v>
      </c>
      <c r="B29" s="33"/>
      <c r="C29" s="33"/>
      <c r="D29" s="33"/>
      <c r="E29" s="31"/>
      <c r="F29" s="34"/>
    </row>
    <row r="30" spans="1:6" x14ac:dyDescent="0.35">
      <c r="A30" s="11" t="s">
        <v>31</v>
      </c>
      <c r="B30" s="31">
        <v>452877.10889600002</v>
      </c>
      <c r="C30" s="25">
        <v>771382.08314899995</v>
      </c>
      <c r="D30" s="31">
        <v>869008.14</v>
      </c>
      <c r="E30" s="31">
        <v>768442.43</v>
      </c>
      <c r="F30" s="34">
        <v>919732.94649999996</v>
      </c>
    </row>
    <row r="31" spans="1:6" x14ac:dyDescent="0.35">
      <c r="A31" s="11" t="s">
        <v>32</v>
      </c>
      <c r="B31" s="31">
        <v>122950.516714</v>
      </c>
      <c r="C31" s="31">
        <v>124292.93837</v>
      </c>
      <c r="D31" s="31">
        <v>71911.960000000006</v>
      </c>
      <c r="E31" s="31">
        <v>124312.36</v>
      </c>
      <c r="F31" s="34">
        <v>302008.891183</v>
      </c>
    </row>
    <row r="32" spans="1:6" x14ac:dyDescent="0.35">
      <c r="A32" s="11" t="s">
        <v>33</v>
      </c>
      <c r="B32" s="31">
        <v>16.363638000000002</v>
      </c>
      <c r="C32" s="31">
        <v>18.181819000000001</v>
      </c>
      <c r="D32" s="31">
        <v>18.18</v>
      </c>
      <c r="E32" s="31">
        <v>18.18</v>
      </c>
      <c r="F32" s="34">
        <v>18.18</v>
      </c>
    </row>
    <row r="33" spans="1:6" x14ac:dyDescent="0.35">
      <c r="A33" s="11" t="s">
        <v>34</v>
      </c>
      <c r="B33" s="31">
        <v>456822.96069500002</v>
      </c>
      <c r="C33" s="31">
        <v>337883.833828</v>
      </c>
      <c r="D33" s="31">
        <v>802572.74399999995</v>
      </c>
      <c r="E33" s="31">
        <v>239514.87</v>
      </c>
      <c r="F33" s="34">
        <v>373953.359841</v>
      </c>
    </row>
    <row r="34" spans="1:6" x14ac:dyDescent="0.35">
      <c r="A34" s="11" t="s">
        <v>35</v>
      </c>
      <c r="B34" s="31">
        <v>190871.75875099999</v>
      </c>
      <c r="C34" s="31">
        <v>200133.81021900001</v>
      </c>
      <c r="D34" s="31">
        <v>202043.48</v>
      </c>
      <c r="E34" s="31">
        <v>0</v>
      </c>
      <c r="F34" s="34">
        <v>3367851.579653</v>
      </c>
    </row>
    <row r="35" spans="1:6" x14ac:dyDescent="0.35">
      <c r="A35" s="11" t="s">
        <v>36</v>
      </c>
      <c r="B35" s="31">
        <v>467511.02181200002</v>
      </c>
      <c r="C35" s="31">
        <v>20327.222568000001</v>
      </c>
      <c r="D35" s="31">
        <v>375437.73</v>
      </c>
      <c r="E35" s="31">
        <v>8176</v>
      </c>
      <c r="F35" s="34">
        <v>14574.608697</v>
      </c>
    </row>
    <row r="36" spans="1:6" x14ac:dyDescent="0.35">
      <c r="A36" s="11" t="s">
        <v>37</v>
      </c>
      <c r="B36" s="31">
        <v>0</v>
      </c>
      <c r="C36" s="31">
        <v>0</v>
      </c>
      <c r="D36" s="31">
        <v>0</v>
      </c>
      <c r="E36" s="31">
        <v>0</v>
      </c>
      <c r="F36" s="34">
        <v>0</v>
      </c>
    </row>
    <row r="37" spans="1:6" x14ac:dyDescent="0.35">
      <c r="A37" s="11" t="s">
        <v>38</v>
      </c>
      <c r="B37" s="31">
        <v>58813.917687000001</v>
      </c>
      <c r="C37" s="31">
        <v>389655.82664599997</v>
      </c>
      <c r="D37" s="31">
        <v>296882.46999999997</v>
      </c>
      <c r="E37" s="31">
        <v>6127.12</v>
      </c>
      <c r="F37" s="34">
        <v>36276.198704000002</v>
      </c>
    </row>
    <row r="38" spans="1:6" x14ac:dyDescent="0.35">
      <c r="A38" s="11" t="s">
        <v>39</v>
      </c>
      <c r="B38" s="31">
        <v>133671.272818</v>
      </c>
      <c r="C38" s="31">
        <v>173860.882277</v>
      </c>
      <c r="D38" s="31">
        <v>219267.12</v>
      </c>
      <c r="E38" s="31">
        <v>164498.01999999999</v>
      </c>
      <c r="F38" s="34">
        <v>193769.71806700001</v>
      </c>
    </row>
    <row r="39" spans="1:6" x14ac:dyDescent="0.35">
      <c r="A39" s="11" t="s">
        <v>40</v>
      </c>
      <c r="B39" s="31">
        <f xml:space="preserve"> 64799.698649+ 77699.482995</f>
        <v>142499.181644</v>
      </c>
      <c r="C39" s="31">
        <f>74252.202749+ 59844.834836</f>
        <v>134097.03758500001</v>
      </c>
      <c r="D39" s="31">
        <f xml:space="preserve"> 69965.28+88410.45</f>
        <v>158375.72999999998</v>
      </c>
      <c r="E39" s="31">
        <f xml:space="preserve"> 101563.091+71840.876</f>
        <v>173403.967</v>
      </c>
      <c r="F39" s="34">
        <f>72924.976363+139923.222411</f>
        <v>212848.19877399999</v>
      </c>
    </row>
    <row r="40" spans="1:6" x14ac:dyDescent="0.35">
      <c r="A40" s="12" t="s">
        <v>41</v>
      </c>
      <c r="B40" s="31">
        <f>SUM(B30:B39)</f>
        <v>2026034.1026550001</v>
      </c>
      <c r="C40" s="31">
        <f>SUM(C30:C39)</f>
        <v>2151651.8164609997</v>
      </c>
      <c r="D40" s="31">
        <f>SUM(D30:D39)</f>
        <v>2995517.554</v>
      </c>
      <c r="E40" s="31">
        <f>SUM(E30:E39)</f>
        <v>1484492.9470000002</v>
      </c>
      <c r="F40" s="34">
        <f>SUM(F30:F39)</f>
        <v>5421033.6814189991</v>
      </c>
    </row>
    <row r="41" spans="1:6" x14ac:dyDescent="0.35">
      <c r="A41" s="12" t="s">
        <v>233</v>
      </c>
      <c r="B41" s="31">
        <f>B40-B35</f>
        <v>1558523.080843</v>
      </c>
      <c r="C41" s="31">
        <f t="shared" ref="C41:F41" si="0">C40-C35</f>
        <v>2131324.5938929995</v>
      </c>
      <c r="D41" s="31">
        <f t="shared" si="0"/>
        <v>2620079.824</v>
      </c>
      <c r="E41" s="31">
        <f t="shared" si="0"/>
        <v>1476316.9470000002</v>
      </c>
      <c r="F41" s="31">
        <f t="shared" si="0"/>
        <v>5406459.0727219991</v>
      </c>
    </row>
    <row r="42" spans="1:6" x14ac:dyDescent="0.35">
      <c r="A42" s="11" t="s">
        <v>42</v>
      </c>
      <c r="B42" s="31">
        <v>1866.87</v>
      </c>
      <c r="C42" s="31">
        <v>8526.9467000000004</v>
      </c>
      <c r="D42" s="29">
        <v>3385.96</v>
      </c>
      <c r="E42" s="31">
        <v>2219.81</v>
      </c>
      <c r="F42" s="34">
        <v>1675.1034999999999</v>
      </c>
    </row>
    <row r="43" spans="1:6" x14ac:dyDescent="0.35">
      <c r="A43" s="11" t="s">
        <v>43</v>
      </c>
      <c r="B43" s="31">
        <v>858922.90788199997</v>
      </c>
      <c r="C43" s="31">
        <v>700468.32915000001</v>
      </c>
      <c r="D43" s="31">
        <v>505108.7</v>
      </c>
      <c r="E43" s="31">
        <v>0</v>
      </c>
      <c r="F43" s="34">
        <v>0</v>
      </c>
    </row>
    <row r="44" spans="1:6" x14ac:dyDescent="0.35">
      <c r="A44" s="11" t="s">
        <v>44</v>
      </c>
      <c r="B44" s="31">
        <v>0</v>
      </c>
      <c r="C44" s="31">
        <v>0</v>
      </c>
      <c r="D44" s="31">
        <v>0</v>
      </c>
      <c r="E44" s="31">
        <v>0</v>
      </c>
      <c r="F44" s="34">
        <v>0</v>
      </c>
    </row>
    <row r="45" spans="1:6" x14ac:dyDescent="0.35">
      <c r="A45" s="11" t="s">
        <v>45</v>
      </c>
      <c r="B45" s="31">
        <v>0</v>
      </c>
      <c r="C45" s="31">
        <v>0</v>
      </c>
      <c r="D45" s="31">
        <v>0</v>
      </c>
      <c r="E45" s="31">
        <v>0</v>
      </c>
      <c r="F45" s="34">
        <v>0</v>
      </c>
    </row>
    <row r="46" spans="1:6" x14ac:dyDescent="0.35">
      <c r="A46" s="11" t="s">
        <v>46</v>
      </c>
      <c r="B46" s="31">
        <v>132540</v>
      </c>
      <c r="C46" s="31">
        <v>132540</v>
      </c>
      <c r="D46" s="31">
        <v>132540</v>
      </c>
      <c r="E46" s="31">
        <v>132540</v>
      </c>
      <c r="F46" s="31">
        <v>132540</v>
      </c>
    </row>
    <row r="47" spans="1:6" x14ac:dyDescent="0.35">
      <c r="A47" s="11" t="s">
        <v>47</v>
      </c>
      <c r="B47" s="31">
        <v>0</v>
      </c>
      <c r="C47" s="31">
        <v>165486.27011000001</v>
      </c>
      <c r="D47" s="31">
        <v>0</v>
      </c>
      <c r="E47" s="31">
        <v>102177.31</v>
      </c>
      <c r="F47" s="34">
        <v>217126.78883</v>
      </c>
    </row>
    <row r="48" spans="1:6" x14ac:dyDescent="0.35">
      <c r="A48" s="11" t="s">
        <v>48</v>
      </c>
      <c r="B48" s="31">
        <v>33078.08397</v>
      </c>
      <c r="C48" s="31">
        <v>46097.161336999998</v>
      </c>
      <c r="D48" s="29">
        <v>44804.76</v>
      </c>
      <c r="E48" s="31">
        <v>42630.19</v>
      </c>
      <c r="F48" s="34">
        <v>42213.887609999998</v>
      </c>
    </row>
    <row r="49" spans="1:6" x14ac:dyDescent="0.35">
      <c r="A49" s="12" t="s">
        <v>49</v>
      </c>
      <c r="B49" s="31">
        <f>SUM(B40:B48)</f>
        <v>4610965.0453500003</v>
      </c>
      <c r="C49" s="31">
        <f>SUM(C40:C48)</f>
        <v>5336095.1176509997</v>
      </c>
      <c r="D49" s="31">
        <f>SUM(D40:D48)</f>
        <v>6301436.7980000004</v>
      </c>
      <c r="E49" s="31">
        <f>SUM(E40:E48)</f>
        <v>3240377.2040000004</v>
      </c>
      <c r="F49" s="31">
        <f>SUM(F40,F42:F48)</f>
        <v>5814589.4613589989</v>
      </c>
    </row>
    <row r="50" spans="1:6" x14ac:dyDescent="0.35">
      <c r="A50" s="11" t="s">
        <v>50</v>
      </c>
      <c r="B50" s="31">
        <v>0</v>
      </c>
      <c r="C50" s="31">
        <v>0</v>
      </c>
      <c r="D50" s="31">
        <v>0</v>
      </c>
      <c r="E50" s="31">
        <v>0</v>
      </c>
      <c r="F50" s="34">
        <v>0</v>
      </c>
    </row>
    <row r="51" spans="1:6" x14ac:dyDescent="0.35">
      <c r="A51" s="11" t="s">
        <v>51</v>
      </c>
      <c r="B51" s="31">
        <v>3914000</v>
      </c>
      <c r="C51" s="31">
        <v>3914000</v>
      </c>
      <c r="D51" s="31">
        <v>3914000</v>
      </c>
      <c r="E51" s="31">
        <v>3914000</v>
      </c>
      <c r="F51" s="31">
        <v>3914000</v>
      </c>
    </row>
    <row r="52" spans="1:6" x14ac:dyDescent="0.35">
      <c r="A52" s="11" t="s">
        <v>123</v>
      </c>
      <c r="B52" s="31">
        <v>21179.913858</v>
      </c>
      <c r="C52" s="31">
        <v>21179.913858</v>
      </c>
      <c r="D52" s="31">
        <v>21179.91</v>
      </c>
      <c r="E52" s="31">
        <v>21179.91</v>
      </c>
      <c r="F52" s="31">
        <v>21179.91</v>
      </c>
    </row>
    <row r="53" spans="1:6" x14ac:dyDescent="0.35">
      <c r="A53" s="11" t="s">
        <v>52</v>
      </c>
      <c r="B53" s="31">
        <v>0</v>
      </c>
      <c r="C53" s="31">
        <v>0</v>
      </c>
      <c r="D53" s="31">
        <v>0</v>
      </c>
      <c r="E53" s="31">
        <v>0</v>
      </c>
      <c r="F53" s="31">
        <v>0</v>
      </c>
    </row>
    <row r="54" spans="1:6" x14ac:dyDescent="0.35">
      <c r="A54" s="11" t="s">
        <v>53</v>
      </c>
      <c r="B54" s="31">
        <v>3497039.984859</v>
      </c>
      <c r="C54" s="31">
        <v>3497039.984859</v>
      </c>
      <c r="D54" s="31">
        <v>3497039.984859</v>
      </c>
      <c r="E54" s="31">
        <v>4599179.5023699999</v>
      </c>
      <c r="F54" s="31">
        <v>4599179.5023699999</v>
      </c>
    </row>
    <row r="55" spans="1:6" x14ac:dyDescent="0.35">
      <c r="A55" s="13" t="s">
        <v>54</v>
      </c>
      <c r="B55" s="31">
        <v>654776.85927400005</v>
      </c>
      <c r="C55" s="31">
        <v>3085566.955137</v>
      </c>
      <c r="D55" s="31">
        <v>6401099.9299999997</v>
      </c>
      <c r="E55" s="31">
        <v>2838340.93</v>
      </c>
      <c r="F55" s="34">
        <v>2520537.3761</v>
      </c>
    </row>
    <row r="56" spans="1:6" x14ac:dyDescent="0.35">
      <c r="A56" s="11" t="s">
        <v>55</v>
      </c>
      <c r="B56" s="31">
        <v>0</v>
      </c>
      <c r="C56" s="31">
        <v>0</v>
      </c>
      <c r="D56" s="31">
        <v>0</v>
      </c>
      <c r="E56" s="31">
        <v>0</v>
      </c>
      <c r="F56" s="34">
        <v>0</v>
      </c>
    </row>
    <row r="57" spans="1:6" x14ac:dyDescent="0.35">
      <c r="A57" s="11" t="s">
        <v>56</v>
      </c>
      <c r="B57" s="31">
        <v>-2296.8241200000002</v>
      </c>
      <c r="C57" s="31">
        <v>-2296.8241200000002</v>
      </c>
      <c r="D57" s="31">
        <v>-2296.8241200000002</v>
      </c>
      <c r="E57" s="31">
        <v>-2296.8241200000002</v>
      </c>
      <c r="F57" s="31">
        <v>-2296.8241200000002</v>
      </c>
    </row>
    <row r="58" spans="1:6" x14ac:dyDescent="0.35">
      <c r="A58" s="12" t="s">
        <v>57</v>
      </c>
      <c r="B58" s="31">
        <f>SUM(B50:B57)</f>
        <v>8084699.9338710001</v>
      </c>
      <c r="C58" s="31">
        <f>SUM(C50:C57)</f>
        <v>10515490.029734001</v>
      </c>
      <c r="D58" s="31">
        <f>SUM(D50:D57)</f>
        <v>13831023.000739001</v>
      </c>
      <c r="E58" s="31">
        <f>SUM(E50:E57)</f>
        <v>11370403.51825</v>
      </c>
      <c r="F58" s="31">
        <f>SUM(F50:F57)</f>
        <v>11052599.96435</v>
      </c>
    </row>
    <row r="59" spans="1:6" x14ac:dyDescent="0.35">
      <c r="A59" s="11" t="s">
        <v>58</v>
      </c>
      <c r="B59" s="31">
        <v>162799.40701699999</v>
      </c>
      <c r="C59" s="31">
        <v>197669.690909</v>
      </c>
      <c r="D59" s="31">
        <v>186415.76058100001</v>
      </c>
      <c r="E59" s="31">
        <v>174796.24</v>
      </c>
      <c r="F59" s="34">
        <v>180202.59195</v>
      </c>
    </row>
    <row r="60" spans="1:6" x14ac:dyDescent="0.35">
      <c r="A60" s="12" t="s">
        <v>59</v>
      </c>
      <c r="B60" s="31">
        <f>SUM(B58:B59)</f>
        <v>8247499.3408880001</v>
      </c>
      <c r="C60" s="31">
        <f>SUM(C58:C59)</f>
        <v>10713159.720643001</v>
      </c>
      <c r="D60" s="31">
        <f>SUM(D58:D59)</f>
        <v>14017438.761320001</v>
      </c>
      <c r="E60" s="31">
        <f>SUM(E58:E59)</f>
        <v>11545199.75825</v>
      </c>
      <c r="F60" s="31">
        <f>SUM(F58:F59)</f>
        <v>11232802.556299999</v>
      </c>
    </row>
    <row r="61" spans="1:6" ht="15" thickBot="1" x14ac:dyDescent="0.4">
      <c r="A61" s="38" t="s">
        <v>60</v>
      </c>
      <c r="B61" s="39">
        <f>SUM(B60,B49)</f>
        <v>12858464.386238001</v>
      </c>
      <c r="C61" s="39">
        <f>SUM(C60,C49)</f>
        <v>16049254.838293999</v>
      </c>
      <c r="D61" s="39">
        <f>SUM(D60,D49)</f>
        <v>20318875.559320003</v>
      </c>
      <c r="E61" s="39">
        <f>SUM(E60,E49)</f>
        <v>14785576.96225</v>
      </c>
      <c r="F61" s="39">
        <f>SUM(F60,F49)</f>
        <v>17047392.017658997</v>
      </c>
    </row>
    <row r="62" spans="1:6" x14ac:dyDescent="0.35">
      <c r="B62" s="31"/>
      <c r="C62" s="31"/>
      <c r="D62" s="31"/>
      <c r="E62" s="31"/>
      <c r="F62" s="34"/>
    </row>
    <row r="63" spans="1:6" ht="15" thickBot="1" x14ac:dyDescent="0.4">
      <c r="B63" s="31"/>
      <c r="C63" s="31"/>
      <c r="D63" s="31"/>
      <c r="E63" s="31"/>
      <c r="F63" s="34"/>
    </row>
    <row r="64" spans="1:6" x14ac:dyDescent="0.35">
      <c r="A64" s="15" t="s">
        <v>61</v>
      </c>
      <c r="B64" s="31"/>
      <c r="C64" s="31"/>
      <c r="D64" s="31"/>
      <c r="E64" s="31"/>
      <c r="F64" s="34"/>
    </row>
    <row r="65" spans="1:6" x14ac:dyDescent="0.35">
      <c r="A65" s="16" t="s">
        <v>62</v>
      </c>
      <c r="B65" s="31">
        <v>7867574.3052110001</v>
      </c>
      <c r="C65" s="31">
        <v>12881680.840631999</v>
      </c>
      <c r="D65" s="31">
        <v>18744713.575383</v>
      </c>
      <c r="E65" s="31">
        <v>13719510.01</v>
      </c>
      <c r="F65" s="34">
        <v>10490518.417400001</v>
      </c>
    </row>
    <row r="66" spans="1:6" x14ac:dyDescent="0.35">
      <c r="A66" s="16" t="s">
        <v>63</v>
      </c>
      <c r="B66" s="31">
        <v>105755.700648</v>
      </c>
      <c r="C66" s="31">
        <v>95539.647280000005</v>
      </c>
      <c r="D66" s="31">
        <v>117534.031118</v>
      </c>
      <c r="E66" s="31">
        <v>150324.49</v>
      </c>
      <c r="F66" s="34">
        <v>158414.51592000001</v>
      </c>
    </row>
    <row r="67" spans="1:6" x14ac:dyDescent="0.35">
      <c r="A67" s="17" t="s">
        <v>64</v>
      </c>
      <c r="B67" s="31">
        <v>7761818.6045629997</v>
      </c>
      <c r="C67" s="31">
        <v>12786141.193352001</v>
      </c>
      <c r="D67" s="31">
        <v>18627179.544264998</v>
      </c>
      <c r="E67" s="31">
        <v>13569185.52</v>
      </c>
      <c r="F67" s="34">
        <f>F65-F66</f>
        <v>10332103.90148</v>
      </c>
    </row>
    <row r="68" spans="1:6" x14ac:dyDescent="0.35">
      <c r="A68" s="11" t="s">
        <v>170</v>
      </c>
      <c r="B68" s="31">
        <v>6032014.9909899998</v>
      </c>
      <c r="C68" s="31">
        <v>8000602.4383169999</v>
      </c>
      <c r="D68" s="31">
        <v>10788959.662813</v>
      </c>
      <c r="E68" s="31">
        <v>11917438.630000001</v>
      </c>
      <c r="F68" s="34">
        <v>8826829.0624470003</v>
      </c>
    </row>
    <row r="69" spans="1:6" x14ac:dyDescent="0.35">
      <c r="A69" s="17" t="s">
        <v>171</v>
      </c>
      <c r="B69" s="31">
        <f>B67-B68</f>
        <v>1729803.6135729998</v>
      </c>
      <c r="C69" s="31">
        <f>C67-C68</f>
        <v>4785538.7550350009</v>
      </c>
      <c r="D69" s="31">
        <f>D67-D68</f>
        <v>7838219.8814519979</v>
      </c>
      <c r="E69" s="31">
        <f>E67-E68</f>
        <v>1651746.8899999987</v>
      </c>
      <c r="F69" s="31">
        <f>F67-F68</f>
        <v>1505274.8390330002</v>
      </c>
    </row>
    <row r="70" spans="1:6" x14ac:dyDescent="0.35">
      <c r="A70" s="11" t="s">
        <v>65</v>
      </c>
      <c r="B70" s="31">
        <v>654617.057501</v>
      </c>
      <c r="C70" s="31">
        <v>817762.95525300002</v>
      </c>
      <c r="D70" s="31">
        <v>977707.32757600001</v>
      </c>
      <c r="E70" s="31">
        <v>848444.34</v>
      </c>
      <c r="F70" s="34">
        <v>650525.90705899999</v>
      </c>
    </row>
    <row r="71" spans="1:6" x14ac:dyDescent="0.35">
      <c r="A71" s="11" t="s">
        <v>66</v>
      </c>
      <c r="B71" s="31">
        <v>409071.81815000001</v>
      </c>
      <c r="C71" s="31">
        <v>424973.596372</v>
      </c>
      <c r="D71" s="31">
        <v>556278.72079299996</v>
      </c>
      <c r="E71" s="31">
        <v>502354.62</v>
      </c>
      <c r="F71" s="34">
        <v>390753.69960300002</v>
      </c>
    </row>
    <row r="72" spans="1:6" x14ac:dyDescent="0.35">
      <c r="A72" s="17" t="s">
        <v>67</v>
      </c>
      <c r="B72" s="31">
        <f>B69+(B73-B74)+B76-(B70+B71)</f>
        <v>753341.00303699984</v>
      </c>
      <c r="C72" s="31">
        <f>C69+(C73-C74)+C76-(C70+C71)</f>
        <v>3646171.2791480012</v>
      </c>
      <c r="D72" s="31">
        <f>D69+(D73-D74)+D76-(D70+D71)</f>
        <v>6586702.1784579987</v>
      </c>
      <c r="E72" s="31">
        <f>E69+(E73-E74)+E76-(E70+E71)</f>
        <v>690031.16999999876</v>
      </c>
      <c r="F72" s="31">
        <f>F69+(F73-F74)+F76-(F70+F71)</f>
        <v>670368.33198200003</v>
      </c>
    </row>
    <row r="73" spans="1:6" x14ac:dyDescent="0.35">
      <c r="A73" s="11" t="s">
        <v>68</v>
      </c>
      <c r="B73" s="31">
        <v>179636.01684699999</v>
      </c>
      <c r="C73" s="31">
        <v>175513.94562700001</v>
      </c>
      <c r="D73" s="31">
        <v>365063.53258499998</v>
      </c>
      <c r="E73" s="31">
        <v>457576.17</v>
      </c>
      <c r="F73" s="34">
        <v>239499.20525599999</v>
      </c>
    </row>
    <row r="74" spans="1:6" x14ac:dyDescent="0.35">
      <c r="A74" s="11" t="s">
        <v>69</v>
      </c>
      <c r="B74" s="31">
        <v>94847.103094000006</v>
      </c>
      <c r="C74" s="31">
        <v>74648.067030999999</v>
      </c>
      <c r="D74" s="31">
        <v>85257.284732999993</v>
      </c>
      <c r="E74" s="31">
        <v>71157.84</v>
      </c>
      <c r="F74" s="34">
        <v>34234.074202000003</v>
      </c>
    </row>
    <row r="75" spans="1:6" x14ac:dyDescent="0.35">
      <c r="A75" s="11" t="s">
        <v>70</v>
      </c>
      <c r="B75" s="31">
        <v>88463.426175000001</v>
      </c>
      <c r="C75" s="31">
        <v>69266.472919000007</v>
      </c>
      <c r="D75" s="31">
        <v>64787.709844999998</v>
      </c>
      <c r="E75" s="31">
        <v>50638.3</v>
      </c>
      <c r="F75" s="34">
        <v>22326.109572000001</v>
      </c>
    </row>
    <row r="76" spans="1:6" x14ac:dyDescent="0.35">
      <c r="A76" s="11" t="s">
        <v>71</v>
      </c>
      <c r="B76" s="31">
        <v>2437.3513619999999</v>
      </c>
      <c r="C76" s="31">
        <v>2503.197142</v>
      </c>
      <c r="D76" s="31">
        <v>2662.0975229999999</v>
      </c>
      <c r="E76" s="31">
        <v>2664.91</v>
      </c>
      <c r="F76" s="34">
        <v>1107.9685569999999</v>
      </c>
    </row>
    <row r="77" spans="1:6" x14ac:dyDescent="0.35">
      <c r="A77" s="11" t="s">
        <v>72</v>
      </c>
      <c r="B77" s="31">
        <v>96475.936092000004</v>
      </c>
      <c r="C77" s="31">
        <v>155255.17499299999</v>
      </c>
      <c r="D77" s="31">
        <v>21118.924267999999</v>
      </c>
      <c r="E77" s="31">
        <v>11025.86</v>
      </c>
      <c r="F77" s="34">
        <v>6230.0420210000002</v>
      </c>
    </row>
    <row r="78" spans="1:6" x14ac:dyDescent="0.35">
      <c r="A78" s="11" t="s">
        <v>73</v>
      </c>
      <c r="B78" s="31">
        <v>1926.1683410000001</v>
      </c>
      <c r="C78" s="31">
        <v>1955.2315209999999</v>
      </c>
      <c r="D78" s="31">
        <v>2239.1667160000002</v>
      </c>
      <c r="E78" s="31">
        <v>10090.51</v>
      </c>
      <c r="F78" s="34">
        <v>3471.6470760000002</v>
      </c>
    </row>
    <row r="79" spans="1:6" x14ac:dyDescent="0.35">
      <c r="A79" s="12" t="s">
        <v>74</v>
      </c>
      <c r="B79" s="39">
        <f>B72+B77-B78</f>
        <v>847890.77078799985</v>
      </c>
      <c r="C79" s="39">
        <f>C72+C77-C78</f>
        <v>3799471.2226200011</v>
      </c>
      <c r="D79" s="39">
        <f>D72+D77-D78</f>
        <v>6605581.9360099984</v>
      </c>
      <c r="E79" s="39">
        <f>E72+E77-E78</f>
        <v>690966.51999999874</v>
      </c>
      <c r="F79" s="39">
        <f>F72+F77-F78</f>
        <v>673126.72692699998</v>
      </c>
    </row>
    <row r="80" spans="1:6" x14ac:dyDescent="0.35">
      <c r="A80" s="11" t="s">
        <v>75</v>
      </c>
      <c r="B80" s="31">
        <v>166619.580888</v>
      </c>
      <c r="C80" s="31">
        <v>605412.21792900003</v>
      </c>
      <c r="D80" s="31">
        <v>1129400.3121499999</v>
      </c>
      <c r="E80" s="31">
        <v>33233.79</v>
      </c>
      <c r="F80" s="34">
        <v>102405.133886</v>
      </c>
    </row>
    <row r="81" spans="1:8" x14ac:dyDescent="0.35">
      <c r="A81" s="11" t="s">
        <v>76</v>
      </c>
      <c r="B81" s="31">
        <v>-20348.488902000001</v>
      </c>
      <c r="C81" s="31">
        <v>22542.704131999999</v>
      </c>
      <c r="D81" s="31">
        <v>-108709.662383</v>
      </c>
      <c r="E81" s="31">
        <v>127915.82</v>
      </c>
      <c r="F81" s="34">
        <v>887.50600899999995</v>
      </c>
    </row>
    <row r="82" spans="1:8" x14ac:dyDescent="0.35">
      <c r="A82" s="12" t="s">
        <v>77</v>
      </c>
      <c r="B82" s="39">
        <f>B79-B80-B81</f>
        <v>701619.67880199989</v>
      </c>
      <c r="C82" s="39">
        <f>C79-C80-C81</f>
        <v>3171516.300559001</v>
      </c>
      <c r="D82" s="39">
        <f>D79-D80-D81</f>
        <v>5584891.2862429991</v>
      </c>
      <c r="E82" s="39">
        <f>E79-E80-E81</f>
        <v>529816.90999999875</v>
      </c>
      <c r="F82" s="39">
        <f>F79-F80-F81</f>
        <v>569834.08703199995</v>
      </c>
    </row>
    <row r="83" spans="1:8" x14ac:dyDescent="0.35">
      <c r="A83" s="11" t="s">
        <v>78</v>
      </c>
      <c r="B83" s="31">
        <v>10311.986954</v>
      </c>
      <c r="C83" s="31">
        <v>54382.506458000003</v>
      </c>
      <c r="D83" s="31">
        <v>20013.90825</v>
      </c>
      <c r="E83" s="31">
        <v>10350.36</v>
      </c>
      <c r="F83" s="34">
        <v>12076.040225000001</v>
      </c>
    </row>
    <row r="84" spans="1:8" x14ac:dyDescent="0.35">
      <c r="A84" s="17" t="s">
        <v>79</v>
      </c>
      <c r="B84" s="31">
        <f>B82-B83</f>
        <v>691307.69184799993</v>
      </c>
      <c r="C84" s="31">
        <f>C82-C83</f>
        <v>3117133.7941010012</v>
      </c>
      <c r="D84" s="31">
        <f>D82-D83</f>
        <v>5564877.3779929988</v>
      </c>
      <c r="E84" s="31">
        <f>E82-E83</f>
        <v>519466.54999999877</v>
      </c>
      <c r="F84" s="31">
        <f>F82-F83</f>
        <v>557758.04680699995</v>
      </c>
    </row>
    <row r="85" spans="1:8" x14ac:dyDescent="0.35">
      <c r="A85" s="11" t="s">
        <v>125</v>
      </c>
      <c r="B85" s="31">
        <v>377703.32558900001</v>
      </c>
      <c r="C85" s="31">
        <v>691307.69184799993</v>
      </c>
      <c r="D85" s="31">
        <v>3117133.7941009998</v>
      </c>
      <c r="E85" s="31">
        <v>5564877.3799999999</v>
      </c>
      <c r="F85" s="34">
        <v>519466.54999999993</v>
      </c>
    </row>
    <row r="86" spans="1:8" x14ac:dyDescent="0.35">
      <c r="A86" s="16" t="s">
        <v>179</v>
      </c>
      <c r="B86" s="31">
        <f>B84*1000000/391400000</f>
        <v>1766.2434640981091</v>
      </c>
      <c r="C86" s="31">
        <f t="shared" ref="C86:F86" si="1">C84*1000000/391400000</f>
        <v>7964.0618142590738</v>
      </c>
      <c r="D86" s="31">
        <f t="shared" si="1"/>
        <v>14217.877818071025</v>
      </c>
      <c r="E86" s="31">
        <f>E84*1000000/391400000</f>
        <v>1327.2012008175748</v>
      </c>
      <c r="F86" s="31">
        <f t="shared" si="1"/>
        <v>1425.0333336918752</v>
      </c>
      <c r="G86" s="31"/>
    </row>
    <row r="87" spans="1:8" x14ac:dyDescent="0.35">
      <c r="A87" s="16" t="s">
        <v>180</v>
      </c>
      <c r="B87" s="31">
        <f>B60*1000000/391334260</f>
        <v>21075.331714856758</v>
      </c>
      <c r="C87" s="96">
        <f>C60*1000000/391334260</f>
        <v>27375.982160731339</v>
      </c>
      <c r="D87" s="96">
        <f>D60*1000000/391334260</f>
        <v>35819.605370917438</v>
      </c>
      <c r="E87" s="96">
        <f>E60*1000000/391334260</f>
        <v>29502.144172733559</v>
      </c>
      <c r="F87" s="31">
        <f>F60*1000000/391334260</f>
        <v>28703.856790611688</v>
      </c>
    </row>
    <row r="88" spans="1:8" ht="15" thickBot="1" x14ac:dyDescent="0.4">
      <c r="A88" s="14" t="s">
        <v>80</v>
      </c>
      <c r="B88" s="39">
        <f>B79-B75</f>
        <v>759427.34461299982</v>
      </c>
      <c r="C88" s="39">
        <f>C79-C75</f>
        <v>3730204.7497010012</v>
      </c>
      <c r="D88" s="39">
        <f>D79-D75</f>
        <v>6540794.2261649985</v>
      </c>
      <c r="E88" s="39">
        <f>E79-E75</f>
        <v>640328.21999999869</v>
      </c>
      <c r="F88" s="39">
        <f>F79-F75</f>
        <v>650800.61735499999</v>
      </c>
    </row>
    <row r="89" spans="1:8" ht="15" thickBot="1" x14ac:dyDescent="0.4">
      <c r="B89" s="31"/>
      <c r="C89" s="31"/>
      <c r="D89" s="31"/>
      <c r="E89" s="31"/>
      <c r="F89" s="34"/>
    </row>
    <row r="90" spans="1:8" x14ac:dyDescent="0.35">
      <c r="A90" s="15" t="s">
        <v>81</v>
      </c>
      <c r="B90" s="31"/>
      <c r="C90" s="31"/>
      <c r="D90" s="31"/>
      <c r="E90" s="31"/>
      <c r="F90" s="34"/>
      <c r="H90" s="15"/>
    </row>
    <row r="91" spans="1:8" x14ac:dyDescent="0.35">
      <c r="A91" s="17" t="s">
        <v>82</v>
      </c>
      <c r="B91" s="31">
        <v>847890.77078799997</v>
      </c>
      <c r="C91" s="31">
        <v>3799471.2226200001</v>
      </c>
      <c r="D91" s="31">
        <v>6605581.9360100003</v>
      </c>
      <c r="E91" s="31">
        <v>690966.53</v>
      </c>
      <c r="F91" s="34">
        <v>673126.72692699998</v>
      </c>
    </row>
    <row r="92" spans="1:8" x14ac:dyDescent="0.35">
      <c r="A92" s="11" t="s">
        <v>83</v>
      </c>
      <c r="B92" s="31">
        <v>549648.41702499997</v>
      </c>
      <c r="C92" s="31">
        <v>536986.11069200002</v>
      </c>
      <c r="D92" s="31">
        <v>514801.55963899998</v>
      </c>
      <c r="E92" s="31">
        <v>403299.07</v>
      </c>
      <c r="F92" s="34">
        <v>294220.36433100002</v>
      </c>
    </row>
    <row r="93" spans="1:8" x14ac:dyDescent="0.35">
      <c r="A93" s="11" t="s">
        <v>84</v>
      </c>
      <c r="B93" s="31">
        <v>0</v>
      </c>
      <c r="C93" s="31">
        <v>0</v>
      </c>
      <c r="D93" s="31">
        <v>0</v>
      </c>
      <c r="E93" s="31">
        <v>0</v>
      </c>
      <c r="F93" s="34">
        <v>0</v>
      </c>
    </row>
    <row r="94" spans="1:8" x14ac:dyDescent="0.35">
      <c r="A94" s="18" t="s">
        <v>85</v>
      </c>
      <c r="B94" s="31">
        <v>194437.765308</v>
      </c>
      <c r="C94" s="31">
        <v>36040.728360000001</v>
      </c>
      <c r="D94" s="31">
        <v>329374.10647900001</v>
      </c>
      <c r="E94" s="31">
        <v>-364604.1</v>
      </c>
      <c r="F94" s="34">
        <v>100701.33685000001</v>
      </c>
    </row>
    <row r="95" spans="1:8" x14ac:dyDescent="0.35">
      <c r="A95" s="19" t="s">
        <v>86</v>
      </c>
      <c r="B95" s="31">
        <v>-1687.2836629999999</v>
      </c>
      <c r="C95" s="31">
        <v>-4822.7864019999997</v>
      </c>
      <c r="D95" s="31">
        <v>4492.1994350000004</v>
      </c>
      <c r="E95" s="31">
        <v>763.98</v>
      </c>
      <c r="F95" s="34">
        <v>0</v>
      </c>
    </row>
    <row r="96" spans="1:8" x14ac:dyDescent="0.35">
      <c r="A96" s="19" t="s">
        <v>87</v>
      </c>
      <c r="B96" s="31">
        <v>-177401.927532</v>
      </c>
      <c r="C96" s="31">
        <v>-168460.15728000001</v>
      </c>
      <c r="D96" s="31">
        <v>-330771.13838399999</v>
      </c>
      <c r="E96" s="31">
        <v>-452967.21</v>
      </c>
      <c r="F96" s="34">
        <v>-223769.960815</v>
      </c>
    </row>
    <row r="97" spans="1:6" x14ac:dyDescent="0.35">
      <c r="A97" s="18" t="s">
        <v>88</v>
      </c>
      <c r="B97" s="31">
        <v>88463.426175000001</v>
      </c>
      <c r="C97" s="31">
        <v>69266.472919000007</v>
      </c>
      <c r="D97" s="31">
        <v>64787.709844999998</v>
      </c>
      <c r="E97" s="31">
        <v>50638.3</v>
      </c>
      <c r="F97" s="34">
        <v>22326.109572000001</v>
      </c>
    </row>
    <row r="98" spans="1:6" x14ac:dyDescent="0.35">
      <c r="A98" s="11" t="s">
        <v>89</v>
      </c>
      <c r="B98" s="31">
        <v>-12019.853115</v>
      </c>
      <c r="C98" s="31">
        <v>-149969.46257599999</v>
      </c>
      <c r="D98" s="31">
        <v>80003.832513000001</v>
      </c>
      <c r="E98" s="31">
        <v>-239668.06</v>
      </c>
      <c r="F98" s="34">
        <v>-177937.50868500001</v>
      </c>
    </row>
    <row r="99" spans="1:6" x14ac:dyDescent="0.35">
      <c r="A99" s="11" t="s">
        <v>90</v>
      </c>
      <c r="B99" s="31">
        <v>-114561.98943099999</v>
      </c>
      <c r="C99" s="31">
        <v>-1278636.1668680001</v>
      </c>
      <c r="D99" s="31">
        <v>-1258270.9072149999</v>
      </c>
      <c r="E99" s="31">
        <v>2089951.57</v>
      </c>
      <c r="F99" s="34">
        <v>137819.55523100001</v>
      </c>
    </row>
    <row r="100" spans="1:6" x14ac:dyDescent="0.35">
      <c r="A100" s="11" t="s">
        <v>91</v>
      </c>
      <c r="B100" s="31">
        <v>-215723.20528200001</v>
      </c>
      <c r="C100" s="31">
        <v>189583.18681499999</v>
      </c>
      <c r="D100" s="31">
        <v>516135.55205599999</v>
      </c>
      <c r="E100" s="31">
        <v>-551418.28</v>
      </c>
      <c r="F100" s="34">
        <v>653605.34294799995</v>
      </c>
    </row>
    <row r="101" spans="1:6" x14ac:dyDescent="0.35">
      <c r="A101" s="11" t="s">
        <v>92</v>
      </c>
      <c r="B101" s="31">
        <v>3189.814566</v>
      </c>
      <c r="C101" s="31">
        <v>16446.824038999999</v>
      </c>
      <c r="D101" s="31">
        <v>-21066.197692999998</v>
      </c>
      <c r="E101" s="31">
        <v>-29502.35</v>
      </c>
      <c r="F101" s="34">
        <v>-10023.000451</v>
      </c>
    </row>
    <row r="102" spans="1:6" x14ac:dyDescent="0.35">
      <c r="A102" s="11" t="s">
        <v>93</v>
      </c>
      <c r="B102" s="31">
        <v>-101010.42829700001</v>
      </c>
      <c r="C102" s="31">
        <v>-73836.553165000005</v>
      </c>
      <c r="D102" s="31">
        <v>-64435.955327999996</v>
      </c>
      <c r="E102" s="31">
        <v>-76374.37</v>
      </c>
      <c r="F102" s="34">
        <v>-22326.109572000001</v>
      </c>
    </row>
    <row r="103" spans="1:6" x14ac:dyDescent="0.35">
      <c r="A103" s="11" t="s">
        <v>94</v>
      </c>
      <c r="B103" s="31">
        <v>-178220.066598</v>
      </c>
      <c r="C103" s="31">
        <v>-302161.81990100001</v>
      </c>
      <c r="D103" s="31">
        <v>-1209088.866037</v>
      </c>
      <c r="E103" s="31">
        <v>-344716.04</v>
      </c>
      <c r="F103" s="34">
        <v>-38645.925048999998</v>
      </c>
    </row>
    <row r="104" spans="1:6" x14ac:dyDescent="0.35">
      <c r="A104" s="11" t="s">
        <v>95</v>
      </c>
      <c r="B104" s="31">
        <f>20000- (115732.025947)</f>
        <v>-95732.025947000002</v>
      </c>
      <c r="C104" s="31">
        <f>20000-173836.027596</f>
        <v>-153836.027596</v>
      </c>
      <c r="D104" s="31">
        <v>-270280.23023300001</v>
      </c>
      <c r="E104" s="31">
        <v>-231522.42</v>
      </c>
      <c r="F104" s="34">
        <v>-121947.502553</v>
      </c>
    </row>
    <row r="105" spans="1:6" x14ac:dyDescent="0.35">
      <c r="A105" s="20" t="s">
        <v>96</v>
      </c>
      <c r="B105" s="31">
        <f>SUM(B91:B104)</f>
        <v>787273.4139969995</v>
      </c>
      <c r="C105" s="31">
        <f>SUM(C91:C104)</f>
        <v>2516071.5716570006</v>
      </c>
      <c r="D105" s="31">
        <f>SUM(D91:D104)</f>
        <v>4961263.6010870012</v>
      </c>
      <c r="E105" s="31">
        <f>SUM(E91:E104)</f>
        <v>944846.62</v>
      </c>
      <c r="F105" s="31">
        <f>SUM(F91:F104)</f>
        <v>1287149.4287339998</v>
      </c>
    </row>
    <row r="106" spans="1:6" x14ac:dyDescent="0.35">
      <c r="A106" s="11" t="s">
        <v>97</v>
      </c>
      <c r="B106" s="31">
        <v>-81740.330467000007</v>
      </c>
      <c r="C106" s="31">
        <v>-221937.01904499999</v>
      </c>
      <c r="D106" s="31">
        <v>-77483.959652999998</v>
      </c>
      <c r="E106" s="31">
        <v>-240758.23</v>
      </c>
      <c r="F106" s="34">
        <v>-87225.457120000006</v>
      </c>
    </row>
    <row r="107" spans="1:6" x14ac:dyDescent="0.35">
      <c r="A107" s="11" t="s">
        <v>98</v>
      </c>
      <c r="B107" s="31">
        <v>0</v>
      </c>
      <c r="C107" s="31">
        <v>298.617437</v>
      </c>
      <c r="D107" s="31">
        <v>2494.3067000000001</v>
      </c>
      <c r="E107" s="31">
        <v>906.08</v>
      </c>
      <c r="F107" s="34">
        <v>0</v>
      </c>
    </row>
    <row r="108" spans="1:6" x14ac:dyDescent="0.35">
      <c r="A108" s="21" t="s">
        <v>99</v>
      </c>
      <c r="B108" s="31">
        <v>-2940000</v>
      </c>
      <c r="C108" s="31">
        <v>-5640000</v>
      </c>
      <c r="D108" s="31">
        <v>-11790000</v>
      </c>
      <c r="E108" s="31">
        <v>-9615000</v>
      </c>
      <c r="F108" s="34">
        <v>-12008000</v>
      </c>
    </row>
    <row r="109" spans="1:6" x14ac:dyDescent="0.35">
      <c r="A109" s="21" t="s">
        <v>100</v>
      </c>
      <c r="B109" s="31">
        <v>1790000</v>
      </c>
      <c r="C109" s="31">
        <v>4370000</v>
      </c>
      <c r="D109" s="31">
        <v>8365000</v>
      </c>
      <c r="E109" s="31">
        <v>11110000</v>
      </c>
      <c r="F109" s="34">
        <v>7929000</v>
      </c>
    </row>
    <row r="110" spans="1:6" x14ac:dyDescent="0.35">
      <c r="A110" s="21" t="s">
        <v>101</v>
      </c>
      <c r="B110" s="31">
        <v>0</v>
      </c>
      <c r="C110" s="31">
        <v>0</v>
      </c>
      <c r="D110" s="31">
        <v>0</v>
      </c>
      <c r="E110" s="31">
        <v>0</v>
      </c>
      <c r="F110" s="34">
        <v>0</v>
      </c>
    </row>
    <row r="111" spans="1:6" x14ac:dyDescent="0.35">
      <c r="A111" s="21" t="s">
        <v>102</v>
      </c>
      <c r="B111" s="31">
        <v>0</v>
      </c>
      <c r="C111" s="31">
        <v>0</v>
      </c>
      <c r="D111" s="31">
        <v>0</v>
      </c>
      <c r="E111" s="31">
        <v>0</v>
      </c>
      <c r="F111" s="34">
        <v>0</v>
      </c>
    </row>
    <row r="112" spans="1:6" x14ac:dyDescent="0.35">
      <c r="A112" s="21" t="s">
        <v>103</v>
      </c>
      <c r="B112" s="31">
        <v>165742.209214</v>
      </c>
      <c r="C112" s="31">
        <v>172717.516126</v>
      </c>
      <c r="D112" s="31">
        <v>273435.614</v>
      </c>
      <c r="E112" s="31">
        <v>420929.99</v>
      </c>
      <c r="F112" s="34">
        <v>240812.94399900001</v>
      </c>
    </row>
    <row r="113" spans="1:6" x14ac:dyDescent="0.35">
      <c r="A113" s="11" t="s">
        <v>104</v>
      </c>
      <c r="B113" s="31">
        <v>0</v>
      </c>
      <c r="C113" s="31">
        <v>0</v>
      </c>
      <c r="D113" s="31">
        <v>0</v>
      </c>
      <c r="E113" s="31">
        <v>0</v>
      </c>
      <c r="F113" s="34">
        <v>0</v>
      </c>
    </row>
    <row r="114" spans="1:6" x14ac:dyDescent="0.35">
      <c r="A114" s="17" t="s">
        <v>105</v>
      </c>
      <c r="B114" s="31">
        <f>SUM(B106:B113)</f>
        <v>-1065998.1212530001</v>
      </c>
      <c r="C114" s="31">
        <f>SUM(C106:C113)</f>
        <v>-1318920.8854819995</v>
      </c>
      <c r="D114" s="31">
        <f>SUM(D106:D113)</f>
        <v>-3226554.0389530007</v>
      </c>
      <c r="E114" s="31">
        <f>SUM(E106:E113)</f>
        <v>1676077.8399999996</v>
      </c>
      <c r="F114" s="31">
        <f>SUM(F106:F113)</f>
        <v>-3925412.5131209996</v>
      </c>
    </row>
    <row r="115" spans="1:6" x14ac:dyDescent="0.35">
      <c r="A115" s="21" t="s">
        <v>106</v>
      </c>
      <c r="B115" s="31">
        <v>0</v>
      </c>
      <c r="C115" s="31">
        <v>0</v>
      </c>
      <c r="D115" s="31">
        <v>0</v>
      </c>
      <c r="E115" s="31">
        <v>0</v>
      </c>
      <c r="F115" s="34">
        <v>0</v>
      </c>
    </row>
    <row r="116" spans="1:6" x14ac:dyDescent="0.35">
      <c r="A116" s="21" t="s">
        <v>107</v>
      </c>
      <c r="B116" s="31">
        <v>381719.55200000003</v>
      </c>
      <c r="C116" s="31">
        <v>724557.69528600003</v>
      </c>
      <c r="D116" s="31">
        <v>1059193.105</v>
      </c>
      <c r="E116" s="31">
        <v>0</v>
      </c>
      <c r="F116" s="34">
        <v>3870426.579653</v>
      </c>
    </row>
    <row r="117" spans="1:6" x14ac:dyDescent="0.35">
      <c r="A117" s="21" t="s">
        <v>108</v>
      </c>
      <c r="B117" s="31">
        <v>-571448.72865199996</v>
      </c>
      <c r="C117" s="31">
        <v>-869427.25538999995</v>
      </c>
      <c r="D117" s="31">
        <v>-1258761.6240000001</v>
      </c>
      <c r="E117" s="31">
        <v>-707152.18</v>
      </c>
      <c r="F117" s="34">
        <v>-502575</v>
      </c>
    </row>
    <row r="118" spans="1:6" x14ac:dyDescent="0.35">
      <c r="A118" s="21" t="s">
        <v>109</v>
      </c>
      <c r="B118" s="31">
        <v>-479315.34054</v>
      </c>
      <c r="C118" s="31">
        <v>-557564.74373999995</v>
      </c>
      <c r="D118" s="31">
        <v>-1977035.7420000001</v>
      </c>
      <c r="E118" s="31">
        <v>-2755413.81</v>
      </c>
      <c r="F118" s="34">
        <v>-782668.52</v>
      </c>
    </row>
    <row r="119" spans="1:6" x14ac:dyDescent="0.35">
      <c r="A119" s="17" t="s">
        <v>110</v>
      </c>
      <c r="B119" s="31">
        <v>-669044.51719200006</v>
      </c>
      <c r="C119" s="31">
        <v>-702434.30384399998</v>
      </c>
      <c r="D119" s="31">
        <v>-2176604.2620000001</v>
      </c>
      <c r="E119" s="31">
        <f>SUM(E115:E118)</f>
        <v>-3462565.99</v>
      </c>
      <c r="F119" s="31">
        <f>SUM(F115:F118)</f>
        <v>2585183.059653</v>
      </c>
    </row>
    <row r="120" spans="1:6" x14ac:dyDescent="0.35">
      <c r="A120" s="11" t="s">
        <v>111</v>
      </c>
      <c r="B120" s="31">
        <v>15.359757</v>
      </c>
      <c r="C120" s="31">
        <v>200.345293</v>
      </c>
      <c r="D120" s="31">
        <v>1620.4390000000001</v>
      </c>
      <c r="E120" s="31">
        <v>-638.15</v>
      </c>
      <c r="F120" s="34">
        <v>0</v>
      </c>
    </row>
    <row r="121" spans="1:6" x14ac:dyDescent="0.35">
      <c r="A121" s="17" t="s">
        <v>112</v>
      </c>
      <c r="B121" s="31">
        <v>-947769.22444799996</v>
      </c>
      <c r="C121" s="31">
        <v>494716.382331</v>
      </c>
      <c r="D121" s="31">
        <v>-441894.69900000002</v>
      </c>
      <c r="E121" s="31">
        <v>-841641.53</v>
      </c>
      <c r="F121" s="34">
        <v>-54080.024733999999</v>
      </c>
    </row>
    <row r="122" spans="1:6" x14ac:dyDescent="0.35">
      <c r="A122" s="11" t="s">
        <v>113</v>
      </c>
      <c r="B122" s="31">
        <v>2976952.4500330002</v>
      </c>
      <c r="C122" s="31">
        <v>2029198.585342</v>
      </c>
      <c r="D122" s="31">
        <v>2524115.3119999999</v>
      </c>
      <c r="E122" s="31">
        <v>2083841.05</v>
      </c>
      <c r="F122" s="34">
        <v>1241561.3621149999</v>
      </c>
    </row>
    <row r="123" spans="1:6" ht="15" thickBot="1" x14ac:dyDescent="0.4">
      <c r="A123" s="22" t="s">
        <v>114</v>
      </c>
      <c r="B123" s="31">
        <f>C122</f>
        <v>2029198.585342</v>
      </c>
      <c r="C123" s="31">
        <v>2524115.3129659998</v>
      </c>
      <c r="D123" s="31">
        <v>2083841.0530000001</v>
      </c>
      <c r="E123" s="31">
        <v>1241561.3600000001</v>
      </c>
      <c r="F123" s="34">
        <v>1188481.3373809999</v>
      </c>
    </row>
    <row r="124" spans="1:6" x14ac:dyDescent="0.35">
      <c r="B124" s="31"/>
      <c r="C124" s="31"/>
      <c r="D124" s="31"/>
      <c r="E124" s="31"/>
      <c r="F124" s="34"/>
    </row>
    <row r="125" spans="1:6" ht="15" thickBot="1" x14ac:dyDescent="0.4">
      <c r="B125" s="31"/>
      <c r="C125" s="31"/>
      <c r="D125" s="31"/>
      <c r="E125" s="31"/>
      <c r="F125" s="34"/>
    </row>
    <row r="126" spans="1:6" x14ac:dyDescent="0.35">
      <c r="A126" s="15" t="s">
        <v>115</v>
      </c>
      <c r="B126" s="31"/>
      <c r="C126" s="31"/>
      <c r="D126" s="31"/>
      <c r="E126" s="31"/>
      <c r="F126" s="34"/>
    </row>
    <row r="127" spans="1:6" x14ac:dyDescent="0.35">
      <c r="A127" s="23" t="s">
        <v>116</v>
      </c>
      <c r="B127" s="31"/>
      <c r="C127" s="31"/>
      <c r="D127" s="31"/>
      <c r="E127" s="31"/>
      <c r="F127" s="31"/>
    </row>
    <row r="128" spans="1:6" x14ac:dyDescent="0.35">
      <c r="A128" s="16" t="s">
        <v>117</v>
      </c>
      <c r="B128" s="31"/>
      <c r="C128" s="31"/>
      <c r="D128" s="31"/>
      <c r="E128" s="31"/>
      <c r="F128" s="31"/>
    </row>
    <row r="129" spans="1:6" x14ac:dyDescent="0.35">
      <c r="A129" s="5"/>
      <c r="B129" s="6"/>
      <c r="C129" s="6"/>
      <c r="D129" s="6"/>
      <c r="E129" s="6"/>
      <c r="F129" s="6"/>
    </row>
    <row r="130" spans="1:6" ht="15" thickBot="1" x14ac:dyDescent="0.4">
      <c r="A130" s="4"/>
      <c r="B130" s="31"/>
      <c r="C130" s="31"/>
      <c r="D130" s="31"/>
      <c r="E130" s="31"/>
      <c r="F130" s="31"/>
    </row>
    <row r="131" spans="1:6" x14ac:dyDescent="0.35">
      <c r="A131" s="15" t="s">
        <v>118</v>
      </c>
      <c r="B131" s="31"/>
      <c r="C131" s="31"/>
      <c r="D131" s="31"/>
      <c r="E131" s="31"/>
      <c r="F131" s="31"/>
    </row>
    <row r="132" spans="1:6" x14ac:dyDescent="0.35">
      <c r="A132" s="16" t="s">
        <v>119</v>
      </c>
      <c r="B132" s="31"/>
      <c r="C132" s="31"/>
      <c r="D132" s="31"/>
      <c r="E132" s="31"/>
      <c r="F132" s="31"/>
    </row>
    <row r="133" spans="1:6" x14ac:dyDescent="0.35">
      <c r="A133" s="16" t="s">
        <v>120</v>
      </c>
      <c r="B133" s="31"/>
      <c r="C133" s="31"/>
      <c r="D133" s="31"/>
      <c r="E133" s="31"/>
      <c r="F133" s="31"/>
    </row>
    <row r="134" spans="1:6" x14ac:dyDescent="0.35">
      <c r="A134" s="16" t="s">
        <v>121</v>
      </c>
      <c r="B134" s="31"/>
      <c r="C134" s="31"/>
      <c r="D134" s="31"/>
      <c r="E134" s="31"/>
      <c r="F134" s="31"/>
    </row>
    <row r="135" spans="1:6" ht="15" thickBot="1" x14ac:dyDescent="0.4">
      <c r="A135" s="24"/>
      <c r="B135" s="31"/>
      <c r="C135" s="31"/>
      <c r="D135" s="31"/>
      <c r="E135" s="31"/>
      <c r="F135" s="31"/>
    </row>
  </sheetData>
  <sheetProtection algorithmName="SHA-512" hashValue="4E6JSXVAR9asJNfqJW0rzZF+CCNF4WGKW82vQpic4F9EWZEbmGPN3dG+ID3sXaiQIbYA6BJM8krtplYzmiJyYA==" saltValue="RUYPk+aA/zoONyLTzrT8pA=="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3548-FB02-4278-B0D9-4B31B8A6BFC0}">
  <dimension ref="A1:L176"/>
  <sheetViews>
    <sheetView topLeftCell="A33" zoomScale="80" zoomScaleNormal="80" workbookViewId="0">
      <selection activeCell="C48" sqref="C48"/>
    </sheetView>
  </sheetViews>
  <sheetFormatPr defaultRowHeight="14.5" x14ac:dyDescent="0.35"/>
  <cols>
    <col min="1" max="1" width="62.6328125" customWidth="1"/>
    <col min="2" max="2" width="10.453125" bestFit="1" customWidth="1"/>
    <col min="4" max="4" width="8.7265625" customWidth="1"/>
    <col min="5" max="5" width="13" customWidth="1"/>
    <col min="10" max="10" width="13.1796875" customWidth="1"/>
    <col min="11" max="11" width="16.90625" customWidth="1"/>
  </cols>
  <sheetData>
    <row r="1" spans="1:5" x14ac:dyDescent="0.35">
      <c r="A1" s="1" t="s">
        <v>0</v>
      </c>
      <c r="B1" s="1"/>
      <c r="C1" s="2"/>
      <c r="D1" s="2"/>
      <c r="E1" s="2"/>
    </row>
    <row r="2" spans="1:5" x14ac:dyDescent="0.35">
      <c r="A2" s="1" t="s">
        <v>1</v>
      </c>
      <c r="B2" s="1"/>
      <c r="C2" s="2" t="s">
        <v>2</v>
      </c>
      <c r="D2" s="36"/>
      <c r="E2" s="2"/>
    </row>
    <row r="4" spans="1:5" ht="15" thickBot="1" x14ac:dyDescent="0.4"/>
    <row r="5" spans="1:5" x14ac:dyDescent="0.35">
      <c r="A5" s="40" t="s">
        <v>127</v>
      </c>
      <c r="B5" s="49" t="str">
        <f>'Raw Data'!C4</f>
        <v>2021A</v>
      </c>
      <c r="C5" s="49" t="str">
        <f>'Raw Data'!D4</f>
        <v>2022A</v>
      </c>
      <c r="D5" s="49" t="str">
        <f>'Raw Data'!E4</f>
        <v>2023A</v>
      </c>
      <c r="E5" s="49" t="str">
        <f>'Raw Data'!F4</f>
        <v>9m2024A</v>
      </c>
    </row>
    <row r="6" spans="1:5" x14ac:dyDescent="0.35">
      <c r="A6" s="41" t="s">
        <v>128</v>
      </c>
      <c r="B6" s="44"/>
      <c r="C6" s="44"/>
      <c r="D6" s="44"/>
      <c r="E6" s="50"/>
    </row>
    <row r="7" spans="1:5" x14ac:dyDescent="0.35">
      <c r="A7" s="41" t="s">
        <v>129</v>
      </c>
      <c r="B7" s="44"/>
      <c r="C7" s="44"/>
      <c r="D7" s="44"/>
      <c r="E7" s="50"/>
    </row>
    <row r="8" spans="1:5" x14ac:dyDescent="0.35">
      <c r="A8" s="42" t="s">
        <v>167</v>
      </c>
      <c r="B8" s="51">
        <f>IF(ISERROR('Raw Data'!C84/'Raw Data'!C67),"",('Raw Data'!C84/'Raw Data'!C67))</f>
        <v>0.24379003383145159</v>
      </c>
      <c r="C8" s="51">
        <f>IF(ISERROR('Raw Data'!D84/'Raw Data'!D67),"",('Raw Data'!D84/'Raw Data'!D67))</f>
        <v>0.29875040205463271</v>
      </c>
      <c r="D8" s="51">
        <f>IF(ISERROR('Raw Data'!E84/'Raw Data'!E67),"",('Raw Data'!E84/'Raw Data'!E67))</f>
        <v>3.8282809917687587E-2</v>
      </c>
      <c r="E8" s="79">
        <f>IF(ISERROR('Raw Data'!F84/'Raw Data'!F67),"",('Raw Data'!F84/'Raw Data'!F67))</f>
        <v>5.3983007926111264E-2</v>
      </c>
    </row>
    <row r="9" spans="1:5" x14ac:dyDescent="0.35">
      <c r="A9" s="42" t="s">
        <v>168</v>
      </c>
      <c r="B9" s="52">
        <f>'Raw Data'!B67/(('Raw Data'!C27+'Raw Data'!B27)/2)</f>
        <v>0.6155807867635672</v>
      </c>
      <c r="C9" s="52">
        <f>'Raw Data'!C67/(('Raw Data'!D27+'Raw Data'!C27)/2)</f>
        <v>0.80882133107042842</v>
      </c>
      <c r="D9" s="52">
        <f>'Raw Data'!D67/(('Raw Data'!E27+'Raw Data'!D27)/2)</f>
        <v>1.2014413084888285</v>
      </c>
      <c r="E9" s="80">
        <f>'Raw Data'!E67/(('Raw Data'!F27+'Raw Data'!E27)/2)</f>
        <v>0.89398432312060228</v>
      </c>
    </row>
    <row r="10" spans="1:5" x14ac:dyDescent="0.35">
      <c r="A10" s="42" t="s">
        <v>131</v>
      </c>
      <c r="B10" s="51">
        <f>B8*B9</f>
        <v>0.15007246083108164</v>
      </c>
      <c r="C10" s="51">
        <f>C8*C9</f>
        <v>0.24163569784765368</v>
      </c>
      <c r="D10" s="51">
        <f>D8*D9</f>
        <v>4.5994549240135671E-2</v>
      </c>
      <c r="E10" s="79">
        <f>E8*E9</f>
        <v>4.8259962800838684E-2</v>
      </c>
    </row>
    <row r="11" spans="1:5" x14ac:dyDescent="0.35">
      <c r="A11" s="42"/>
      <c r="B11" s="53"/>
      <c r="C11" s="53"/>
      <c r="D11" s="53"/>
      <c r="E11" s="81"/>
    </row>
    <row r="12" spans="1:5" x14ac:dyDescent="0.35">
      <c r="A12" s="41" t="s">
        <v>132</v>
      </c>
      <c r="B12" s="48"/>
      <c r="C12" s="48"/>
      <c r="D12" s="48"/>
      <c r="E12" s="82"/>
    </row>
    <row r="13" spans="1:5" x14ac:dyDescent="0.35">
      <c r="A13" s="42" t="s">
        <v>133</v>
      </c>
      <c r="B13" s="51">
        <f t="shared" ref="B13:E14" si="0">B8</f>
        <v>0.24379003383145159</v>
      </c>
      <c r="C13" s="51">
        <f t="shared" si="0"/>
        <v>0.29875040205463271</v>
      </c>
      <c r="D13" s="51">
        <f t="shared" si="0"/>
        <v>3.8282809917687587E-2</v>
      </c>
      <c r="E13" s="79">
        <f t="shared" si="0"/>
        <v>5.3983007926111264E-2</v>
      </c>
    </row>
    <row r="14" spans="1:5" x14ac:dyDescent="0.35">
      <c r="A14" s="42" t="s">
        <v>130</v>
      </c>
      <c r="B14" s="56">
        <f t="shared" si="0"/>
        <v>0.6155807867635672</v>
      </c>
      <c r="C14" s="56">
        <f t="shared" si="0"/>
        <v>0.80882133107042842</v>
      </c>
      <c r="D14" s="56">
        <f t="shared" si="0"/>
        <v>1.2014413084888285</v>
      </c>
      <c r="E14" s="83">
        <f t="shared" si="0"/>
        <v>0.89398432312060228</v>
      </c>
    </row>
    <row r="15" spans="1:5" x14ac:dyDescent="0.35">
      <c r="A15" s="42" t="s">
        <v>134</v>
      </c>
      <c r="B15" s="56">
        <f>AVERAGE('Raw Data'!B27:C27)/AVERAGE('Raw Data'!B58:C58)</f>
        <v>1.3557856989170443</v>
      </c>
      <c r="C15" s="56">
        <f>AVERAGE('Raw Data'!C27:D27)/AVERAGE('Raw Data'!C58:D58)</f>
        <v>1.2986141356188596</v>
      </c>
      <c r="D15" s="56">
        <f>AVERAGE('Raw Data'!D27:E27)/AVERAGE('Raw Data'!D58:E58)</f>
        <v>1.2304087524073593</v>
      </c>
      <c r="E15" s="83">
        <f>AVERAGE('Raw Data'!E27:F27)/AVERAGE('Raw Data'!E58:F58)</f>
        <v>1.3538173902085606</v>
      </c>
    </row>
    <row r="16" spans="1:5" x14ac:dyDescent="0.35">
      <c r="A16" s="42" t="s">
        <v>135</v>
      </c>
      <c r="B16" s="51">
        <f>B13*B15*B14</f>
        <v>0.20346609619606879</v>
      </c>
      <c r="C16" s="51">
        <f>C13*C15*C14</f>
        <v>0.31379153289509071</v>
      </c>
      <c r="D16" s="51">
        <f>D13*D15*D14</f>
        <v>5.6592095948094188E-2</v>
      </c>
      <c r="E16" s="79">
        <f>E13*E15*E14</f>
        <v>6.5335176890593649E-2</v>
      </c>
    </row>
    <row r="17" spans="1:12" x14ac:dyDescent="0.35">
      <c r="A17" s="42"/>
      <c r="B17" s="53"/>
      <c r="C17" s="53"/>
      <c r="D17" s="53"/>
      <c r="E17" s="81"/>
    </row>
    <row r="18" spans="1:12" x14ac:dyDescent="0.35">
      <c r="A18" s="41" t="s">
        <v>136</v>
      </c>
      <c r="B18" s="48"/>
      <c r="C18" s="48"/>
      <c r="D18" s="48"/>
      <c r="E18" s="82"/>
    </row>
    <row r="19" spans="1:12" x14ac:dyDescent="0.35">
      <c r="A19" s="42" t="s">
        <v>137</v>
      </c>
      <c r="B19" s="51">
        <f>'Raw Data'!C69/'Raw Data'!C67</f>
        <v>0.37427545047939748</v>
      </c>
      <c r="C19" s="51">
        <f>'Raw Data'!D69/'Raw Data'!D67</f>
        <v>0.42079477801915838</v>
      </c>
      <c r="D19" s="51">
        <f>'Raw Data'!E69/'Raw Data'!E67</f>
        <v>0.12172778443963664</v>
      </c>
      <c r="E19" s="79">
        <f>'Raw Data'!F69/'Raw Data'!F67</f>
        <v>0.14568909230746124</v>
      </c>
    </row>
    <row r="20" spans="1:12" x14ac:dyDescent="0.35">
      <c r="A20" s="42" t="s">
        <v>138</v>
      </c>
      <c r="B20" s="51">
        <f>'Raw Data'!C72/'Raw Data'!C67</f>
        <v>0.28516588578294316</v>
      </c>
      <c r="C20" s="51">
        <f>'Raw Data'!D72/'Raw Data'!D67</f>
        <v>0.35360705912591772</v>
      </c>
      <c r="D20" s="51">
        <f>'Raw Data'!E72/'Raw Data'!E67</f>
        <v>5.085280682344144E-2</v>
      </c>
      <c r="E20" s="79">
        <f>'Raw Data'!F72/'Raw Data'!F67</f>
        <v>6.488207420039345E-2</v>
      </c>
    </row>
    <row r="21" spans="1:12" x14ac:dyDescent="0.35">
      <c r="A21" s="42" t="s">
        <v>139</v>
      </c>
      <c r="B21" s="51">
        <f>'Raw Data'!C84/'Raw Data'!C67</f>
        <v>0.24379003383145159</v>
      </c>
      <c r="C21" s="51">
        <f>'Raw Data'!D84/'Raw Data'!D67</f>
        <v>0.29875040205463271</v>
      </c>
      <c r="D21" s="51">
        <f>'Raw Data'!E84/'Raw Data'!E67</f>
        <v>3.8282809917687587E-2</v>
      </c>
      <c r="E21" s="79">
        <f>'Raw Data'!F84/'Raw Data'!F67</f>
        <v>5.3983007926111264E-2</v>
      </c>
    </row>
    <row r="22" spans="1:12" x14ac:dyDescent="0.35">
      <c r="A22" s="42"/>
      <c r="B22" s="44"/>
      <c r="C22" s="44"/>
      <c r="D22" s="44"/>
      <c r="E22" s="84"/>
    </row>
    <row r="23" spans="1:12" x14ac:dyDescent="0.35">
      <c r="A23" s="41" t="s">
        <v>140</v>
      </c>
      <c r="B23" s="53"/>
      <c r="C23" s="53"/>
      <c r="D23" s="53"/>
      <c r="E23" s="81"/>
    </row>
    <row r="24" spans="1:12" x14ac:dyDescent="0.35">
      <c r="A24" s="42" t="s">
        <v>141</v>
      </c>
      <c r="B24" s="51">
        <f>('Raw Data'!C67-'Raw Data'!B67)/'Raw Data'!B67</f>
        <v>0.64731254938569605</v>
      </c>
      <c r="C24" s="51">
        <f>('Raw Data'!D67-'Raw Data'!C67)/'Raw Data'!C67</f>
        <v>0.45682573519131592</v>
      </c>
      <c r="D24" s="51">
        <f>('Raw Data'!E67-'Raw Data'!D67)/'Raw Data'!D67</f>
        <v>-0.27153837285163612</v>
      </c>
      <c r="E24" s="79">
        <f>('Raw Data'!F67-'Raw Data'!E67)/'Raw Data'!E67</f>
        <v>-0.23856123226768286</v>
      </c>
    </row>
    <row r="25" spans="1:12" ht="15" thickBot="1" x14ac:dyDescent="0.4">
      <c r="A25" s="43" t="s">
        <v>142</v>
      </c>
      <c r="B25" s="57">
        <f>('Raw Data'!C84-'Raw Data'!B84)/'Raw Data'!B84</f>
        <v>3.5090396517479738</v>
      </c>
      <c r="C25" s="57">
        <f>('Raw Data'!D84-'Raw Data'!C84)/'Raw Data'!C84</f>
        <v>0.78525457858889902</v>
      </c>
      <c r="D25" s="57">
        <f>('Raw Data'!E84-'Raw Data'!D84)/'Raw Data'!D84</f>
        <v>-0.90665265113400451</v>
      </c>
      <c r="E25" s="57">
        <f>('Raw Data'!F84-'Raw Data'!E84)/'Raw Data'!E84</f>
        <v>7.3713113591243315E-2</v>
      </c>
    </row>
    <row r="26" spans="1:12" x14ac:dyDescent="0.35">
      <c r="A26" s="44"/>
      <c r="B26" s="58"/>
      <c r="C26" s="58"/>
      <c r="D26" s="58"/>
      <c r="E26" s="58"/>
    </row>
    <row r="27" spans="1:12" x14ac:dyDescent="0.35">
      <c r="A27" s="45"/>
      <c r="B27" s="59"/>
      <c r="C27" s="59"/>
      <c r="D27" s="59"/>
      <c r="E27" s="59"/>
    </row>
    <row r="28" spans="1:12" x14ac:dyDescent="0.35">
      <c r="A28" s="45"/>
      <c r="B28" s="60"/>
      <c r="C28" s="60"/>
      <c r="D28" s="60"/>
      <c r="E28" s="60"/>
    </row>
    <row r="29" spans="1:12" x14ac:dyDescent="0.35">
      <c r="A29" s="45"/>
      <c r="B29" s="61"/>
      <c r="C29" s="59"/>
      <c r="D29" s="59"/>
      <c r="E29" s="59"/>
    </row>
    <row r="30" spans="1:12" ht="15" thickBot="1" x14ac:dyDescent="0.4">
      <c r="A30" s="45"/>
      <c r="B30" s="44"/>
      <c r="C30" s="59"/>
      <c r="D30" s="59"/>
      <c r="E30" s="44"/>
    </row>
    <row r="31" spans="1:12" x14ac:dyDescent="0.35">
      <c r="A31" s="45"/>
      <c r="B31" s="59"/>
      <c r="C31" s="59"/>
      <c r="D31" s="59"/>
      <c r="E31" s="44"/>
      <c r="I31" s="85"/>
      <c r="J31" s="86"/>
      <c r="K31" s="86"/>
      <c r="L31" s="87"/>
    </row>
    <row r="32" spans="1:12" x14ac:dyDescent="0.35">
      <c r="A32" s="44"/>
      <c r="B32" s="59"/>
      <c r="C32" s="59"/>
      <c r="D32" s="59"/>
      <c r="E32" s="59"/>
      <c r="I32" s="88" t="s">
        <v>173</v>
      </c>
      <c r="J32" s="90">
        <v>43831</v>
      </c>
      <c r="K32" s="90">
        <v>44196</v>
      </c>
      <c r="L32" s="89"/>
    </row>
    <row r="33" spans="1:12" ht="15" thickBot="1" x14ac:dyDescent="0.4">
      <c r="A33" s="46"/>
      <c r="B33" s="44"/>
      <c r="C33" s="44"/>
      <c r="D33" s="44"/>
      <c r="E33" s="44"/>
      <c r="I33" s="88"/>
      <c r="J33" s="90">
        <v>44197</v>
      </c>
      <c r="K33" s="90">
        <v>44561</v>
      </c>
      <c r="L33" s="89"/>
    </row>
    <row r="34" spans="1:12" x14ac:dyDescent="0.35">
      <c r="A34" s="47" t="s">
        <v>127</v>
      </c>
      <c r="B34" s="49" t="str">
        <f>'Raw Data'!C4</f>
        <v>2021A</v>
      </c>
      <c r="C34" s="49" t="str">
        <f>'Raw Data'!D4</f>
        <v>2022A</v>
      </c>
      <c r="D34" s="49" t="str">
        <f>'Raw Data'!E4</f>
        <v>2023A</v>
      </c>
      <c r="E34" s="49" t="str">
        <f>'Raw Data'!F4</f>
        <v>9m2024A</v>
      </c>
      <c r="I34" s="88"/>
      <c r="J34" s="90">
        <v>44562</v>
      </c>
      <c r="K34" s="90">
        <v>44926</v>
      </c>
      <c r="L34" s="89"/>
    </row>
    <row r="35" spans="1:12" x14ac:dyDescent="0.35">
      <c r="A35" s="41" t="s">
        <v>143</v>
      </c>
      <c r="B35" s="62"/>
      <c r="C35" s="62"/>
      <c r="D35" s="62"/>
      <c r="E35" s="75"/>
      <c r="I35" s="88"/>
      <c r="J35" s="90">
        <v>44927</v>
      </c>
      <c r="K35" s="90">
        <v>45291</v>
      </c>
      <c r="L35" s="89"/>
    </row>
    <row r="36" spans="1:12" x14ac:dyDescent="0.35">
      <c r="A36" s="41" t="s">
        <v>144</v>
      </c>
      <c r="B36" s="44"/>
      <c r="C36" s="44"/>
      <c r="D36" s="44"/>
      <c r="E36" s="50"/>
      <c r="I36" s="88"/>
      <c r="J36" s="90">
        <v>45292</v>
      </c>
      <c r="K36" s="90">
        <v>45565</v>
      </c>
      <c r="L36" s="89"/>
    </row>
    <row r="37" spans="1:12" ht="15" thickBot="1" x14ac:dyDescent="0.4">
      <c r="A37" s="42" t="s">
        <v>145</v>
      </c>
      <c r="B37" s="63">
        <f>'Raw Data'!C16/'Raw Data'!C40</f>
        <v>4.4243123485047144</v>
      </c>
      <c r="C37" s="63">
        <f>'Raw Data'!D16/'Raw Data'!D40</f>
        <v>4.5330809201460616</v>
      </c>
      <c r="D37" s="63">
        <f>'Raw Data'!E16/'Raw Data'!E40</f>
        <v>6.4433494018580877</v>
      </c>
      <c r="E37" s="63">
        <f>'Raw Data'!F16/'Raw Data'!F40</f>
        <v>2.5170131756529428</v>
      </c>
      <c r="I37" s="91"/>
      <c r="J37" s="92"/>
      <c r="K37" s="92"/>
      <c r="L37" s="93"/>
    </row>
    <row r="38" spans="1:12" x14ac:dyDescent="0.35">
      <c r="A38" s="42" t="s">
        <v>146</v>
      </c>
      <c r="B38" s="63">
        <f>SUM('Raw Data'!C7:C9)/'Raw Data'!C40</f>
        <v>3.0060820680441345</v>
      </c>
      <c r="C38" s="63">
        <f>SUM('Raw Data'!D7:D9)/'Raw Data'!D40</f>
        <v>3.1454227425301879</v>
      </c>
      <c r="D38" s="63">
        <f>SUM('Raw Data'!E7:E9)/'Raw Data'!E40</f>
        <v>4.8964710386832166</v>
      </c>
      <c r="E38" s="63">
        <f>SUM('Raw Data'!F7:F9)/'Raw Data'!F40</f>
        <v>2.1149632035436587</v>
      </c>
    </row>
    <row r="39" spans="1:12" x14ac:dyDescent="0.35">
      <c r="A39" s="42" t="s">
        <v>147</v>
      </c>
      <c r="B39" s="64">
        <f>'Raw Data'!C105/AVERAGE('Raw Data'!C40,'Raw Data'!B40)</f>
        <v>1.2045288326458981</v>
      </c>
      <c r="C39" s="64">
        <f>'Raw Data'!D105/AVERAGE('Raw Data'!D40,'Raw Data'!C40)</f>
        <v>1.9277638810796123</v>
      </c>
      <c r="D39" s="64">
        <f>'Raw Data'!E105/AVERAGE('Raw Data'!E40,'Raw Data'!D40)</f>
        <v>0.42180553808483134</v>
      </c>
      <c r="E39" s="64">
        <f>'Raw Data'!F105/AVERAGE('Raw Data'!F40,'Raw Data'!E40)</f>
        <v>0.37278820226016252</v>
      </c>
    </row>
    <row r="40" spans="1:12" x14ac:dyDescent="0.35">
      <c r="A40" s="42"/>
      <c r="B40" s="53"/>
      <c r="C40" s="53"/>
      <c r="D40" s="53"/>
      <c r="E40" s="54"/>
    </row>
    <row r="41" spans="1:12" x14ac:dyDescent="0.35">
      <c r="A41" s="41" t="s">
        <v>148</v>
      </c>
      <c r="B41" s="48"/>
      <c r="C41" s="48"/>
      <c r="D41" s="48"/>
      <c r="E41" s="55"/>
    </row>
    <row r="42" spans="1:12" x14ac:dyDescent="0.35">
      <c r="A42" s="41" t="s">
        <v>169</v>
      </c>
      <c r="B42" s="66">
        <f>K33-J33+1</f>
        <v>365</v>
      </c>
      <c r="C42" s="66">
        <f>K34-J34+1</f>
        <v>365</v>
      </c>
      <c r="D42" s="66">
        <f>K35-J35+1</f>
        <v>365</v>
      </c>
      <c r="E42" s="66">
        <f>K36-J36+1</f>
        <v>274</v>
      </c>
    </row>
    <row r="43" spans="1:12" x14ac:dyDescent="0.35">
      <c r="A43" s="42" t="s">
        <v>149</v>
      </c>
      <c r="B43" s="65">
        <f>'Raw Data'!C67/AVERAGE('Raw Data'!B9:C9)</f>
        <v>30.822676495357822</v>
      </c>
      <c r="C43" s="65">
        <f>'Raw Data'!D67/AVERAGE('Raw Data'!C9:D9)</f>
        <v>39.328770041886116</v>
      </c>
      <c r="D43" s="65">
        <f>'Raw Data'!E67/AVERAGE('Raw Data'!D9:E9)</f>
        <v>24.659065942291139</v>
      </c>
      <c r="E43" s="65">
        <f>'Raw Data'!F67/AVERAGE('Raw Data'!E9:F9)</f>
        <v>14.202001806654479</v>
      </c>
    </row>
    <row r="44" spans="1:12" x14ac:dyDescent="0.35">
      <c r="A44" s="42" t="s">
        <v>181</v>
      </c>
      <c r="B44" s="65">
        <f>B42/B43</f>
        <v>11.841930730933518</v>
      </c>
      <c r="C44" s="65">
        <f>C42/C43</f>
        <v>9.2807377299433966</v>
      </c>
      <c r="D44" s="65">
        <f>D42/D43</f>
        <v>14.80185830453588</v>
      </c>
      <c r="E44" s="65">
        <f>E42/E43</f>
        <v>19.293054861576962</v>
      </c>
    </row>
    <row r="45" spans="1:12" x14ac:dyDescent="0.35">
      <c r="A45" s="42" t="s">
        <v>150</v>
      </c>
      <c r="B45" s="65">
        <f>'Raw Data'!C68/AVERAGE('Raw Data'!B10:C10)</f>
        <v>3.7704060262231462</v>
      </c>
      <c r="C45" s="65">
        <f>'Raw Data'!D68/AVERAGE('Raw Data'!C10:D10)</f>
        <v>3.2462704404296865</v>
      </c>
      <c r="D45" s="65">
        <f>'Raw Data'!E68/AVERAGE('Raw Data'!D10:E10)</f>
        <v>4.1220450630132239</v>
      </c>
      <c r="E45" s="65">
        <f>'Raw Data'!F68/AVERAGE('Raw Data'!E10:F10)</f>
        <v>4.7631557551151973</v>
      </c>
    </row>
    <row r="46" spans="1:12" x14ac:dyDescent="0.35">
      <c r="A46" s="42" t="s">
        <v>151</v>
      </c>
      <c r="B46" s="66">
        <f>B42/B45</f>
        <v>96.806550133176017</v>
      </c>
      <c r="C46" s="66">
        <f>C42/C45</f>
        <v>112.43671982907483</v>
      </c>
      <c r="D46" s="66">
        <f>D42/D45</f>
        <v>88.548279899973778</v>
      </c>
      <c r="E46" s="66">
        <f>E42/E45</f>
        <v>57.524887718766884</v>
      </c>
    </row>
    <row r="47" spans="1:12" x14ac:dyDescent="0.35">
      <c r="A47" s="42" t="s">
        <v>152</v>
      </c>
      <c r="B47" s="65">
        <f>('Raw Data'!C68+'Raw Data'!C10-'Raw Data'!B10)/AVERAGE('Raw Data'!B30:C30)</f>
        <v>15.205564497163891</v>
      </c>
      <c r="C47" s="65">
        <f>('Raw Data'!D68+'Raw Data'!D10-'Raw Data'!C10)/AVERAGE('Raw Data'!C30:D30)</f>
        <v>14.490307375463397</v>
      </c>
      <c r="D47" s="65">
        <f>('Raw Data'!E68+'Raw Data'!E10-'Raw Data'!D10)/AVERAGE('Raw Data'!D30:E30)</f>
        <v>12.161375509490952</v>
      </c>
      <c r="E47" s="65">
        <f>('Raw Data'!F68+'Raw Data'!F10-'Raw Data'!E10)/AVERAGE('Raw Data'!E30:F30)</f>
        <v>10.320541946754311</v>
      </c>
    </row>
    <row r="48" spans="1:12" x14ac:dyDescent="0.35">
      <c r="A48" s="42" t="s">
        <v>153</v>
      </c>
      <c r="B48" s="65">
        <f>B42/B47</f>
        <v>24.004370246700081</v>
      </c>
      <c r="C48" s="65">
        <f>C42/C47</f>
        <v>25.189251721330542</v>
      </c>
      <c r="D48" s="65">
        <f>D42/D47</f>
        <v>30.013052365264731</v>
      </c>
      <c r="E48" s="65">
        <f>E42/E47</f>
        <v>26.548993397209124</v>
      </c>
    </row>
    <row r="49" spans="1:5" x14ac:dyDescent="0.35">
      <c r="A49" s="42" t="s">
        <v>172</v>
      </c>
      <c r="B49" s="63">
        <f>B44+B46-B48</f>
        <v>84.644110617409453</v>
      </c>
      <c r="C49" s="63">
        <f>C44+C46-C48</f>
        <v>96.528205837687693</v>
      </c>
      <c r="D49" s="63">
        <f>D44+D46-D48</f>
        <v>73.337085839244935</v>
      </c>
      <c r="E49" s="63">
        <f>E44+E46-E48</f>
        <v>50.268949183134715</v>
      </c>
    </row>
    <row r="50" spans="1:5" x14ac:dyDescent="0.35">
      <c r="A50" s="42" t="s">
        <v>154</v>
      </c>
      <c r="B50" s="65">
        <f>'Raw Data'!C67/AVERAGE(SUM('Raw Data'!B18:B19),SUM('Raw Data'!C18:C19))</f>
        <v>4.0447363976445097</v>
      </c>
      <c r="C50" s="65">
        <f>'Raw Data'!D67/AVERAGE(SUM('Raw Data'!C18:C19),SUM('Raw Data'!D18:D19))</f>
        <v>7.0055997916549684</v>
      </c>
      <c r="D50" s="65">
        <f>'Raw Data'!E67/AVERAGE(SUM('Raw Data'!D18:D19),SUM('Raw Data'!E18:E19))</f>
        <v>5.9144241341278203</v>
      </c>
      <c r="E50" s="65">
        <f>'Raw Data'!F67/AVERAGE(SUM('Raw Data'!E18:E19),SUM('Raw Data'!F18:F19))</f>
        <v>5.0626223792539724</v>
      </c>
    </row>
    <row r="51" spans="1:5" x14ac:dyDescent="0.35">
      <c r="A51" s="42" t="s">
        <v>155</v>
      </c>
      <c r="B51" s="65">
        <f>'Raw Data'!C67/AVERAGE('Raw Data'!B7:C7)</f>
        <v>5.6161914064845382</v>
      </c>
      <c r="C51" s="65">
        <f>'Raw Data'!D67/AVERAGE('Raw Data'!C7:D7)</f>
        <v>8.0847899055516468</v>
      </c>
      <c r="D51" s="65">
        <f>'Raw Data'!E67/AVERAGE('Raw Data'!D7:E7)</f>
        <v>8.1609284161009654</v>
      </c>
      <c r="E51" s="65">
        <f>'Raw Data'!F67/AVERAGE('Raw Data'!E7:F7)</f>
        <v>8.5036397949903666</v>
      </c>
    </row>
    <row r="52" spans="1:5" x14ac:dyDescent="0.35">
      <c r="A52" s="42" t="s">
        <v>156</v>
      </c>
      <c r="B52" s="65">
        <f>B42/B51</f>
        <v>64.990662458292562</v>
      </c>
      <c r="C52" s="65">
        <f>C42/C51</f>
        <v>45.146504023482734</v>
      </c>
      <c r="D52" s="65">
        <f>D42/D51</f>
        <v>44.725303469134644</v>
      </c>
      <c r="E52" s="65">
        <f>E42/E51</f>
        <v>32.221496512754207</v>
      </c>
    </row>
    <row r="53" spans="1:5" x14ac:dyDescent="0.35">
      <c r="A53" s="42"/>
      <c r="B53" s="53"/>
      <c r="C53" s="53"/>
      <c r="D53" s="53"/>
      <c r="E53" s="54"/>
    </row>
    <row r="54" spans="1:5" x14ac:dyDescent="0.35">
      <c r="A54" s="41" t="s">
        <v>157</v>
      </c>
      <c r="B54" s="48"/>
      <c r="C54" s="48"/>
      <c r="D54" s="48"/>
      <c r="E54" s="55"/>
    </row>
    <row r="55" spans="1:5" x14ac:dyDescent="0.35">
      <c r="A55" s="42" t="s">
        <v>158</v>
      </c>
      <c r="B55" s="64">
        <f>'Raw Data'!C49/'Raw Data'!C27</f>
        <v>0.38339717357023262</v>
      </c>
      <c r="C55" s="64">
        <f>'Raw Data'!D49/'Raw Data'!D27</f>
        <v>0.35603760245217553</v>
      </c>
      <c r="D55" s="64">
        <f>'Raw Data'!E49/'Raw Data'!E27</f>
        <v>0.24346787095458575</v>
      </c>
      <c r="E55" s="64">
        <f>'Raw Data'!F49/'Raw Data'!F27</f>
        <v>0.34108381231565899</v>
      </c>
    </row>
    <row r="56" spans="1:5" x14ac:dyDescent="0.35">
      <c r="A56" s="42" t="s">
        <v>159</v>
      </c>
      <c r="B56" s="64">
        <f>'Raw Data'!C49/'Raw Data'!C60</f>
        <v>0.4980878897351797</v>
      </c>
      <c r="C56" s="64">
        <f>'Raw Data'!D49/'Raw Data'!D60</f>
        <v>0.44954266648114849</v>
      </c>
      <c r="D56" s="64">
        <f>'Raw Data'!E49/'Raw Data'!E60</f>
        <v>0.28066878632259984</v>
      </c>
      <c r="E56" s="64">
        <f>'Raw Data'!F49/'Raw Data'!F60</f>
        <v>0.5176436986420494</v>
      </c>
    </row>
    <row r="57" spans="1:5" x14ac:dyDescent="0.35">
      <c r="A57" s="42" t="s">
        <v>160</v>
      </c>
      <c r="B57" s="64">
        <f>'Raw Data'!C43/('Raw Data'!C43+'Raw Data'!C60)</f>
        <v>6.1371224477803424E-2</v>
      </c>
      <c r="C57" s="64">
        <f>'Raw Data'!D43/('Raw Data'!D43+'Raw Data'!D60)</f>
        <v>3.4780998398891726E-2</v>
      </c>
      <c r="D57" s="64">
        <f>'Raw Data'!E43/('Raw Data'!E43+'Raw Data'!E60)</f>
        <v>0</v>
      </c>
      <c r="E57" s="64">
        <f>'Raw Data'!F43/('Raw Data'!F43+'Raw Data'!F60)</f>
        <v>0</v>
      </c>
    </row>
    <row r="58" spans="1:5" x14ac:dyDescent="0.35">
      <c r="A58" s="42" t="s">
        <v>161</v>
      </c>
      <c r="B58" s="64">
        <f>'Raw Data'!C43/('Raw Data'!C60)</f>
        <v>6.5383915428823464E-2</v>
      </c>
      <c r="C58" s="64">
        <f>'Raw Data'!D43/('Raw Data'!D60)</f>
        <v>3.6034307593610253E-2</v>
      </c>
      <c r="D58" s="64">
        <f>'Raw Data'!E43/('Raw Data'!E60)</f>
        <v>0</v>
      </c>
      <c r="E58" s="64">
        <f>'Raw Data'!F43/('Raw Data'!F60)</f>
        <v>0</v>
      </c>
    </row>
    <row r="59" spans="1:5" x14ac:dyDescent="0.35">
      <c r="A59" s="42" t="s">
        <v>162</v>
      </c>
      <c r="B59" s="64">
        <f>'Raw Data'!C105/AVERAGE('Raw Data'!B49:C49)</f>
        <v>0.50589250098551908</v>
      </c>
      <c r="C59" s="64">
        <f>'Raw Data'!D105/AVERAGE('Raw Data'!C49:D49)</f>
        <v>0.85263157807794832</v>
      </c>
      <c r="D59" s="64">
        <f>'Raw Data'!E105/AVERAGE('Raw Data'!D49:E49)</f>
        <v>0.19804339506134924</v>
      </c>
      <c r="E59" s="64">
        <f>'Raw Data'!F105/AVERAGE('Raw Data'!E49:F49)</f>
        <v>0.28429688949781873</v>
      </c>
    </row>
    <row r="60" spans="1:5" ht="15" thickBot="1" x14ac:dyDescent="0.4">
      <c r="A60" s="43" t="s">
        <v>163</v>
      </c>
      <c r="B60" s="67">
        <f>('Raw Data'!C79+'Raw Data'!C75)/('Raw Data'!C75)</f>
        <v>55.852962226950552</v>
      </c>
      <c r="C60" s="67">
        <f>('Raw Data'!D79+'Raw Data'!D75)/('Raw Data'!D75)</f>
        <v>102.95733036116549</v>
      </c>
      <c r="D60" s="67">
        <f>('Raw Data'!E79+'Raw Data'!E75)/('Raw Data'!E75)</f>
        <v>14.645136586338774</v>
      </c>
      <c r="E60" s="67">
        <f>('Raw Data'!F79+'Raw Data'!F75)/('Raw Data'!F75)</f>
        <v>31.149754696680027</v>
      </c>
    </row>
    <row r="61" spans="1:5" ht="15" thickBot="1" x14ac:dyDescent="0.4">
      <c r="A61" s="44"/>
      <c r="B61" s="48"/>
      <c r="C61" s="48"/>
      <c r="D61" s="48"/>
      <c r="E61" s="48"/>
    </row>
    <row r="62" spans="1:5" ht="15" thickBot="1" x14ac:dyDescent="0.4">
      <c r="A62" s="40" t="s">
        <v>164</v>
      </c>
      <c r="B62" s="68"/>
      <c r="C62" s="68"/>
      <c r="D62" s="68"/>
      <c r="E62" s="76"/>
    </row>
    <row r="63" spans="1:5" x14ac:dyDescent="0.35">
      <c r="A63" s="41" t="s">
        <v>127</v>
      </c>
      <c r="B63" s="49" t="s">
        <v>5</v>
      </c>
      <c r="C63" s="49" t="s">
        <v>6</v>
      </c>
      <c r="D63" s="49" t="s">
        <v>7</v>
      </c>
      <c r="E63" s="49" t="s">
        <v>126</v>
      </c>
    </row>
    <row r="64" spans="1:5" x14ac:dyDescent="0.35">
      <c r="A64" s="16" t="s">
        <v>62</v>
      </c>
      <c r="B64" s="64">
        <f>'Raw Data'!C65/'Raw Data'!C$65</f>
        <v>1</v>
      </c>
      <c r="C64" s="64">
        <f>'Raw Data'!D65/'Raw Data'!D$65</f>
        <v>1</v>
      </c>
      <c r="D64" s="64">
        <f>'Raw Data'!E65/'Raw Data'!E$65</f>
        <v>1</v>
      </c>
      <c r="E64" s="64">
        <f>'Raw Data'!F65/'Raw Data'!F$65</f>
        <v>1</v>
      </c>
    </row>
    <row r="65" spans="1:5" x14ac:dyDescent="0.35">
      <c r="A65" s="16" t="s">
        <v>63</v>
      </c>
      <c r="B65" s="64">
        <f>'Raw Data'!C66/'Raw Data'!C$65</f>
        <v>7.4167065976859471E-3</v>
      </c>
      <c r="C65" s="64">
        <f>'Raw Data'!D66/'Raw Data'!D$65</f>
        <v>6.2702495103662045E-3</v>
      </c>
      <c r="D65" s="64">
        <f>'Raw Data'!E66/'Raw Data'!E$65</f>
        <v>1.095698679402035E-2</v>
      </c>
      <c r="E65" s="64">
        <f>'Raw Data'!F66/'Raw Data'!F$65</f>
        <v>1.5100732834827995E-2</v>
      </c>
    </row>
    <row r="66" spans="1:5" x14ac:dyDescent="0.35">
      <c r="A66" s="17" t="s">
        <v>64</v>
      </c>
      <c r="B66" s="64">
        <f>'Raw Data'!C67/'Raw Data'!C$65</f>
        <v>0.99258329340231422</v>
      </c>
      <c r="C66" s="64">
        <f>'Raw Data'!D67/'Raw Data'!D$65</f>
        <v>0.99372975048963375</v>
      </c>
      <c r="D66" s="64">
        <f>'Raw Data'!E67/'Raw Data'!E$65</f>
        <v>0.98904301320597965</v>
      </c>
      <c r="E66" s="64">
        <f>'Raw Data'!F67/'Raw Data'!F$65</f>
        <v>0.98489926716517195</v>
      </c>
    </row>
    <row r="67" spans="1:5" x14ac:dyDescent="0.35">
      <c r="A67" s="11" t="s">
        <v>170</v>
      </c>
      <c r="B67" s="64">
        <f>'Raw Data'!C68/'Raw Data'!C$65</f>
        <v>0.62108373412583906</v>
      </c>
      <c r="C67" s="64">
        <f>'Raw Data'!D68/'Raw Data'!D$65</f>
        <v>0.57557346072131466</v>
      </c>
      <c r="D67" s="64">
        <f>'Raw Data'!E68/'Raw Data'!E$65</f>
        <v>0.86864899849291344</v>
      </c>
      <c r="E67" s="64">
        <f>'Raw Data'!F68/'Raw Data'!F$65</f>
        <v>0.84141018691759428</v>
      </c>
    </row>
    <row r="68" spans="1:5" x14ac:dyDescent="0.35">
      <c r="A68" s="17" t="s">
        <v>171</v>
      </c>
      <c r="B68" s="64">
        <f>'Raw Data'!C69/'Raw Data'!C$65</f>
        <v>0.3714995592764751</v>
      </c>
      <c r="C68" s="64">
        <f>'Raw Data'!D69/'Raw Data'!D$65</f>
        <v>0.41815628976831909</v>
      </c>
      <c r="D68" s="64">
        <f>'Raw Data'!E69/'Raw Data'!E$65</f>
        <v>0.12039401471306618</v>
      </c>
      <c r="E68" s="64">
        <f>'Raw Data'!F69/'Raw Data'!F$65</f>
        <v>0.14348908024757767</v>
      </c>
    </row>
    <row r="69" spans="1:5" x14ac:dyDescent="0.35">
      <c r="A69" s="11" t="s">
        <v>65</v>
      </c>
      <c r="B69" s="64">
        <f>'Raw Data'!C70/'Raw Data'!C$65</f>
        <v>6.3482628188828744E-2</v>
      </c>
      <c r="C69" s="64">
        <f>'Raw Data'!D70/'Raw Data'!D$65</f>
        <v>5.2159096677796161E-2</v>
      </c>
      <c r="D69" s="64">
        <f>'Raw Data'!E70/'Raw Data'!E$65</f>
        <v>6.1842175076338601E-2</v>
      </c>
      <c r="E69" s="64">
        <f>'Raw Data'!F70/'Raw Data'!F$65</f>
        <v>6.2010844571800311E-2</v>
      </c>
    </row>
    <row r="70" spans="1:5" x14ac:dyDescent="0.35">
      <c r="A70" s="11" t="s">
        <v>66</v>
      </c>
      <c r="B70" s="64">
        <f>'Raw Data'!C71/'Raw Data'!C$65</f>
        <v>3.299053917183916E-2</v>
      </c>
      <c r="C70" s="64">
        <f>'Raw Data'!D71/'Raw Data'!D$65</f>
        <v>2.9676565531710657E-2</v>
      </c>
      <c r="D70" s="64">
        <f>'Raw Data'!E71/'Raw Data'!E$65</f>
        <v>3.6616075911883095E-2</v>
      </c>
      <c r="E70" s="64">
        <f>'Raw Data'!F71/'Raw Data'!F$65</f>
        <v>3.724827354145626E-2</v>
      </c>
    </row>
    <row r="71" spans="1:5" x14ac:dyDescent="0.35">
      <c r="A71" s="17" t="s">
        <v>67</v>
      </c>
      <c r="B71" s="64">
        <f>'Raw Data'!C72/'Raw Data'!C$65</f>
        <v>0.28305089407642187</v>
      </c>
      <c r="C71" s="64">
        <f>'Raw Data'!D72/'Raw Data'!D$65</f>
        <v>0.35138985463657141</v>
      </c>
      <c r="D71" s="64">
        <f>'Raw Data'!E72/'Raw Data'!E$65</f>
        <v>5.0295613290638121E-2</v>
      </c>
      <c r="E71" s="64">
        <f>'Raw Data'!F72/'Raw Data'!F$65</f>
        <v>6.390230733212382E-2</v>
      </c>
    </row>
    <row r="72" spans="1:5" x14ac:dyDescent="0.35">
      <c r="A72" s="11" t="s">
        <v>68</v>
      </c>
      <c r="B72" s="64">
        <f>'Raw Data'!C73/'Raw Data'!C$65</f>
        <v>1.3625081058784327E-2</v>
      </c>
      <c r="C72" s="64">
        <f>'Raw Data'!D73/'Raw Data'!D$65</f>
        <v>1.9475546058192614E-2</v>
      </c>
      <c r="D72" s="64">
        <f>'Raw Data'!E73/'Raw Data'!E$65</f>
        <v>3.3352223925379093E-2</v>
      </c>
      <c r="E72" s="64">
        <f>'Raw Data'!F73/'Raw Data'!F$65</f>
        <v>2.283006384686927E-2</v>
      </c>
    </row>
    <row r="73" spans="1:5" x14ac:dyDescent="0.35">
      <c r="A73" s="11" t="s">
        <v>69</v>
      </c>
      <c r="B73" s="64">
        <f>'Raw Data'!C74/'Raw Data'!C$65</f>
        <v>5.7949011432996836E-3</v>
      </c>
      <c r="C73" s="64">
        <f>'Raw Data'!D74/'Raw Data'!D$65</f>
        <v>4.5483375560865557E-3</v>
      </c>
      <c r="D73" s="64">
        <f>'Raw Data'!E74/'Raw Data'!E$65</f>
        <v>5.1866167194115406E-3</v>
      </c>
      <c r="E73" s="64">
        <f>'Raw Data'!F74/'Raw Data'!F$65</f>
        <v>3.2633348362668116E-3</v>
      </c>
    </row>
    <row r="74" spans="1:5" x14ac:dyDescent="0.35">
      <c r="A74" s="11" t="s">
        <v>70</v>
      </c>
      <c r="B74" s="64">
        <f>'Raw Data'!C75/'Raw Data'!C$65</f>
        <v>5.3771300326364603E-3</v>
      </c>
      <c r="C74" s="64">
        <f>'Raw Data'!D75/'Raw Data'!D$65</f>
        <v>3.4563190087942555E-3</v>
      </c>
      <c r="D74" s="64">
        <f>'Raw Data'!E75/'Raw Data'!E$65</f>
        <v>3.6909700100871169E-3</v>
      </c>
      <c r="E74" s="64">
        <f>'Raw Data'!F75/'Raw Data'!F$65</f>
        <v>2.128217947262645E-3</v>
      </c>
    </row>
    <row r="75" spans="1:5" x14ac:dyDescent="0.35">
      <c r="A75" s="11" t="s">
        <v>71</v>
      </c>
      <c r="B75" s="64">
        <f>'Raw Data'!C76/'Raw Data'!C$65</f>
        <v>1.9432224513002208E-4</v>
      </c>
      <c r="C75" s="64">
        <f>'Raw Data'!D76/'Raw Data'!D$65</f>
        <v>1.4201857565303484E-4</v>
      </c>
      <c r="D75" s="64">
        <f>'Raw Data'!E76/'Raw Data'!E$65</f>
        <v>1.9424235982608537E-4</v>
      </c>
      <c r="E75" s="64">
        <f>'Raw Data'!F76/'Raw Data'!F$65</f>
        <v>1.0561618720027012E-4</v>
      </c>
    </row>
    <row r="76" spans="1:5" x14ac:dyDescent="0.35">
      <c r="A76" s="11" t="s">
        <v>72</v>
      </c>
      <c r="B76" s="64">
        <f>'Raw Data'!C77/'Raw Data'!C$65</f>
        <v>1.205240037490192E-2</v>
      </c>
      <c r="C76" s="64">
        <f>'Raw Data'!D77/'Raw Data'!D$65</f>
        <v>1.1266602812077639E-3</v>
      </c>
      <c r="D76" s="64">
        <f>'Raw Data'!E77/'Raw Data'!E$65</f>
        <v>8.0366281244471363E-4</v>
      </c>
      <c r="E76" s="64">
        <f>'Raw Data'!F77/'Raw Data'!F$65</f>
        <v>5.9387360787304842E-4</v>
      </c>
    </row>
    <row r="77" spans="1:5" x14ac:dyDescent="0.35">
      <c r="A77" s="11" t="s">
        <v>73</v>
      </c>
      <c r="B77" s="64">
        <f>'Raw Data'!C78/'Raw Data'!C$65</f>
        <v>1.51783881714622E-4</v>
      </c>
      <c r="C77" s="64">
        <f>'Raw Data'!D78/'Raw Data'!D$65</f>
        <v>1.1945590456717601E-4</v>
      </c>
      <c r="D77" s="64">
        <f>'Raw Data'!E78/'Raw Data'!E$65</f>
        <v>7.3548617936392328E-4</v>
      </c>
      <c r="E77" s="64">
        <f>'Raw Data'!F78/'Raw Data'!F$65</f>
        <v>3.3093188895620115E-4</v>
      </c>
    </row>
    <row r="78" spans="1:5" x14ac:dyDescent="0.35">
      <c r="A78" s="12" t="s">
        <v>74</v>
      </c>
      <c r="B78" s="64">
        <f>'Raw Data'!C79/'Raw Data'!C$65</f>
        <v>0.29495151056960917</v>
      </c>
      <c r="C78" s="64">
        <f>'Raw Data'!D79/'Raw Data'!D$65</f>
        <v>0.35239705901321194</v>
      </c>
      <c r="D78" s="64">
        <f>'Raw Data'!E79/'Raw Data'!E$65</f>
        <v>5.0363789923718913E-2</v>
      </c>
      <c r="E78" s="64">
        <f>'Raw Data'!F79/'Raw Data'!F$65</f>
        <v>6.4165249051040665E-2</v>
      </c>
    </row>
    <row r="79" spans="1:5" x14ac:dyDescent="0.35">
      <c r="A79" s="11" t="s">
        <v>75</v>
      </c>
      <c r="B79" s="64">
        <f>'Raw Data'!C80/'Raw Data'!C$65</f>
        <v>4.6997920956043292E-2</v>
      </c>
      <c r="C79" s="64">
        <f>'Raw Data'!D80/'Raw Data'!D$65</f>
        <v>6.0251670830180903E-2</v>
      </c>
      <c r="D79" s="64">
        <f>'Raw Data'!E80/'Raw Data'!E$65</f>
        <v>2.4223744124809311E-3</v>
      </c>
      <c r="E79" s="64">
        <f>'Raw Data'!F80/'Raw Data'!F$65</f>
        <v>9.7616847720458384E-3</v>
      </c>
    </row>
    <row r="80" spans="1:5" x14ac:dyDescent="0.35">
      <c r="A80" s="11" t="s">
        <v>76</v>
      </c>
      <c r="B80" s="64">
        <f>'Raw Data'!C81/'Raw Data'!C$65</f>
        <v>1.7499815754551805E-3</v>
      </c>
      <c r="C80" s="64">
        <f>'Raw Data'!D81/'Raw Data'!D$65</f>
        <v>-5.7994837822310553E-3</v>
      </c>
      <c r="D80" s="64">
        <f>'Raw Data'!E81/'Raw Data'!E$65</f>
        <v>9.3236434760981673E-3</v>
      </c>
      <c r="E80" s="64">
        <f>'Raw Data'!F81/'Raw Data'!F$65</f>
        <v>8.4600776976659833E-5</v>
      </c>
    </row>
    <row r="81" spans="1:5" x14ac:dyDescent="0.35">
      <c r="A81" s="12" t="s">
        <v>77</v>
      </c>
      <c r="B81" s="64">
        <f>'Raw Data'!C82/'Raw Data'!C$65</f>
        <v>0.2462036080381107</v>
      </c>
      <c r="C81" s="64">
        <f>'Raw Data'!D82/'Raw Data'!D$65</f>
        <v>0.29794487196526215</v>
      </c>
      <c r="D81" s="64">
        <f>'Raw Data'!E82/'Raw Data'!E$65</f>
        <v>3.8617772035139816E-2</v>
      </c>
      <c r="E81" s="64">
        <f>'Raw Data'!F82/'Raw Data'!F$65</f>
        <v>5.4318963502018161E-2</v>
      </c>
    </row>
    <row r="82" spans="1:5" x14ac:dyDescent="0.35">
      <c r="A82" s="11" t="s">
        <v>78</v>
      </c>
      <c r="B82" s="64">
        <f>'Raw Data'!C83/'Raw Data'!C$65</f>
        <v>4.2216933590268875E-3</v>
      </c>
      <c r="C82" s="64">
        <f>'Raw Data'!D83/'Raw Data'!D$65</f>
        <v>1.0677094728341863E-3</v>
      </c>
      <c r="D82" s="64">
        <f>'Raw Data'!E83/'Raw Data'!E$65</f>
        <v>7.544263601583247E-4</v>
      </c>
      <c r="E82" s="64">
        <f>'Raw Data'!F83/'Raw Data'!F$65</f>
        <v>1.1511385562195085E-3</v>
      </c>
    </row>
    <row r="83" spans="1:5" x14ac:dyDescent="0.35">
      <c r="A83" s="17" t="s">
        <v>79</v>
      </c>
      <c r="B83" s="64">
        <f>'Raw Data'!C84/'Raw Data'!C$65</f>
        <v>0.24198191467908384</v>
      </c>
      <c r="C83" s="64">
        <f>'Raw Data'!D84/'Raw Data'!D$65</f>
        <v>0.29687716249242796</v>
      </c>
      <c r="D83" s="64">
        <f>'Raw Data'!E84/'Raw Data'!E$65</f>
        <v>3.7863345674981494E-2</v>
      </c>
      <c r="E83" s="64">
        <f>'Raw Data'!F84/'Raw Data'!F$65</f>
        <v>5.316782494579865E-2</v>
      </c>
    </row>
    <row r="84" spans="1:5" x14ac:dyDescent="0.35">
      <c r="A84" s="11" t="s">
        <v>125</v>
      </c>
      <c r="B84" s="64">
        <f>'Raw Data'!C85/'Raw Data'!C$65</f>
        <v>5.3665954031980434E-2</v>
      </c>
      <c r="C84" s="64">
        <f>'Raw Data'!D85/'Raw Data'!D$65</f>
        <v>0.16629402106173868</v>
      </c>
      <c r="D84" s="64">
        <f>'Raw Data'!E85/'Raw Data'!E$65</f>
        <v>0.40561779363430778</v>
      </c>
      <c r="E84" s="64">
        <f>'Raw Data'!F85/'Raw Data'!F$65</f>
        <v>4.9517719652290168E-2</v>
      </c>
    </row>
    <row r="85" spans="1:5" x14ac:dyDescent="0.35">
      <c r="A85" s="16"/>
      <c r="B85" s="64">
        <f>'Raw Data'!C86/'Raw Data'!C$65</f>
        <v>6.1824709933337718E-4</v>
      </c>
      <c r="C85" s="64">
        <f>'Raw Data'!D86/'Raw Data'!D$65</f>
        <v>7.5850067065004587E-4</v>
      </c>
      <c r="D85" s="64">
        <f>'Raw Data'!E86/'Raw Data'!E$65</f>
        <v>9.6738236267198495E-5</v>
      </c>
      <c r="E85" s="64">
        <f>'Raw Data'!F86/'Raw Data'!F$65</f>
        <v>1.3584012505313912E-4</v>
      </c>
    </row>
    <row r="86" spans="1:5" ht="15" thickBot="1" x14ac:dyDescent="0.4">
      <c r="A86" s="14" t="s">
        <v>80</v>
      </c>
      <c r="B86" s="64">
        <f>'Raw Data'!C88/'Raw Data'!C$65</f>
        <v>0.28957438053697271</v>
      </c>
      <c r="C86" s="64">
        <f>'Raw Data'!D88/'Raw Data'!D$65</f>
        <v>0.34894074000441772</v>
      </c>
      <c r="D86" s="64">
        <f>'Raw Data'!E88/'Raw Data'!E$65</f>
        <v>4.6672819913631793E-2</v>
      </c>
      <c r="E86" s="64">
        <f>'Raw Data'!F88/'Raw Data'!F$65</f>
        <v>6.203703110377802E-2</v>
      </c>
    </row>
    <row r="87" spans="1:5" x14ac:dyDescent="0.35">
      <c r="A87" s="48"/>
      <c r="B87" s="53"/>
      <c r="C87" s="53"/>
      <c r="D87" s="53"/>
      <c r="E87" s="53"/>
    </row>
    <row r="88" spans="1:5" x14ac:dyDescent="0.35">
      <c r="A88" s="48"/>
      <c r="B88" s="53"/>
      <c r="C88" s="53"/>
      <c r="D88" s="53"/>
      <c r="E88" s="53"/>
    </row>
    <row r="89" spans="1:5" x14ac:dyDescent="0.35">
      <c r="A89" s="48"/>
      <c r="B89" s="53"/>
      <c r="C89" s="53"/>
      <c r="D89" s="53"/>
      <c r="E89" s="53"/>
    </row>
    <row r="90" spans="1:5" x14ac:dyDescent="0.35">
      <c r="A90" s="48"/>
      <c r="B90" s="53"/>
      <c r="C90" s="53"/>
      <c r="D90" s="53"/>
      <c r="E90" s="53"/>
    </row>
    <row r="91" spans="1:5" x14ac:dyDescent="0.35">
      <c r="A91" s="48"/>
      <c r="B91" s="53"/>
      <c r="C91" s="53"/>
      <c r="D91" s="53"/>
      <c r="E91" s="53"/>
    </row>
    <row r="92" spans="1:5" ht="15" thickBot="1" x14ac:dyDescent="0.4">
      <c r="A92" s="44"/>
      <c r="B92" s="69"/>
      <c r="C92" s="69"/>
      <c r="D92" s="69"/>
      <c r="E92" s="69"/>
    </row>
    <row r="93" spans="1:5" x14ac:dyDescent="0.35">
      <c r="A93" s="40" t="s">
        <v>165</v>
      </c>
      <c r="B93" s="49" t="s">
        <v>5</v>
      </c>
      <c r="C93" s="49" t="s">
        <v>6</v>
      </c>
      <c r="D93" s="49" t="s">
        <v>7</v>
      </c>
      <c r="E93" s="49" t="s">
        <v>126</v>
      </c>
    </row>
    <row r="94" spans="1:5" x14ac:dyDescent="0.35">
      <c r="A94" s="16" t="s">
        <v>62</v>
      </c>
      <c r="B94" s="51">
        <f>('Raw Data'!C65-'Raw Data'!B65)/'Raw Data'!B65</f>
        <v>0.63731289224684684</v>
      </c>
      <c r="C94" s="51">
        <f>('Raw Data'!D65-'Raw Data'!C65)/'Raw Data'!C65</f>
        <v>0.45514500842603933</v>
      </c>
      <c r="D94" s="51">
        <f>('Raw Data'!E65-'Raw Data'!D65)/'Raw Data'!D65</f>
        <v>-0.26808644182125485</v>
      </c>
      <c r="E94" s="51">
        <f>('Raw Data'!F65-'Raw Data'!E65)/'Raw Data'!E65</f>
        <v>-0.23535764690185165</v>
      </c>
    </row>
    <row r="95" spans="1:5" x14ac:dyDescent="0.35">
      <c r="A95" s="16" t="s">
        <v>63</v>
      </c>
      <c r="B95" s="51">
        <f>('Raw Data'!C66-'Raw Data'!B66)/'Raw Data'!B66</f>
        <v>-9.6600498180267072E-2</v>
      </c>
      <c r="C95" s="51">
        <f>('Raw Data'!D66-'Raw Data'!C66)/'Raw Data'!C66</f>
        <v>0.23021211051303761</v>
      </c>
      <c r="D95" s="51">
        <f>('Raw Data'!E66-'Raw Data'!D66)/'Raw Data'!D66</f>
        <v>0.27898693314687328</v>
      </c>
      <c r="E95" s="51">
        <f>('Raw Data'!F66-'Raw Data'!E66)/'Raw Data'!E66</f>
        <v>5.3817085426333497E-2</v>
      </c>
    </row>
    <row r="96" spans="1:5" x14ac:dyDescent="0.35">
      <c r="A96" s="17" t="s">
        <v>64</v>
      </c>
      <c r="B96" s="51">
        <f>('Raw Data'!C67-'Raw Data'!B67)/'Raw Data'!B67</f>
        <v>0.64731254938569605</v>
      </c>
      <c r="C96" s="51">
        <f>('Raw Data'!D67-'Raw Data'!C67)/'Raw Data'!C67</f>
        <v>0.45682573519131592</v>
      </c>
      <c r="D96" s="51">
        <f>('Raw Data'!E67-'Raw Data'!D67)/'Raw Data'!D67</f>
        <v>-0.27153837285163612</v>
      </c>
      <c r="E96" s="51">
        <f>('Raw Data'!F67-'Raw Data'!E67)/'Raw Data'!E67</f>
        <v>-0.23856123226768286</v>
      </c>
    </row>
    <row r="97" spans="1:5" x14ac:dyDescent="0.35">
      <c r="A97" s="11" t="s">
        <v>170</v>
      </c>
      <c r="B97" s="51">
        <f>('Raw Data'!C68-'Raw Data'!B68)/'Raw Data'!B68</f>
        <v>0.32635652435669876</v>
      </c>
      <c r="C97" s="51">
        <f>('Raw Data'!D68-'Raw Data'!C68)/'Raw Data'!C68</f>
        <v>0.34851840795660843</v>
      </c>
      <c r="D97" s="51">
        <f>('Raw Data'!E68-'Raw Data'!D68)/'Raw Data'!D68</f>
        <v>0.10459571658948742</v>
      </c>
      <c r="E97" s="51">
        <f>('Raw Data'!F68-'Raw Data'!E68)/'Raw Data'!E68</f>
        <v>-0.25933505206168622</v>
      </c>
    </row>
    <row r="98" spans="1:5" x14ac:dyDescent="0.35">
      <c r="A98" s="17" t="s">
        <v>171</v>
      </c>
      <c r="B98" s="51">
        <f>('Raw Data'!C69-'Raw Data'!B69)/'Raw Data'!B69</f>
        <v>1.7665214232904858</v>
      </c>
      <c r="C98" s="51">
        <f>('Raw Data'!D69-'Raw Data'!C69)/'Raw Data'!C69</f>
        <v>0.63789706502850585</v>
      </c>
      <c r="D98" s="51">
        <f>('Raw Data'!E69-'Raw Data'!D69)/'Raw Data'!D69</f>
        <v>-0.78927015126117905</v>
      </c>
      <c r="E98" s="51">
        <f>('Raw Data'!F69-'Raw Data'!E69)/'Raw Data'!E69</f>
        <v>-8.8677055700101051E-2</v>
      </c>
    </row>
    <row r="99" spans="1:5" x14ac:dyDescent="0.35">
      <c r="A99" s="11" t="s">
        <v>65</v>
      </c>
      <c r="B99" s="51">
        <f>('Raw Data'!C70-'Raw Data'!B70)/'Raw Data'!B70</f>
        <v>0.24922341372345128</v>
      </c>
      <c r="C99" s="51">
        <f>('Raw Data'!D70-'Raw Data'!C70)/'Raw Data'!C70</f>
        <v>0.19558769603780388</v>
      </c>
      <c r="D99" s="51">
        <f>('Raw Data'!E70-'Raw Data'!D70)/'Raw Data'!D70</f>
        <v>-0.13221030867844452</v>
      </c>
      <c r="E99" s="51">
        <f>('Raw Data'!F70-'Raw Data'!E70)/'Raw Data'!E70</f>
        <v>-0.23327214716406733</v>
      </c>
    </row>
    <row r="100" spans="1:5" x14ac:dyDescent="0.35">
      <c r="A100" s="11" t="s">
        <v>66</v>
      </c>
      <c r="B100" s="51">
        <f>('Raw Data'!C71-'Raw Data'!B71)/'Raw Data'!B71</f>
        <v>3.887282749986231E-2</v>
      </c>
      <c r="C100" s="51">
        <f>('Raw Data'!D71-'Raw Data'!C71)/'Raw Data'!C71</f>
        <v>0.30897242920960721</v>
      </c>
      <c r="D100" s="51">
        <f>('Raw Data'!E71-'Raw Data'!D71)/'Raw Data'!D71</f>
        <v>-9.6937198525459983E-2</v>
      </c>
      <c r="E100" s="51">
        <f>('Raw Data'!F71-'Raw Data'!E71)/'Raw Data'!E71</f>
        <v>-0.22215565649022992</v>
      </c>
    </row>
    <row r="101" spans="1:5" x14ac:dyDescent="0.35">
      <c r="A101" s="17" t="s">
        <v>67</v>
      </c>
      <c r="B101" s="51">
        <f>('Raw Data'!C72-'Raw Data'!B72)/'Raw Data'!B72</f>
        <v>3.8400010943900815</v>
      </c>
      <c r="C101" s="51">
        <f>('Raw Data'!D72-'Raw Data'!C72)/'Raw Data'!C72</f>
        <v>0.80647086332080087</v>
      </c>
      <c r="D101" s="51">
        <f>('Raw Data'!E72-'Raw Data'!D72)/'Raw Data'!D72</f>
        <v>-0.89523874750906973</v>
      </c>
      <c r="E101" s="51">
        <f>('Raw Data'!F72-'Raw Data'!E72)/'Raw Data'!E72</f>
        <v>-2.8495579435924269E-2</v>
      </c>
    </row>
    <row r="102" spans="1:5" x14ac:dyDescent="0.35">
      <c r="A102" s="11" t="s">
        <v>68</v>
      </c>
      <c r="B102" s="51">
        <f>('Raw Data'!C73-'Raw Data'!B73)/'Raw Data'!B73</f>
        <v>-2.2946797041880768E-2</v>
      </c>
      <c r="C102" s="51">
        <f>('Raw Data'!D73-'Raw Data'!C73)/'Raw Data'!C73</f>
        <v>1.0799688097766791</v>
      </c>
      <c r="D102" s="51">
        <f>('Raw Data'!E73-'Raw Data'!D73)/'Raw Data'!D73</f>
        <v>0.25341517066884711</v>
      </c>
      <c r="E102" s="51">
        <f>('Raw Data'!F73-'Raw Data'!E73)/'Raw Data'!E73</f>
        <v>-0.47659161259206312</v>
      </c>
    </row>
    <row r="103" spans="1:5" x14ac:dyDescent="0.35">
      <c r="A103" s="11" t="s">
        <v>69</v>
      </c>
      <c r="B103" s="51">
        <f>('Raw Data'!C74-'Raw Data'!B74)/'Raw Data'!B74</f>
        <v>-0.21296418555853386</v>
      </c>
      <c r="C103" s="51">
        <f>('Raw Data'!D74-'Raw Data'!C74)/'Raw Data'!C74</f>
        <v>0.1421231402762804</v>
      </c>
      <c r="D103" s="51">
        <f>('Raw Data'!E74-'Raw Data'!D74)/'Raw Data'!D74</f>
        <v>-0.16537524948343346</v>
      </c>
      <c r="E103" s="51">
        <f>('Raw Data'!F74-'Raw Data'!E74)/'Raw Data'!E74</f>
        <v>-0.51889947471705145</v>
      </c>
    </row>
    <row r="104" spans="1:5" x14ac:dyDescent="0.35">
      <c r="A104" s="11" t="s">
        <v>70</v>
      </c>
      <c r="B104" s="51">
        <f>('Raw Data'!C75-'Raw Data'!B75)/'Raw Data'!B75</f>
        <v>-0.21700440606973803</v>
      </c>
      <c r="C104" s="51">
        <f>('Raw Data'!D75-'Raw Data'!C75)/'Raw Data'!C75</f>
        <v>-6.4659898003431776E-2</v>
      </c>
      <c r="D104" s="51">
        <f>('Raw Data'!E75-'Raw Data'!D75)/'Raw Data'!D75</f>
        <v>-0.21839651191331588</v>
      </c>
      <c r="E104" s="51">
        <f>('Raw Data'!F75-'Raw Data'!E75)/'Raw Data'!E75</f>
        <v>-0.559106258069485</v>
      </c>
    </row>
    <row r="105" spans="1:5" x14ac:dyDescent="0.35">
      <c r="A105" s="11" t="s">
        <v>71</v>
      </c>
      <c r="B105" s="51">
        <f>('Raw Data'!C76-'Raw Data'!B76)/'Raw Data'!B76</f>
        <v>2.7015300718058764E-2</v>
      </c>
      <c r="C105" s="51">
        <f>('Raw Data'!D76-'Raw Data'!C76)/'Raw Data'!C76</f>
        <v>6.3478971885147645E-2</v>
      </c>
      <c r="D105" s="51">
        <f>('Raw Data'!E76-'Raw Data'!D76)/'Raw Data'!D76</f>
        <v>1.0564890939196237E-3</v>
      </c>
      <c r="E105" s="51">
        <f>('Raw Data'!F76-'Raw Data'!E76)/'Raw Data'!E76</f>
        <v>-0.58423790784679408</v>
      </c>
    </row>
    <row r="106" spans="1:5" x14ac:dyDescent="0.35">
      <c r="A106" s="11" t="s">
        <v>72</v>
      </c>
      <c r="B106" s="51">
        <f>('Raw Data'!C77-'Raw Data'!B77)/'Raw Data'!B77</f>
        <v>0.60926321404073003</v>
      </c>
      <c r="C106" s="51">
        <f>('Raw Data'!D77-'Raw Data'!C77)/'Raw Data'!C77</f>
        <v>-0.86397281592093667</v>
      </c>
      <c r="D106" s="51">
        <f>('Raw Data'!E77-'Raw Data'!D77)/'Raw Data'!D77</f>
        <v>-0.47791564285749627</v>
      </c>
      <c r="E106" s="51">
        <f>('Raw Data'!F77-'Raw Data'!E77)/'Raw Data'!E77</f>
        <v>-0.43496089910446895</v>
      </c>
    </row>
    <row r="107" spans="1:5" x14ac:dyDescent="0.35">
      <c r="A107" s="11" t="s">
        <v>73</v>
      </c>
      <c r="B107" s="51">
        <f>('Raw Data'!C78-'Raw Data'!B78)/'Raw Data'!B78</f>
        <v>1.5088598115422911E-2</v>
      </c>
      <c r="C107" s="51">
        <f>('Raw Data'!D78-'Raw Data'!C78)/'Raw Data'!C78</f>
        <v>0.14521819638770045</v>
      </c>
      <c r="D107" s="51">
        <f>('Raw Data'!E78-'Raw Data'!D78)/'Raw Data'!D78</f>
        <v>3.5063683413557851</v>
      </c>
      <c r="E107" s="51">
        <f>('Raw Data'!F78-'Raw Data'!E78)/'Raw Data'!E78</f>
        <v>-0.6559492953279864</v>
      </c>
    </row>
    <row r="108" spans="1:5" x14ac:dyDescent="0.35">
      <c r="A108" s="12" t="s">
        <v>74</v>
      </c>
      <c r="B108" s="51">
        <f>('Raw Data'!C79-'Raw Data'!B79)/'Raw Data'!B79</f>
        <v>3.4810857170775735</v>
      </c>
      <c r="C108" s="51">
        <f>('Raw Data'!D79-'Raw Data'!C79)/'Raw Data'!C79</f>
        <v>0.73855295881277605</v>
      </c>
      <c r="D108" s="51">
        <f>('Raw Data'!E79-'Raw Data'!D79)/'Raw Data'!D79</f>
        <v>-0.89539657115851834</v>
      </c>
      <c r="E108" s="51">
        <f>('Raw Data'!F79-'Raw Data'!E79)/'Raw Data'!E79</f>
        <v>-2.5818607062175442E-2</v>
      </c>
    </row>
    <row r="109" spans="1:5" x14ac:dyDescent="0.35">
      <c r="A109" s="11" t="s">
        <v>75</v>
      </c>
      <c r="B109" s="51">
        <f>('Raw Data'!C80-'Raw Data'!B80)/'Raw Data'!B80</f>
        <v>2.6334998245851553</v>
      </c>
      <c r="C109" s="51">
        <f>('Raw Data'!D80-'Raw Data'!C80)/'Raw Data'!C80</f>
        <v>0.86550630909541837</v>
      </c>
      <c r="D109" s="51">
        <f>('Raw Data'!E80-'Raw Data'!D80)/'Raw Data'!D80</f>
        <v>-0.97057395004900071</v>
      </c>
      <c r="E109" s="51">
        <f>('Raw Data'!F80-'Raw Data'!E80)/'Raw Data'!E80</f>
        <v>2.081355869613426</v>
      </c>
    </row>
    <row r="110" spans="1:5" x14ac:dyDescent="0.35">
      <c r="A110" s="11" t="s">
        <v>76</v>
      </c>
      <c r="B110" s="51">
        <f>('Raw Data'!C81-'Raw Data'!B81)/'Raw Data'!B81</f>
        <v>-2.1078318513265293</v>
      </c>
      <c r="C110" s="51">
        <f>('Raw Data'!D81-'Raw Data'!C81)/'Raw Data'!C81</f>
        <v>-5.8223878442641492</v>
      </c>
      <c r="D110" s="51">
        <f>('Raw Data'!E81-'Raw Data'!D81)/'Raw Data'!D81</f>
        <v>-2.1766738778870818</v>
      </c>
      <c r="E110" s="51">
        <f>('Raw Data'!F81-'Raw Data'!E81)/'Raw Data'!E81</f>
        <v>-0.99306179635169434</v>
      </c>
    </row>
    <row r="111" spans="1:5" x14ac:dyDescent="0.35">
      <c r="A111" s="12" t="s">
        <v>77</v>
      </c>
      <c r="B111" s="51">
        <f>('Raw Data'!C82-'Raw Data'!B82)/'Raw Data'!B82</f>
        <v>3.5202784305797907</v>
      </c>
      <c r="C111" s="51">
        <f>('Raw Data'!D82-'Raw Data'!C82)/'Raw Data'!C82</f>
        <v>0.76095304484439341</v>
      </c>
      <c r="D111" s="51">
        <f>('Raw Data'!E82-'Raw Data'!D82)/'Raw Data'!D82</f>
        <v>-0.90513389019673995</v>
      </c>
      <c r="E111" s="51">
        <f>('Raw Data'!F82-'Raw Data'!E82)/'Raw Data'!E82</f>
        <v>7.5530199728810643E-2</v>
      </c>
    </row>
    <row r="112" spans="1:5" x14ac:dyDescent="0.35">
      <c r="A112" s="11" t="s">
        <v>78</v>
      </c>
      <c r="B112" s="51">
        <f>('Raw Data'!C83-'Raw Data'!B83)/'Raw Data'!B83</f>
        <v>4.2737175386849318</v>
      </c>
      <c r="C112" s="51">
        <f>('Raw Data'!D83-'Raw Data'!C83)/'Raw Data'!C83</f>
        <v>-0.63197892937397282</v>
      </c>
      <c r="D112" s="51">
        <f>('Raw Data'!E83-'Raw Data'!D83)/'Raw Data'!D83</f>
        <v>-0.48284163838914368</v>
      </c>
      <c r="E112" s="51">
        <f>('Raw Data'!F83-'Raw Data'!E83)/'Raw Data'!E83</f>
        <v>0.16672658970316007</v>
      </c>
    </row>
    <row r="113" spans="1:5" x14ac:dyDescent="0.35">
      <c r="A113" s="17" t="s">
        <v>79</v>
      </c>
      <c r="B113" s="51">
        <f>('Raw Data'!C84-'Raw Data'!B84)/'Raw Data'!B84</f>
        <v>3.5090396517479738</v>
      </c>
      <c r="C113" s="51">
        <f>('Raw Data'!D84-'Raw Data'!C84)/'Raw Data'!C84</f>
        <v>0.78525457858889902</v>
      </c>
      <c r="D113" s="51">
        <f>('Raw Data'!E84-'Raw Data'!D84)/'Raw Data'!D84</f>
        <v>-0.90665265113400451</v>
      </c>
      <c r="E113" s="51">
        <f>('Raw Data'!F84-'Raw Data'!E84)/'Raw Data'!E84</f>
        <v>7.3713113591243315E-2</v>
      </c>
    </row>
    <row r="114" spans="1:5" x14ac:dyDescent="0.35">
      <c r="A114" s="11" t="s">
        <v>125</v>
      </c>
      <c r="B114" s="51">
        <f>('Raw Data'!C85-'Raw Data'!B85)/'Raw Data'!B85</f>
        <v>0.83029283835390488</v>
      </c>
      <c r="C114" s="51">
        <f>('Raw Data'!D85-'Raw Data'!C85)/'Raw Data'!C85</f>
        <v>3.5090396517479716</v>
      </c>
      <c r="D114" s="51">
        <f>('Raw Data'!E85-'Raw Data'!D85)/'Raw Data'!D85</f>
        <v>0.78525457923276087</v>
      </c>
      <c r="E114" s="51">
        <f>('Raw Data'!F85-'Raw Data'!E85)/'Raw Data'!E85</f>
        <v>-0.90665265116767046</v>
      </c>
    </row>
    <row r="115" spans="1:5" x14ac:dyDescent="0.35">
      <c r="A115" s="16"/>
      <c r="B115" s="51"/>
      <c r="C115" s="51"/>
      <c r="D115" s="51"/>
      <c r="E115" s="51"/>
    </row>
    <row r="116" spans="1:5" ht="15" thickBot="1" x14ac:dyDescent="0.4">
      <c r="A116" s="14" t="s">
        <v>80</v>
      </c>
      <c r="B116" s="51">
        <f>('Raw Data'!C88-'Raw Data'!B88)/'Raw Data'!B88</f>
        <v>3.9118652049616331</v>
      </c>
      <c r="C116" s="51">
        <f>('Raw Data'!D88-'Raw Data'!C88)/'Raw Data'!C88</f>
        <v>0.75346788314750901</v>
      </c>
      <c r="D116" s="51">
        <f>('Raw Data'!E88-'Raw Data'!D88)/'Raw Data'!D88</f>
        <v>-0.90210237505431567</v>
      </c>
      <c r="E116" s="51">
        <f>('Raw Data'!F88-'Raw Data'!E88)/'Raw Data'!E88</f>
        <v>1.6354733444359715E-2</v>
      </c>
    </row>
    <row r="117" spans="1:5" x14ac:dyDescent="0.35">
      <c r="A117" s="44"/>
      <c r="B117" s="69"/>
      <c r="C117" s="69"/>
      <c r="D117" s="69"/>
      <c r="E117" s="69"/>
    </row>
    <row r="118" spans="1:5" x14ac:dyDescent="0.35">
      <c r="A118" s="44"/>
      <c r="B118" s="69"/>
      <c r="C118" s="69"/>
      <c r="D118" s="69"/>
      <c r="E118" s="69"/>
    </row>
    <row r="119" spans="1:5" ht="15" thickBot="1" x14ac:dyDescent="0.4">
      <c r="A119" s="44"/>
      <c r="B119" s="70"/>
      <c r="C119" s="70"/>
      <c r="D119" s="70"/>
      <c r="E119" s="70"/>
    </row>
    <row r="120" spans="1:5" ht="15" thickBot="1" x14ac:dyDescent="0.4">
      <c r="A120" s="40" t="s">
        <v>166</v>
      </c>
      <c r="B120" s="71"/>
      <c r="C120" s="73"/>
      <c r="D120" s="73"/>
      <c r="E120" s="77"/>
    </row>
    <row r="121" spans="1:5" x14ac:dyDescent="0.35">
      <c r="A121" s="41" t="s">
        <v>127</v>
      </c>
      <c r="C121" s="49" t="s">
        <v>5</v>
      </c>
      <c r="D121" s="49" t="s">
        <v>6</v>
      </c>
      <c r="E121" s="49" t="s">
        <v>7</v>
      </c>
    </row>
    <row r="122" spans="1:5" x14ac:dyDescent="0.35">
      <c r="A122" s="8" t="s">
        <v>9</v>
      </c>
      <c r="B122" s="4"/>
      <c r="C122" s="70"/>
      <c r="D122" s="70"/>
      <c r="E122" s="78"/>
    </row>
    <row r="123" spans="1:5" x14ac:dyDescent="0.35">
      <c r="A123" t="s">
        <v>10</v>
      </c>
      <c r="B123" s="3"/>
      <c r="C123" s="74">
        <f>('Raw Data'!C7-'Raw Data'!B7)/'Raw Data'!B7</f>
        <v>0.24389763091648659</v>
      </c>
      <c r="D123" s="74">
        <f>('Raw Data'!D7-'Raw Data'!C7)/'Raw Data'!C7</f>
        <v>-0.17442715897501879</v>
      </c>
      <c r="E123" s="74">
        <f>('Raw Data'!E7-'Raw Data'!D7)/'Raw Data'!D7</f>
        <v>-0.4041957460647011</v>
      </c>
    </row>
    <row r="124" spans="1:5" x14ac:dyDescent="0.35">
      <c r="A124" t="s">
        <v>11</v>
      </c>
      <c r="B124" s="4"/>
      <c r="C124" s="74">
        <f>('Raw Data'!C8-'Raw Data'!B8)/'Raw Data'!B8</f>
        <v>0.58123569794050345</v>
      </c>
      <c r="D124" s="74">
        <f>('Raw Data'!D8-'Raw Data'!C8)/'Raw Data'!C8</f>
        <v>0.99131693198263382</v>
      </c>
      <c r="E124" s="74">
        <f>('Raw Data'!E8-'Raw Data'!D8)/'Raw Data'!D8</f>
        <v>-0.21729651162790697</v>
      </c>
    </row>
    <row r="125" spans="1:5" x14ac:dyDescent="0.35">
      <c r="A125" t="s">
        <v>12</v>
      </c>
      <c r="B125" s="4"/>
      <c r="C125" s="74">
        <f>('Raw Data'!C9-'Raw Data'!B9)/'Raw Data'!B9</f>
        <v>0.43493251940267136</v>
      </c>
      <c r="D125" s="74">
        <f>('Raw Data'!D9-'Raw Data'!C9)/'Raw Data'!C9</f>
        <v>-6.2583294396991562E-2</v>
      </c>
      <c r="E125" s="74">
        <f>('Raw Data'!E9-'Raw Data'!D9)/'Raw Data'!D9</f>
        <v>0.40121348469247975</v>
      </c>
    </row>
    <row r="126" spans="1:5" x14ac:dyDescent="0.35">
      <c r="A126" t="s">
        <v>13</v>
      </c>
      <c r="B126" s="4"/>
      <c r="C126" s="74">
        <f>('Raw Data'!C10-'Raw Data'!B10)/'Raw Data'!B10</f>
        <v>0.89022670327406028</v>
      </c>
      <c r="D126" s="74">
        <f>('Raw Data'!D10-'Raw Data'!C10)/'Raw Data'!C10</f>
        <v>0.39485000594302472</v>
      </c>
      <c r="E126" s="74">
        <f>('Raw Data'!E10-'Raw Data'!D10)/'Raw Data'!D10</f>
        <v>-0.50642812818420446</v>
      </c>
    </row>
    <row r="127" spans="1:5" x14ac:dyDescent="0.35">
      <c r="A127" s="11" t="s">
        <v>25</v>
      </c>
      <c r="B127" s="4"/>
      <c r="C127" s="74">
        <f>('Raw Data'!C11-'Raw Data'!B11)/'Raw Data'!B11</f>
        <v>-5.1118110514271974E-2</v>
      </c>
      <c r="D127" s="74">
        <f>('Raw Data'!D11-'Raw Data'!C11)/'Raw Data'!C11</f>
        <v>3.3684536641639132E-2</v>
      </c>
      <c r="E127" s="74">
        <f>('Raw Data'!E11-'Raw Data'!D11)/'Raw Data'!D11</f>
        <v>0.35116823880252979</v>
      </c>
    </row>
    <row r="128" spans="1:5" x14ac:dyDescent="0.35">
      <c r="A128" s="11" t="s">
        <v>26</v>
      </c>
      <c r="B128" s="4"/>
      <c r="C128" s="74"/>
      <c r="D128" s="74"/>
      <c r="E128" s="74"/>
    </row>
    <row r="129" spans="1:5" x14ac:dyDescent="0.35">
      <c r="A129" s="11" t="s">
        <v>27</v>
      </c>
      <c r="B129" s="4"/>
      <c r="C129" s="74"/>
      <c r="D129" s="74"/>
      <c r="E129" s="74"/>
    </row>
    <row r="130" spans="1:5" x14ac:dyDescent="0.35">
      <c r="A130" s="11" t="s">
        <v>28</v>
      </c>
      <c r="B130" s="4"/>
      <c r="C130" s="74"/>
      <c r="D130" s="74"/>
      <c r="E130" s="74"/>
    </row>
    <row r="131" spans="1:5" x14ac:dyDescent="0.35">
      <c r="A131" s="9"/>
      <c r="B131" s="3"/>
      <c r="C131" s="74"/>
      <c r="D131" s="74"/>
      <c r="E131" s="74"/>
    </row>
    <row r="132" spans="1:5" x14ac:dyDescent="0.35">
      <c r="A132" t="s">
        <v>14</v>
      </c>
      <c r="B132" s="44"/>
      <c r="C132" s="74">
        <f>('Raw Data'!C16-'Raw Data'!B16)/'Raw Data'!B16</f>
        <v>0.50765503703236148</v>
      </c>
      <c r="D132" s="74">
        <f>('Raw Data'!D16-'Raw Data'!C16)/'Raw Data'!C16</f>
        <v>0.42642048243112546</v>
      </c>
      <c r="E132" s="74">
        <f>('Raw Data'!E16-'Raw Data'!D16)/'Raw Data'!D16</f>
        <v>-0.2955916746090182</v>
      </c>
    </row>
    <row r="133" spans="1:5" x14ac:dyDescent="0.35">
      <c r="A133" t="s">
        <v>15</v>
      </c>
      <c r="B133" s="3"/>
      <c r="C133" s="74">
        <f>('Raw Data'!C17-'Raw Data'!B17)/'Raw Data'!B17</f>
        <v>0.21693247457665948</v>
      </c>
      <c r="D133" s="74">
        <f>('Raw Data'!D17-'Raw Data'!C17)/'Raw Data'!C17</f>
        <v>0.35796600437241272</v>
      </c>
      <c r="E133" s="74">
        <f>('Raw Data'!E17-'Raw Data'!D17)/'Raw Data'!D17</f>
        <v>-0.24088033965860836</v>
      </c>
    </row>
    <row r="134" spans="1:5" x14ac:dyDescent="0.35">
      <c r="A134" t="s">
        <v>19</v>
      </c>
      <c r="B134" s="4"/>
      <c r="C134" s="74">
        <f>('Raw Data'!C18-'Raw Data'!B18)/'Raw Data'!B18</f>
        <v>-8.5480620944223852E-3</v>
      </c>
      <c r="D134" s="74">
        <f>('Raw Data'!D18-'Raw Data'!C18)/'Raw Data'!C18</f>
        <v>-5.1062498032641403E-3</v>
      </c>
      <c r="E134" s="74">
        <f>('Raw Data'!E18-'Raw Data'!D18)/'Raw Data'!D18</f>
        <v>7.5619902046876854E-3</v>
      </c>
    </row>
    <row r="135" spans="1:5" x14ac:dyDescent="0.35">
      <c r="A135" t="s">
        <v>20</v>
      </c>
      <c r="B135" s="4"/>
      <c r="C135" s="74">
        <f>('Raw Data'!C19-'Raw Data'!B19)/'Raw Data'!B19</f>
        <v>5.5537188325976136E-2</v>
      </c>
      <c r="D135" s="74">
        <f>('Raw Data'!D19-'Raw Data'!C19)/'Raw Data'!C19</f>
        <v>4.5042396006039771E-2</v>
      </c>
      <c r="E135" s="74">
        <f>('Raw Data'!E19-'Raw Data'!D19)/'Raw Data'!D19</f>
        <v>4.0534042509579087E-2</v>
      </c>
    </row>
    <row r="136" spans="1:5" x14ac:dyDescent="0.35">
      <c r="A136" t="s">
        <v>21</v>
      </c>
      <c r="B136" s="4"/>
      <c r="C136" s="74">
        <f>('Raw Data'!C20-'Raw Data'!B20)/'Raw Data'!B20</f>
        <v>-1.2495368015779891E-2</v>
      </c>
      <c r="D136" s="74">
        <f>('Raw Data'!D20-'Raw Data'!C20)/'Raw Data'!C20</f>
        <v>-1.5553535119523501E-2</v>
      </c>
      <c r="E136" s="74">
        <f>('Raw Data'!E20-'Raw Data'!D20)/'Raw Data'!D20</f>
        <v>1.6740065577613008E-2</v>
      </c>
    </row>
    <row r="137" spans="1:5" x14ac:dyDescent="0.35">
      <c r="A137" t="s">
        <v>16</v>
      </c>
      <c r="B137" s="4"/>
      <c r="C137" s="74">
        <f>('Raw Data'!C21-'Raw Data'!B21)/'Raw Data'!B21</f>
        <v>-4.5045339203608654E-2</v>
      </c>
      <c r="D137" s="74">
        <f>('Raw Data'!D21-'Raw Data'!C21)/'Raw Data'!C21</f>
        <v>-4.6247989456347588E-2</v>
      </c>
      <c r="E137" s="74">
        <f>('Raw Data'!E21-'Raw Data'!D21)/'Raw Data'!D21</f>
        <v>-4.8384736334330214E-2</v>
      </c>
    </row>
    <row r="138" spans="1:5" x14ac:dyDescent="0.35">
      <c r="A138" t="s">
        <v>17</v>
      </c>
      <c r="B138" s="4"/>
      <c r="C138" s="74">
        <f>('Raw Data'!C22-'Raw Data'!B22)/'Raw Data'!B22</f>
        <v>0.13452032551456838</v>
      </c>
      <c r="D138" s="74">
        <f>('Raw Data'!D22-'Raw Data'!C22)/'Raw Data'!C22</f>
        <v>0.25767289916072689</v>
      </c>
      <c r="E138" s="74">
        <f>('Raw Data'!E22-'Raw Data'!D22)/'Raw Data'!D22</f>
        <v>0.19360610253703711</v>
      </c>
    </row>
    <row r="139" spans="1:5" x14ac:dyDescent="0.35">
      <c r="A139" s="10" t="s">
        <v>18</v>
      </c>
      <c r="B139" s="4"/>
      <c r="C139" s="74">
        <f>('Raw Data'!C23-'Raw Data'!B23)/'Raw Data'!B23</f>
        <v>9.2970297006531467E-3</v>
      </c>
      <c r="D139" s="74">
        <f>('Raw Data'!D23-'Raw Data'!C23)/'Raw Data'!C23</f>
        <v>-6.4690853484562411E-2</v>
      </c>
      <c r="E139" s="74">
        <f>('Raw Data'!E23-'Raw Data'!D23)/'Raw Data'!D23</f>
        <v>-0.20130405865151493</v>
      </c>
    </row>
    <row r="140" spans="1:5" x14ac:dyDescent="0.35">
      <c r="A140" s="11" t="s">
        <v>22</v>
      </c>
      <c r="B140" s="4"/>
      <c r="C140" s="74"/>
      <c r="D140" s="74"/>
      <c r="E140" s="74"/>
    </row>
    <row r="141" spans="1:5" x14ac:dyDescent="0.35">
      <c r="A141" s="11" t="s">
        <v>23</v>
      </c>
      <c r="B141" s="4"/>
      <c r="C141" s="74">
        <f>('Raw Data'!C25-'Raw Data'!B25)/'Raw Data'!B25</f>
        <v>-0.22159269882241042</v>
      </c>
      <c r="D141" s="74">
        <f>('Raw Data'!D25-'Raw Data'!C25)/'Raw Data'!C25</f>
        <v>1.3728107303857133</v>
      </c>
      <c r="E141" s="74">
        <f>('Raw Data'!E25-'Raw Data'!D25)/'Raw Data'!D25</f>
        <v>-0.68077515319405058</v>
      </c>
    </row>
    <row r="142" spans="1:5" x14ac:dyDescent="0.35">
      <c r="A142" s="11" t="s">
        <v>24</v>
      </c>
      <c r="B142" s="3"/>
      <c r="C142" s="74">
        <f>('Raw Data'!C26-'Raw Data'!B26)/'Raw Data'!B26</f>
        <v>-5.60736304528223E-2</v>
      </c>
      <c r="D142" s="74">
        <f>('Raw Data'!D26-'Raw Data'!C26)/'Raw Data'!C26</f>
        <v>0.24537152004320401</v>
      </c>
      <c r="E142" s="74">
        <f>('Raw Data'!E26-'Raw Data'!D26)/'Raw Data'!D26</f>
        <v>-2.5320372805051342E-2</v>
      </c>
    </row>
    <row r="143" spans="1:5" x14ac:dyDescent="0.35">
      <c r="A143" s="12" t="s">
        <v>29</v>
      </c>
      <c r="B143" s="4"/>
      <c r="C143" s="74">
        <f>('Raw Data'!C27-'Raw Data'!B27)/'Raw Data'!B27</f>
        <v>0.23168164048392681</v>
      </c>
      <c r="D143" s="74">
        <f>('Raw Data'!D27-'Raw Data'!C27)/'Raw Data'!C27</f>
        <v>0.27165429192461937</v>
      </c>
      <c r="E143" s="74">
        <f>('Raw Data'!E27-'Raw Data'!D27)/'Raw Data'!D27</f>
        <v>-0.24801324140063388</v>
      </c>
    </row>
    <row r="144" spans="1:5" x14ac:dyDescent="0.35">
      <c r="A144" s="8"/>
      <c r="B144" s="4"/>
      <c r="C144" s="74"/>
      <c r="D144" s="74"/>
      <c r="E144" s="74"/>
    </row>
    <row r="145" spans="1:5" x14ac:dyDescent="0.35">
      <c r="A145" s="12" t="s">
        <v>30</v>
      </c>
      <c r="B145" s="4"/>
      <c r="C145" s="74"/>
      <c r="D145" s="74"/>
      <c r="E145" s="74"/>
    </row>
    <row r="146" spans="1:5" x14ac:dyDescent="0.35">
      <c r="A146" s="11" t="s">
        <v>31</v>
      </c>
      <c r="B146" s="4"/>
      <c r="C146" s="74">
        <f>('Raw Data'!C30-'Raw Data'!B30)/'Raw Data'!B30</f>
        <v>0.70329227950919093</v>
      </c>
      <c r="D146" s="74">
        <f>('Raw Data'!D30-'Raw Data'!C30)/'Raw Data'!C30</f>
        <v>0.12655992274601824</v>
      </c>
      <c r="E146" s="74">
        <f>('Raw Data'!E30-'Raw Data'!D30)/'Raw Data'!D30</f>
        <v>-0.11572470425881162</v>
      </c>
    </row>
    <row r="147" spans="1:5" x14ac:dyDescent="0.35">
      <c r="A147" s="11" t="s">
        <v>32</v>
      </c>
      <c r="B147" s="4"/>
      <c r="C147" s="74">
        <f>('Raw Data'!C31-'Raw Data'!B31)/'Raw Data'!B31</f>
        <v>1.0918389705694897E-2</v>
      </c>
      <c r="D147" s="74">
        <f>('Raw Data'!D31-'Raw Data'!C31)/'Raw Data'!C31</f>
        <v>-0.42143165216732009</v>
      </c>
      <c r="E147" s="74">
        <f>('Raw Data'!E31-'Raw Data'!D31)/'Raw Data'!D31</f>
        <v>0.72867434012367327</v>
      </c>
    </row>
    <row r="148" spans="1:5" x14ac:dyDescent="0.35">
      <c r="A148" s="11" t="s">
        <v>33</v>
      </c>
      <c r="B148" s="3"/>
      <c r="C148" s="74">
        <f>('Raw Data'!C32-'Raw Data'!B32)/'Raw Data'!B32</f>
        <v>0.11111105000000605</v>
      </c>
      <c r="D148" s="74">
        <f>('Raw Data'!D32-'Raw Data'!C32)/'Raw Data'!C32</f>
        <v>-1.0004499549803709E-4</v>
      </c>
      <c r="E148" s="74">
        <f>('Raw Data'!E32-'Raw Data'!D32)/'Raw Data'!D32</f>
        <v>0</v>
      </c>
    </row>
    <row r="149" spans="1:5" x14ac:dyDescent="0.35">
      <c r="A149" s="11" t="s">
        <v>34</v>
      </c>
      <c r="B149" s="48"/>
      <c r="C149" s="74">
        <f>('Raw Data'!C33-'Raw Data'!B33)/'Raw Data'!B33</f>
        <v>-0.26036153411826923</v>
      </c>
      <c r="D149" s="74">
        <f>('Raw Data'!D33-'Raw Data'!C33)/'Raw Data'!C33</f>
        <v>1.3752919306833429</v>
      </c>
      <c r="E149" s="74">
        <f>('Raw Data'!E33-'Raw Data'!D33)/'Raw Data'!D33</f>
        <v>-0.70156615485561513</v>
      </c>
    </row>
    <row r="150" spans="1:5" x14ac:dyDescent="0.35">
      <c r="A150" s="11" t="s">
        <v>35</v>
      </c>
      <c r="B150" s="4"/>
      <c r="C150" s="74">
        <f>('Raw Data'!C34-'Raw Data'!B34)/'Raw Data'!B34</f>
        <v>4.8524996723495091E-2</v>
      </c>
      <c r="D150" s="74">
        <f>('Raw Data'!D34-'Raw Data'!C34)/'Raw Data'!C34</f>
        <v>9.5419648429733769E-3</v>
      </c>
      <c r="E150" s="74">
        <f>('Raw Data'!E34-'Raw Data'!D34)/'Raw Data'!D34</f>
        <v>-1</v>
      </c>
    </row>
    <row r="151" spans="1:5" x14ac:dyDescent="0.35">
      <c r="A151" s="11" t="s">
        <v>36</v>
      </c>
      <c r="B151" s="4"/>
      <c r="C151" s="74">
        <f>('Raw Data'!C35-'Raw Data'!B35)/'Raw Data'!B35</f>
        <v>-0.95652033509452916</v>
      </c>
      <c r="D151" s="74">
        <f>('Raw Data'!D35-'Raw Data'!C35)/'Raw Data'!C35</f>
        <v>17.469701344788263</v>
      </c>
      <c r="E151" s="74">
        <f>('Raw Data'!E35-'Raw Data'!D35)/'Raw Data'!D35</f>
        <v>-0.97822275347765397</v>
      </c>
    </row>
    <row r="152" spans="1:5" x14ac:dyDescent="0.35">
      <c r="A152" s="11" t="s">
        <v>37</v>
      </c>
      <c r="B152" s="4"/>
      <c r="C152" s="74"/>
      <c r="D152" s="74"/>
      <c r="E152" s="74"/>
    </row>
    <row r="153" spans="1:5" x14ac:dyDescent="0.35">
      <c r="A153" s="11" t="s">
        <v>38</v>
      </c>
      <c r="B153" s="4"/>
      <c r="C153" s="74">
        <f>('Raw Data'!C37-'Raw Data'!B37)/'Raw Data'!B37</f>
        <v>5.6252316113287577</v>
      </c>
      <c r="D153" s="74">
        <f>('Raw Data'!D37-'Raw Data'!C37)/'Raw Data'!C37</f>
        <v>-0.23809051553150276</v>
      </c>
      <c r="E153" s="74">
        <f>('Raw Data'!E37-'Raw Data'!D37)/'Raw Data'!D37</f>
        <v>-0.97936179930057843</v>
      </c>
    </row>
    <row r="154" spans="1:5" x14ac:dyDescent="0.35">
      <c r="A154" s="11" t="s">
        <v>39</v>
      </c>
      <c r="B154" s="4"/>
      <c r="C154" s="74">
        <f>('Raw Data'!C38-'Raw Data'!B38)/'Raw Data'!B38</f>
        <v>0.30066003421483184</v>
      </c>
      <c r="D154" s="74">
        <f>('Raw Data'!D38-'Raw Data'!C38)/'Raw Data'!C38</f>
        <v>0.26116419707716376</v>
      </c>
      <c r="E154" s="74">
        <f>('Raw Data'!E38-'Raw Data'!D38)/'Raw Data'!D38</f>
        <v>-0.24978254833647656</v>
      </c>
    </row>
    <row r="155" spans="1:5" x14ac:dyDescent="0.35">
      <c r="A155" s="11" t="s">
        <v>40</v>
      </c>
      <c r="B155" s="3"/>
      <c r="C155" s="74">
        <f>('Raw Data'!C39-'Raw Data'!B39)/'Raw Data'!B39</f>
        <v>-5.89627530633174E-2</v>
      </c>
      <c r="D155" s="74">
        <f>('Raw Data'!D39-'Raw Data'!C39)/'Raw Data'!C39</f>
        <v>0.18105316010139633</v>
      </c>
      <c r="E155" s="74">
        <f>('Raw Data'!E39-'Raw Data'!D39)/'Raw Data'!D39</f>
        <v>9.488977256805714E-2</v>
      </c>
    </row>
    <row r="156" spans="1:5" x14ac:dyDescent="0.35">
      <c r="A156" s="12" t="s">
        <v>41</v>
      </c>
      <c r="B156" s="4"/>
      <c r="C156" s="74">
        <f>('Raw Data'!C40-'Raw Data'!B40)/'Raw Data'!B40</f>
        <v>6.2001776594670786E-2</v>
      </c>
      <c r="D156" s="74">
        <f>('Raw Data'!D40-'Raw Data'!C40)/'Raw Data'!C40</f>
        <v>0.39219437414691766</v>
      </c>
      <c r="E156" s="74">
        <f>('Raw Data'!E40-'Raw Data'!D40)/'Raw Data'!D40</f>
        <v>-0.50442856026074212</v>
      </c>
    </row>
    <row r="157" spans="1:5" x14ac:dyDescent="0.35">
      <c r="A157" s="11" t="s">
        <v>42</v>
      </c>
      <c r="B157" s="3"/>
      <c r="C157" s="74">
        <f>('Raw Data'!C42-'Raw Data'!B42)/'Raw Data'!B42</f>
        <v>3.5675096284154768</v>
      </c>
      <c r="D157" s="74">
        <f>('Raw Data'!D42-'Raw Data'!C42)/'Raw Data'!C42</f>
        <v>-0.60291061746639041</v>
      </c>
      <c r="E157" s="74">
        <f>('Raw Data'!E42-'Raw Data'!D42)/'Raw Data'!D42</f>
        <v>-0.3444074944771941</v>
      </c>
    </row>
    <row r="158" spans="1:5" ht="15" thickBot="1" x14ac:dyDescent="0.4">
      <c r="A158" s="11" t="s">
        <v>43</v>
      </c>
      <c r="B158" s="72"/>
      <c r="C158" s="74">
        <f>('Raw Data'!C43-'Raw Data'!B43)/'Raw Data'!B43</f>
        <v>-0.18448055963803525</v>
      </c>
      <c r="D158" s="74">
        <f>('Raw Data'!D43-'Raw Data'!C43)/'Raw Data'!C43</f>
        <v>-0.27889858972933695</v>
      </c>
      <c r="E158" s="74">
        <f>('Raw Data'!E43-'Raw Data'!D43)/'Raw Data'!D43</f>
        <v>-1</v>
      </c>
    </row>
    <row r="159" spans="1:5" x14ac:dyDescent="0.35">
      <c r="A159" s="11" t="s">
        <v>44</v>
      </c>
      <c r="C159" s="74"/>
      <c r="D159" s="74"/>
      <c r="E159" s="74"/>
    </row>
    <row r="160" spans="1:5" x14ac:dyDescent="0.35">
      <c r="A160" s="11" t="s">
        <v>45</v>
      </c>
      <c r="C160" s="74"/>
      <c r="D160" s="74"/>
      <c r="E160" s="74"/>
    </row>
    <row r="161" spans="1:5" x14ac:dyDescent="0.35">
      <c r="A161" s="11" t="s">
        <v>46</v>
      </c>
      <c r="C161" s="74">
        <f>('Raw Data'!C46-'Raw Data'!B46)/'Raw Data'!B46</f>
        <v>0</v>
      </c>
      <c r="D161" s="74">
        <f>('Raw Data'!D46-'Raw Data'!C46)/'Raw Data'!C46</f>
        <v>0</v>
      </c>
      <c r="E161" s="74">
        <f>('Raw Data'!E46-'Raw Data'!D46)/'Raw Data'!D46</f>
        <v>0</v>
      </c>
    </row>
    <row r="162" spans="1:5" x14ac:dyDescent="0.35">
      <c r="A162" s="11" t="s">
        <v>47</v>
      </c>
      <c r="C162" s="74" t="e">
        <f>('Raw Data'!C47-'Raw Data'!B47)/'Raw Data'!B47</f>
        <v>#DIV/0!</v>
      </c>
      <c r="D162" s="74">
        <f>('Raw Data'!D47-'Raw Data'!C47)/'Raw Data'!C47</f>
        <v>-1</v>
      </c>
      <c r="E162" s="74" t="e">
        <f>('Raw Data'!E47-'Raw Data'!D47)/'Raw Data'!D47</f>
        <v>#DIV/0!</v>
      </c>
    </row>
    <row r="163" spans="1:5" x14ac:dyDescent="0.35">
      <c r="A163" s="11" t="s">
        <v>48</v>
      </c>
      <c r="C163" s="74">
        <f>('Raw Data'!C48-'Raw Data'!B48)/'Raw Data'!B48</f>
        <v>0.39358619981760684</v>
      </c>
      <c r="D163" s="74">
        <f>('Raw Data'!D48-'Raw Data'!C48)/'Raw Data'!C48</f>
        <v>-2.8036462539454608E-2</v>
      </c>
      <c r="E163" s="74">
        <f>('Raw Data'!E48-'Raw Data'!D48)/'Raw Data'!D48</f>
        <v>-4.8534352153655091E-2</v>
      </c>
    </row>
    <row r="164" spans="1:5" x14ac:dyDescent="0.35">
      <c r="A164" s="12" t="s">
        <v>49</v>
      </c>
      <c r="C164" s="74">
        <f>('Raw Data'!C49-'Raw Data'!B49)/'Raw Data'!B49</f>
        <v>0.15726210569136023</v>
      </c>
      <c r="D164" s="74">
        <f>('Raw Data'!D49-'Raw Data'!C49)/'Raw Data'!C49</f>
        <v>0.18090788471063712</v>
      </c>
      <c r="E164" s="74">
        <f>('Raw Data'!E49-'Raw Data'!D49)/'Raw Data'!D49</f>
        <v>-0.48577168860465969</v>
      </c>
    </row>
    <row r="165" spans="1:5" x14ac:dyDescent="0.35">
      <c r="A165" s="11" t="s">
        <v>50</v>
      </c>
      <c r="C165" s="74"/>
      <c r="D165" s="74"/>
      <c r="E165" s="74"/>
    </row>
    <row r="166" spans="1:5" x14ac:dyDescent="0.35">
      <c r="A166" s="11" t="s">
        <v>51</v>
      </c>
      <c r="C166" s="74">
        <f>('Raw Data'!C51-'Raw Data'!B51)/'Raw Data'!B51</f>
        <v>0</v>
      </c>
      <c r="D166" s="74">
        <f>('Raw Data'!D51-'Raw Data'!C51)/'Raw Data'!C51</f>
        <v>0</v>
      </c>
      <c r="E166" s="74">
        <f>('Raw Data'!E51-'Raw Data'!D51)/'Raw Data'!D51</f>
        <v>0</v>
      </c>
    </row>
    <row r="167" spans="1:5" x14ac:dyDescent="0.35">
      <c r="A167" s="11" t="s">
        <v>123</v>
      </c>
      <c r="C167" s="74">
        <f>('Raw Data'!C52-'Raw Data'!B52)/'Raw Data'!B52</f>
        <v>0</v>
      </c>
      <c r="D167" s="74">
        <f>('Raw Data'!D52-'Raw Data'!C52)/'Raw Data'!C52</f>
        <v>-1.8215371535042031E-7</v>
      </c>
      <c r="E167" s="74">
        <f>('Raw Data'!E52-'Raw Data'!D52)/'Raw Data'!D52</f>
        <v>0</v>
      </c>
    </row>
    <row r="168" spans="1:5" x14ac:dyDescent="0.35">
      <c r="A168" s="11" t="s">
        <v>52</v>
      </c>
      <c r="C168" s="74"/>
      <c r="D168" s="74"/>
      <c r="E168" s="74"/>
    </row>
    <row r="169" spans="1:5" x14ac:dyDescent="0.35">
      <c r="A169" s="11" t="s">
        <v>53</v>
      </c>
      <c r="C169" s="74">
        <f>('Raw Data'!C54-'Raw Data'!B54)/'Raw Data'!B54</f>
        <v>0</v>
      </c>
      <c r="D169" s="74">
        <f>('Raw Data'!D54-'Raw Data'!C54)/'Raw Data'!C54</f>
        <v>0</v>
      </c>
      <c r="E169" s="74">
        <f>('Raw Data'!E54-'Raw Data'!D54)/'Raw Data'!D54</f>
        <v>0.31516354467861141</v>
      </c>
    </row>
    <row r="170" spans="1:5" x14ac:dyDescent="0.35">
      <c r="A170" s="13" t="s">
        <v>54</v>
      </c>
      <c r="C170" s="74">
        <f>('Raw Data'!C55-'Raw Data'!B55)/'Raw Data'!B55</f>
        <v>3.7123946294592609</v>
      </c>
      <c r="D170" s="74">
        <f>('Raw Data'!D55-'Raw Data'!C55)/'Raw Data'!C55</f>
        <v>1.0745295834022144</v>
      </c>
      <c r="E170" s="74">
        <f>('Raw Data'!E55-'Raw Data'!D55)/'Raw Data'!D55</f>
        <v>-0.5565854367157177</v>
      </c>
    </row>
    <row r="171" spans="1:5" x14ac:dyDescent="0.35">
      <c r="A171" s="11" t="s">
        <v>55</v>
      </c>
      <c r="C171" s="74"/>
      <c r="D171" s="74"/>
      <c r="E171" s="74"/>
    </row>
    <row r="172" spans="1:5" x14ac:dyDescent="0.35">
      <c r="A172" s="11" t="s">
        <v>56</v>
      </c>
      <c r="C172" s="74">
        <f>('Raw Data'!C57-'Raw Data'!B57)/'Raw Data'!B57</f>
        <v>0</v>
      </c>
      <c r="D172" s="74">
        <f>('Raw Data'!D57-'Raw Data'!C57)/'Raw Data'!C57</f>
        <v>0</v>
      </c>
      <c r="E172" s="74">
        <f>('Raw Data'!E57-'Raw Data'!D57)/'Raw Data'!D57</f>
        <v>0</v>
      </c>
    </row>
    <row r="173" spans="1:5" x14ac:dyDescent="0.35">
      <c r="A173" s="12" t="s">
        <v>57</v>
      </c>
      <c r="C173" s="74">
        <f>('Raw Data'!C58-'Raw Data'!B58)/'Raw Data'!B58</f>
        <v>0.30066546881711226</v>
      </c>
      <c r="D173" s="74">
        <f>('Raw Data'!D58-'Raw Data'!C58)/'Raw Data'!C58</f>
        <v>0.31529990153857523</v>
      </c>
      <c r="E173" s="74">
        <f>('Raw Data'!E58-'Raw Data'!D58)/'Raw Data'!D58</f>
        <v>-0.17790581957368798</v>
      </c>
    </row>
    <row r="174" spans="1:5" x14ac:dyDescent="0.35">
      <c r="A174" s="11" t="s">
        <v>58</v>
      </c>
      <c r="C174" s="74">
        <f>('Raw Data'!C59-'Raw Data'!B59)/'Raw Data'!B59</f>
        <v>0.21419171316980748</v>
      </c>
      <c r="D174" s="74">
        <f>('Raw Data'!D59-'Raw Data'!C59)/'Raw Data'!C59</f>
        <v>-5.6933009184401931E-2</v>
      </c>
      <c r="E174" s="74">
        <f>('Raw Data'!E59-'Raw Data'!D59)/'Raw Data'!D59</f>
        <v>-6.2331213545386843E-2</v>
      </c>
    </row>
    <row r="175" spans="1:5" x14ac:dyDescent="0.35">
      <c r="A175" s="12" t="s">
        <v>59</v>
      </c>
      <c r="C175" s="74">
        <f>('Raw Data'!C60-'Raw Data'!B60)/'Raw Data'!B60</f>
        <v>0.29895854220092916</v>
      </c>
      <c r="D175" s="74">
        <f>('Raw Data'!D60-'Raw Data'!C60)/'Raw Data'!C60</f>
        <v>0.30843179107187602</v>
      </c>
      <c r="E175" s="74">
        <f>('Raw Data'!E60-'Raw Data'!D60)/'Raw Data'!D60</f>
        <v>-0.17636881067687957</v>
      </c>
    </row>
    <row r="176" spans="1:5" ht="15" thickBot="1" x14ac:dyDescent="0.4">
      <c r="A176" s="38" t="s">
        <v>60</v>
      </c>
      <c r="C176" s="74">
        <f>('Raw Data'!C61-'Raw Data'!B61)/'Raw Data'!B61</f>
        <v>0.24814708476939112</v>
      </c>
      <c r="D176" s="74">
        <f>('Raw Data'!D61-'Raw Data'!C61)/'Raw Data'!C61</f>
        <v>0.26603233384010833</v>
      </c>
      <c r="E176" s="74">
        <f>('Raw Data'!E61-'Raw Data'!D61)/'Raw Data'!D61</f>
        <v>-0.27232307127014965</v>
      </c>
    </row>
  </sheetData>
  <sheetProtection algorithmName="SHA-512" hashValue="QC94lmaxLbtNbuKVSf+Qe/FPhAbX7hestF9sGSrSTaPzQQCutWWAmKnMmCfSnEBgZs8KMoeNlYP1E+w6epwC+w==" saltValue="+s0w8oGvSIzEAaQn0UnU1g=="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F3A41-8611-426C-B6E7-6FA707668A11}">
  <dimension ref="A1:X70"/>
  <sheetViews>
    <sheetView zoomScale="70" zoomScaleNormal="70" workbookViewId="0">
      <selection activeCell="F22" sqref="F22"/>
    </sheetView>
  </sheetViews>
  <sheetFormatPr defaultRowHeight="14.5" x14ac:dyDescent="0.35"/>
  <cols>
    <col min="1" max="1" width="73.1796875" customWidth="1"/>
    <col min="2" max="2" width="14.81640625" customWidth="1"/>
    <col min="3" max="3" width="16.26953125" customWidth="1"/>
    <col min="4" max="4" width="15.90625" customWidth="1"/>
    <col min="5" max="5" width="14.26953125" customWidth="1"/>
    <col min="6" max="6" width="14.36328125" customWidth="1"/>
    <col min="7" max="7" width="16.453125" customWidth="1"/>
    <col min="8" max="8" width="14.1796875" customWidth="1"/>
    <col min="9" max="9" width="14.453125" customWidth="1"/>
    <col min="10" max="10" width="14" customWidth="1"/>
    <col min="11" max="11" width="13.1796875" customWidth="1"/>
    <col min="13" max="13" width="40.453125" customWidth="1"/>
    <col min="14" max="14" width="14" customWidth="1"/>
    <col min="15" max="15" width="16.453125" customWidth="1"/>
    <col min="16" max="16" width="15.36328125" customWidth="1"/>
    <col min="17" max="17" width="19.453125" customWidth="1"/>
    <col min="18" max="19" width="13.90625" customWidth="1"/>
    <col min="20" max="20" width="13.453125" customWidth="1"/>
    <col min="21" max="21" width="12.1796875" customWidth="1"/>
    <col min="22" max="23" width="15.6328125" customWidth="1"/>
    <col min="24" max="24" width="17.453125" customWidth="1"/>
  </cols>
  <sheetData>
    <row r="1" spans="1:13" x14ac:dyDescent="0.35">
      <c r="A1" s="1" t="s">
        <v>0</v>
      </c>
      <c r="B1" s="1"/>
      <c r="C1" s="2"/>
      <c r="D1" s="2"/>
      <c r="E1" s="2"/>
    </row>
    <row r="2" spans="1:13" x14ac:dyDescent="0.35">
      <c r="A2" s="1" t="s">
        <v>1</v>
      </c>
      <c r="B2" s="1"/>
      <c r="C2" s="2" t="s">
        <v>2</v>
      </c>
      <c r="D2" s="36"/>
      <c r="E2" s="2"/>
    </row>
    <row r="4" spans="1:13" ht="15" thickBot="1" x14ac:dyDescent="0.4"/>
    <row r="5" spans="1:13" x14ac:dyDescent="0.35">
      <c r="A5" s="116" t="s">
        <v>310</v>
      </c>
      <c r="M5" t="s">
        <v>234</v>
      </c>
    </row>
    <row r="6" spans="1:13" x14ac:dyDescent="0.35">
      <c r="A6" s="117"/>
      <c r="B6" s="97" t="s">
        <v>4</v>
      </c>
      <c r="C6" s="97" t="s">
        <v>5</v>
      </c>
      <c r="D6" s="97" t="s">
        <v>6</v>
      </c>
      <c r="E6" s="97" t="s">
        <v>7</v>
      </c>
      <c r="F6" s="97" t="s">
        <v>257</v>
      </c>
      <c r="G6" s="97" t="s">
        <v>192</v>
      </c>
      <c r="H6" s="97" t="s">
        <v>193</v>
      </c>
      <c r="I6" s="97" t="s">
        <v>194</v>
      </c>
      <c r="J6" s="97" t="s">
        <v>195</v>
      </c>
      <c r="K6" s="97" t="s">
        <v>196</v>
      </c>
      <c r="M6" s="97" t="s">
        <v>250</v>
      </c>
    </row>
    <row r="7" spans="1:13" x14ac:dyDescent="0.35">
      <c r="A7" s="113" t="s">
        <v>224</v>
      </c>
      <c r="B7" s="31"/>
      <c r="C7" s="31"/>
      <c r="D7" s="31"/>
      <c r="E7" s="31"/>
      <c r="F7" s="31"/>
      <c r="G7" s="106"/>
      <c r="H7" s="106"/>
      <c r="I7" s="106"/>
      <c r="J7" s="106"/>
      <c r="K7" s="106"/>
    </row>
    <row r="8" spans="1:13" x14ac:dyDescent="0.35">
      <c r="A8" s="114" t="s">
        <v>235</v>
      </c>
      <c r="B8" s="105">
        <f>'Raw Data'!B67/'Raw Data'!B65</f>
        <v>0.9865580296359</v>
      </c>
      <c r="C8" s="105">
        <f>'Raw Data'!C67/'Raw Data'!C65</f>
        <v>0.99258329340231422</v>
      </c>
      <c r="D8" s="105">
        <f>'Raw Data'!D67/'Raw Data'!D65</f>
        <v>0.99372975048963375</v>
      </c>
      <c r="E8" s="105">
        <f>'Raw Data'!E67/'Raw Data'!E65</f>
        <v>0.98904301320597965</v>
      </c>
      <c r="F8" s="105">
        <f>'Raw Data'!F67/'Raw Data'!F65</f>
        <v>0.98489926716517195</v>
      </c>
      <c r="G8" s="112">
        <f>AVERAGE(B8:F8)</f>
        <v>0.98936267077979989</v>
      </c>
      <c r="H8" s="112">
        <f>G8</f>
        <v>0.98936267077979989</v>
      </c>
      <c r="I8" s="112">
        <f t="shared" ref="I8:K8" si="0">H8</f>
        <v>0.98936267077979989</v>
      </c>
      <c r="J8" s="112">
        <f t="shared" si="0"/>
        <v>0.98936267077979989</v>
      </c>
      <c r="K8" s="112">
        <f t="shared" si="0"/>
        <v>0.98936267077979989</v>
      </c>
    </row>
    <row r="9" spans="1:13" x14ac:dyDescent="0.35">
      <c r="A9" s="114" t="s">
        <v>252</v>
      </c>
      <c r="B9" s="105">
        <f>('Raw Data'!B67-7683541.208058)/7683541.208058</f>
        <v>1.0187671854080487E-2</v>
      </c>
      <c r="C9" s="105">
        <f>('Raw Data'!C67-'Raw Data'!B67)/'Raw Data'!B67</f>
        <v>0.64731254938569605</v>
      </c>
      <c r="D9" s="105">
        <f>('Raw Data'!D67-'Raw Data'!C67)/'Raw Data'!C67</f>
        <v>0.45682573519131592</v>
      </c>
      <c r="E9" s="105">
        <f>('Raw Data'!E67-'Raw Data'!D67)/'Raw Data'!D67</f>
        <v>-0.27153837285163612</v>
      </c>
      <c r="F9" s="105">
        <f>('FCF Forecast'!F6-'FCF Forecast'!E6)/'FCF Forecast'!E6</f>
        <v>5.0775083087267171E-2</v>
      </c>
      <c r="G9" s="104">
        <f>AVERAGE(B9:F9)</f>
        <v>0.17871253333334475</v>
      </c>
      <c r="H9" s="104">
        <f>G9*(1+1%)</f>
        <v>0.18049965866667819</v>
      </c>
      <c r="I9" s="104">
        <f t="shared" ref="I9:K9" si="1">H9*(1+1%)</f>
        <v>0.18230465525334497</v>
      </c>
      <c r="J9" s="104">
        <f t="shared" si="1"/>
        <v>0.18412770180587842</v>
      </c>
      <c r="K9" s="104">
        <f t="shared" si="1"/>
        <v>0.1859689788239372</v>
      </c>
      <c r="M9" t="s">
        <v>251</v>
      </c>
    </row>
    <row r="10" spans="1:13" x14ac:dyDescent="0.35">
      <c r="A10" s="114" t="s">
        <v>236</v>
      </c>
      <c r="B10" s="105">
        <f>'Raw Data'!B68/'Raw Data'!B67</f>
        <v>0.7771393919775339</v>
      </c>
      <c r="C10" s="105">
        <f>'Raw Data'!C68/'Raw Data'!C67</f>
        <v>0.62572454952060252</v>
      </c>
      <c r="D10" s="105">
        <f>'Raw Data'!D68/'Raw Data'!D67</f>
        <v>0.57920522198084157</v>
      </c>
      <c r="E10" s="105">
        <f>'Raw Data'!E68/'Raw Data'!E67</f>
        <v>0.87827221556036339</v>
      </c>
      <c r="F10" s="105">
        <f>'FCF Forecast'!F7/'FCF Forecast'!F6</f>
        <v>0.84199093781899503</v>
      </c>
      <c r="G10" s="112">
        <f>AVERAGE(B10:F10)</f>
        <v>0.74046646337166722</v>
      </c>
      <c r="H10" s="112">
        <f>G10</f>
        <v>0.74046646337166722</v>
      </c>
      <c r="I10" s="112">
        <f t="shared" ref="I10:K10" si="2">H10</f>
        <v>0.74046646337166722</v>
      </c>
      <c r="J10" s="112">
        <f t="shared" si="2"/>
        <v>0.74046646337166722</v>
      </c>
      <c r="K10" s="112">
        <f t="shared" si="2"/>
        <v>0.74046646337166722</v>
      </c>
      <c r="M10" t="s">
        <v>308</v>
      </c>
    </row>
    <row r="11" spans="1:13" x14ac:dyDescent="0.35">
      <c r="A11" s="114" t="s">
        <v>237</v>
      </c>
      <c r="B11" s="105">
        <f>'FCF Forecast'!B9/'FCF Forecast'!B$6</f>
        <v>0.13704119225688696</v>
      </c>
      <c r="C11" s="105">
        <f>'FCF Forecast'!C9/'FCF Forecast'!C$6</f>
        <v>9.719402694154089E-2</v>
      </c>
      <c r="D11" s="105">
        <f>'FCF Forecast'!D9/'FCF Forecast'!D$6</f>
        <v>8.2352029985199179E-2</v>
      </c>
      <c r="E11" s="105">
        <f>'FCF Forecast'!E9/'FCF Forecast'!E$6</f>
        <v>9.954900815594421E-2</v>
      </c>
      <c r="F11" s="105">
        <f>'FCF Forecast'!F9/'FCF Forecast'!F$6</f>
        <v>0.10730816541343471</v>
      </c>
      <c r="G11" s="112">
        <f>AVERAGE(B11:F11)</f>
        <v>0.10468888455060119</v>
      </c>
      <c r="H11" s="112">
        <f>G11</f>
        <v>0.10468888455060119</v>
      </c>
      <c r="I11" s="112">
        <f t="shared" ref="I11:K11" si="3">H11</f>
        <v>0.10468888455060119</v>
      </c>
      <c r="J11" s="112">
        <f t="shared" si="3"/>
        <v>0.10468888455060119</v>
      </c>
      <c r="K11" s="112">
        <f t="shared" si="3"/>
        <v>0.10468888455060119</v>
      </c>
    </row>
    <row r="12" spans="1:13" x14ac:dyDescent="0.35">
      <c r="A12" s="114" t="s">
        <v>238</v>
      </c>
      <c r="B12" s="105">
        <f>'FCF Forecast'!B11/'FCF Forecast'!B$6</f>
        <v>3.1401807825902236E-4</v>
      </c>
      <c r="C12" s="105">
        <f>'FCF Forecast'!C11/'FCF Forecast'!C$6</f>
        <v>1.9577424526654743E-4</v>
      </c>
      <c r="D12" s="105">
        <f>'FCF Forecast'!D11/'FCF Forecast'!D$6</f>
        <v>1.4291468639542995E-4</v>
      </c>
      <c r="E12" s="105">
        <f>'FCF Forecast'!E11/'FCF Forecast'!E$6</f>
        <v>1.9639424901900818E-4</v>
      </c>
      <c r="F12" s="105">
        <f>'FCF Forecast'!F11/'FCF Forecast'!F$6</f>
        <v>1.3949569780917021E-4</v>
      </c>
      <c r="G12" s="112">
        <f t="shared" ref="G12:G14" si="4">AVERAGE(B12:F12)</f>
        <v>1.9771939134983563E-4</v>
      </c>
      <c r="H12" s="112">
        <f t="shared" ref="H12:H14" si="5">AVERAGE(C12:G12)</f>
        <v>1.7445965396799826E-4</v>
      </c>
      <c r="I12" s="112">
        <f t="shared" ref="I12:I14" si="6">AVERAGE(D12:H12)</f>
        <v>1.7019673570828846E-4</v>
      </c>
      <c r="J12" s="112">
        <f t="shared" ref="J12:J14" si="7">AVERAGE(E12:I12)</f>
        <v>1.7565314557086014E-4</v>
      </c>
      <c r="K12" s="112">
        <f t="shared" ref="K12:K14" si="8">AVERAGE(F12:J12)</f>
        <v>1.7150492488123052E-4</v>
      </c>
    </row>
    <row r="13" spans="1:13" x14ac:dyDescent="0.35">
      <c r="A13" s="114" t="s">
        <v>239</v>
      </c>
      <c r="B13" s="105">
        <f>'FCF Forecast'!B12/'FCF Forecast'!B$6</f>
        <v>1.2429553047694771E-2</v>
      </c>
      <c r="C13" s="105">
        <f>'FCF Forecast'!C12/'FCF Forecast'!C$6</f>
        <v>1.214245741895319E-2</v>
      </c>
      <c r="D13" s="105">
        <f>'FCF Forecast'!D12/'FCF Forecast'!D$6</f>
        <v>1.1337692975908512E-3</v>
      </c>
      <c r="E13" s="105">
        <f>'FCF Forecast'!E12/'FCF Forecast'!E$6</f>
        <v>8.1256608834396726E-4</v>
      </c>
      <c r="F13" s="105">
        <f>'FCF Forecast'!F12/'FCF Forecast'!F$6</f>
        <v>7.1452119077059211E-4</v>
      </c>
      <c r="G13" s="112">
        <f t="shared" si="4"/>
        <v>5.4465734086706751E-3</v>
      </c>
      <c r="H13" s="112">
        <f t="shared" si="5"/>
        <v>4.0499774808658547E-3</v>
      </c>
      <c r="I13" s="112">
        <f t="shared" si="6"/>
        <v>2.431481493248388E-3</v>
      </c>
      <c r="J13" s="112">
        <f t="shared" si="7"/>
        <v>2.6910239323798954E-3</v>
      </c>
      <c r="K13" s="112">
        <f t="shared" si="8"/>
        <v>3.0667155011870812E-3</v>
      </c>
    </row>
    <row r="14" spans="1:13" x14ac:dyDescent="0.35">
      <c r="A14" s="114" t="s">
        <v>240</v>
      </c>
      <c r="B14" s="105">
        <f>'FCF Forecast'!B13/'FCF Forecast'!B$6</f>
        <v>2.4815941200528039E-4</v>
      </c>
      <c r="C14" s="105">
        <f>'FCF Forecast'!C13/'FCF Forecast'!C$6</f>
        <v>1.5291802987570628E-4</v>
      </c>
      <c r="D14" s="105">
        <f>'FCF Forecast'!D13/'FCF Forecast'!D$6</f>
        <v>1.2020964906033789E-4</v>
      </c>
      <c r="E14" s="105">
        <f>'FCF Forecast'!E13/'FCF Forecast'!E$6</f>
        <v>7.4363416913471466E-4</v>
      </c>
      <c r="F14" s="105">
        <f>'FCF Forecast'!F13/'FCF Forecast'!F$6</f>
        <v>1.1922443245712313E-3</v>
      </c>
      <c r="G14" s="112">
        <f t="shared" si="4"/>
        <v>4.9143311692945407E-4</v>
      </c>
      <c r="H14" s="112">
        <f t="shared" si="5"/>
        <v>5.4008785791428873E-4</v>
      </c>
      <c r="I14" s="112">
        <f t="shared" si="6"/>
        <v>6.1752182352200536E-4</v>
      </c>
      <c r="J14" s="112">
        <f t="shared" si="7"/>
        <v>7.1698425841433869E-4</v>
      </c>
      <c r="K14" s="112">
        <f t="shared" si="8"/>
        <v>7.1165427627026376E-4</v>
      </c>
    </row>
    <row r="15" spans="1:13" x14ac:dyDescent="0.35">
      <c r="A15" s="114" t="s">
        <v>301</v>
      </c>
      <c r="B15" s="105">
        <f>'FCF Forecast'!B14/'FCF Forecast'!B6</f>
        <v>2.3143547407999975E-2</v>
      </c>
      <c r="C15" s="105">
        <f>'FCF Forecast'!C14/'FCF Forecast'!C6</f>
        <v>1.372688936973857E-2</v>
      </c>
      <c r="D15" s="105">
        <f>'FCF Forecast'!D14/'FCF Forecast'!D6</f>
        <v>1.9598433123891642E-2</v>
      </c>
      <c r="E15" s="105">
        <f>'FCF Forecast'!E14/'FCF Forecast'!E6</f>
        <v>3.3721712281519461E-2</v>
      </c>
      <c r="F15" s="105">
        <f>'FCF Forecast'!F14/'FCF Forecast'!F6</f>
        <v>2.7909862844563232E-2</v>
      </c>
      <c r="G15" s="112">
        <v>3.1E-2</v>
      </c>
      <c r="H15" s="112">
        <f>AVERAGE(D15:G15)</f>
        <v>2.8057502062493585E-2</v>
      </c>
      <c r="I15" s="112">
        <f t="shared" ref="I15:K15" si="9">AVERAGE(E15:H15)</f>
        <v>3.0172269297144068E-2</v>
      </c>
      <c r="J15" s="112">
        <f t="shared" si="9"/>
        <v>2.9284908551050218E-2</v>
      </c>
      <c r="K15" s="112">
        <f t="shared" si="9"/>
        <v>2.9628669977671968E-2</v>
      </c>
    </row>
    <row r="16" spans="1:13" x14ac:dyDescent="0.35">
      <c r="A16" s="114" t="s">
        <v>302</v>
      </c>
      <c r="B16" s="105">
        <f>'FCF Forecast'!B15/'FCF Forecast'!B6</f>
        <v>1.2219701068283342E-2</v>
      </c>
      <c r="C16" s="105">
        <f>'FCF Forecast'!C15/'FCF Forecast'!C6</f>
        <v>5.838201369918577E-3</v>
      </c>
      <c r="D16" s="105">
        <f>'FCF Forecast'!D15/'FCF Forecast'!D6</f>
        <v>4.5770367183285837E-3</v>
      </c>
      <c r="E16" s="105">
        <f>'FCF Forecast'!E15/'FCF Forecast'!E6</f>
        <v>5.24407599078946E-3</v>
      </c>
      <c r="F16" s="105">
        <f>'FCF Forecast'!F15/'FCF Forecast'!F6</f>
        <v>3.2521025867092877E-3</v>
      </c>
      <c r="G16" s="112">
        <f>AVERAGE(B16:F16)</f>
        <v>6.2262235468058501E-3</v>
      </c>
      <c r="H16" s="112">
        <f t="shared" ref="H16" si="10">AVERAGE(C16:G16)</f>
        <v>5.027528042510351E-3</v>
      </c>
      <c r="I16" s="112">
        <f t="shared" ref="I16" si="11">AVERAGE(D16:H16)</f>
        <v>4.8653933770287068E-3</v>
      </c>
      <c r="J16" s="112">
        <f t="shared" ref="J16" si="12">AVERAGE(E16:I16)</f>
        <v>4.9230647087687308E-3</v>
      </c>
      <c r="K16" s="112">
        <f t="shared" ref="K16" si="13">AVERAGE(F16:J16)</f>
        <v>4.8588624523645861E-3</v>
      </c>
    </row>
    <row r="17" spans="1:13" x14ac:dyDescent="0.35">
      <c r="A17" s="114" t="s">
        <v>309</v>
      </c>
      <c r="B17" s="105">
        <f>'FCF Forecast'!B17/'FCF Forecast'!B16</f>
        <v>0.17251171616134092</v>
      </c>
      <c r="C17" s="105">
        <f>'FCF Forecast'!C17/'FCF Forecast'!C16</f>
        <v>0.16527429351813364</v>
      </c>
      <c r="D17" s="105">
        <f>'FCF Forecast'!D17/'FCF Forecast'!D16</f>
        <v>0.15451941398270397</v>
      </c>
      <c r="E17" s="105">
        <f>'FCF Forecast'!E17/'FCF Forecast'!E16</f>
        <v>0.23322347079855665</v>
      </c>
      <c r="F17" s="105">
        <f>'FCF Forecast'!F17/'FCF Forecast'!F16</f>
        <v>0.14601271870048743</v>
      </c>
      <c r="G17" s="112">
        <f>AVERAGE(B17:F17)</f>
        <v>0.17430832263224452</v>
      </c>
      <c r="H17" s="112">
        <f>G17</f>
        <v>0.17430832263224452</v>
      </c>
      <c r="I17" s="112">
        <f t="shared" ref="I17:K17" si="14">H17</f>
        <v>0.17430832263224452</v>
      </c>
      <c r="J17" s="112">
        <f t="shared" si="14"/>
        <v>0.17430832263224452</v>
      </c>
      <c r="K17" s="112">
        <f t="shared" si="14"/>
        <v>0.17430832263224452</v>
      </c>
    </row>
    <row r="18" spans="1:13" x14ac:dyDescent="0.35">
      <c r="A18" s="115"/>
      <c r="B18" s="31"/>
      <c r="C18" s="31"/>
      <c r="D18" s="31"/>
      <c r="E18" s="31"/>
      <c r="F18" s="31"/>
      <c r="G18" s="106"/>
      <c r="H18" s="106"/>
      <c r="I18" s="106"/>
      <c r="J18" s="106"/>
      <c r="K18" s="106"/>
    </row>
    <row r="19" spans="1:13" x14ac:dyDescent="0.35">
      <c r="A19" s="113" t="s">
        <v>225</v>
      </c>
      <c r="B19" s="31"/>
      <c r="C19" s="31"/>
      <c r="D19" s="31"/>
      <c r="E19" s="31"/>
      <c r="F19" s="31"/>
      <c r="G19" s="106"/>
      <c r="H19" s="106"/>
      <c r="I19" s="106"/>
      <c r="J19" s="106"/>
      <c r="K19" s="106"/>
    </row>
    <row r="20" spans="1:13" x14ac:dyDescent="0.35">
      <c r="A20" s="114" t="s">
        <v>253</v>
      </c>
      <c r="B20" s="31">
        <f>4790657.948234+239820.697731</f>
        <v>5030478.6459650006</v>
      </c>
      <c r="C20" s="31">
        <f>'Raw Data'!B18+'Raw Data'!B19+'Raw Data'!B20+'Raw Data'!B21</f>
        <v>4502636.1987639992</v>
      </c>
      <c r="D20" s="31">
        <f>'Raw Data'!C18+'Raw Data'!C19+'Raw Data'!C20+'Raw Data'!C21</f>
        <v>3926810.318611999</v>
      </c>
      <c r="E20" s="31">
        <f>'Raw Data'!D18+'Raw Data'!D19+'Raw Data'!D20+'Raw Data'!D21</f>
        <v>3454959.53</v>
      </c>
      <c r="F20" s="31">
        <f>'Raw Data'!E18+'Raw Data'!E19+'Raw Data'!E20+'Raw Data'!E21</f>
        <v>3178902.4400000004</v>
      </c>
      <c r="G20" s="106">
        <f>G21*G23</f>
        <v>4388936.0884346236</v>
      </c>
      <c r="H20" s="106">
        <f t="shared" ref="H20:K20" si="15">H21*H23</f>
        <v>4343218.4228018345</v>
      </c>
      <c r="I20" s="106">
        <f t="shared" si="15"/>
        <v>4161187.5950564444</v>
      </c>
      <c r="J20" s="106">
        <f t="shared" si="15"/>
        <v>4029667.6953790304</v>
      </c>
      <c r="K20" s="106">
        <f t="shared" si="15"/>
        <v>4400075.3903344963</v>
      </c>
    </row>
    <row r="21" spans="1:13" x14ac:dyDescent="0.35">
      <c r="A21" s="114" t="s">
        <v>29</v>
      </c>
      <c r="B21" s="31">
        <v>11440308.263594</v>
      </c>
      <c r="C21" s="31">
        <f>'Raw Data'!B27</f>
        <v>11299941.305395</v>
      </c>
      <c r="D21" s="31">
        <f>'Raw Data'!C27</f>
        <v>13917930.244400999</v>
      </c>
      <c r="E21" s="31">
        <f>'Raw Data'!D27</f>
        <v>17698795.729999997</v>
      </c>
      <c r="F21" s="31">
        <f>'Raw Data'!E27</f>
        <v>13309260.032114999</v>
      </c>
      <c r="G21" s="106">
        <f>F21*(1+G22)</f>
        <v>14117974.534396106</v>
      </c>
      <c r="H21" s="106">
        <f t="shared" ref="H21:K21" si="16">G21*(1+H22)</f>
        <v>15233598.011992836</v>
      </c>
      <c r="I21" s="106">
        <f t="shared" si="16"/>
        <v>15855988.910659861</v>
      </c>
      <c r="J21" s="106">
        <f t="shared" si="16"/>
        <v>15588926.535544148</v>
      </c>
      <c r="K21" s="106">
        <f t="shared" si="16"/>
        <v>16227286.280168049</v>
      </c>
    </row>
    <row r="22" spans="1:13" x14ac:dyDescent="0.35">
      <c r="A22" s="114" t="s">
        <v>255</v>
      </c>
      <c r="B22" s="119" t="s">
        <v>256</v>
      </c>
      <c r="C22" s="105">
        <f>(C21-B21)/B21</f>
        <v>-1.2269508387783895E-2</v>
      </c>
      <c r="D22" s="105">
        <f t="shared" ref="D22:F22" si="17">(D21-C21)/C21</f>
        <v>0.23168164048392681</v>
      </c>
      <c r="E22" s="105">
        <f t="shared" si="17"/>
        <v>0.27165429192461937</v>
      </c>
      <c r="F22" s="105">
        <f t="shared" si="17"/>
        <v>-0.24801324140063388</v>
      </c>
      <c r="G22" s="112">
        <f>AVERAGE(C22:F22)</f>
        <v>6.07632956550321E-2</v>
      </c>
      <c r="H22" s="112">
        <f t="shared" ref="H22:K22" si="18">AVERAGE(D22:G22)</f>
        <v>7.9021496665736116E-2</v>
      </c>
      <c r="I22" s="112">
        <f t="shared" si="18"/>
        <v>4.0856460711188425E-2</v>
      </c>
      <c r="J22" s="112">
        <f t="shared" si="18"/>
        <v>-1.6842997092169309E-2</v>
      </c>
      <c r="K22" s="112">
        <f t="shared" si="18"/>
        <v>4.0949563984946834E-2</v>
      </c>
    </row>
    <row r="23" spans="1:13" x14ac:dyDescent="0.35">
      <c r="A23" s="118" t="s">
        <v>254</v>
      </c>
      <c r="B23" s="105">
        <f>B20/B21</f>
        <v>0.4397153057468981</v>
      </c>
      <c r="C23" s="105">
        <f>C20/C21</f>
        <v>0.39846545013594703</v>
      </c>
      <c r="D23" s="105">
        <f>D20/D21</f>
        <v>0.28214039369766947</v>
      </c>
      <c r="E23" s="105">
        <f>E20/E21</f>
        <v>0.195208735255571</v>
      </c>
      <c r="F23" s="105">
        <f>F20/F21</f>
        <v>0.23884892415726849</v>
      </c>
      <c r="G23" s="112">
        <f>AVERAGE(B23:F23)</f>
        <v>0.31087576179867077</v>
      </c>
      <c r="H23" s="112">
        <f t="shared" ref="H23:K23" si="19">AVERAGE(C23:G23)</f>
        <v>0.28510785300902536</v>
      </c>
      <c r="I23" s="112">
        <f t="shared" si="19"/>
        <v>0.26243633358364105</v>
      </c>
      <c r="J23" s="112">
        <f t="shared" si="19"/>
        <v>0.25849552156083533</v>
      </c>
      <c r="K23" s="112">
        <f t="shared" si="19"/>
        <v>0.27115287882188821</v>
      </c>
    </row>
    <row r="24" spans="1:13" x14ac:dyDescent="0.35">
      <c r="A24" s="114" t="s">
        <v>228</v>
      </c>
      <c r="B24" s="105">
        <f>'FCF Forecast'!B19/Assumptions!B20</f>
        <v>0.10926364183374056</v>
      </c>
      <c r="C24" s="105">
        <f>'FCF Forecast'!C19/Assumptions!C20</f>
        <v>0.11926038147150461</v>
      </c>
      <c r="D24" s="105">
        <f>'FCF Forecast'!D19/Assumptions!D20</f>
        <v>0.13109916646571454</v>
      </c>
      <c r="E24" s="105">
        <f>'FCF Forecast'!E19/Assumptions!E20</f>
        <v>0.11673047585596466</v>
      </c>
      <c r="F24" s="105">
        <f>'FCF Forecast'!F19/Assumptions!F20</f>
        <v>0.12388917349778801</v>
      </c>
      <c r="G24" s="112">
        <f>AVERAGE(B24:F24)</f>
        <v>0.12004856782494248</v>
      </c>
      <c r="H24" s="112">
        <f>G24</f>
        <v>0.12004856782494248</v>
      </c>
      <c r="I24" s="112">
        <f t="shared" ref="I24:K24" si="20">H24</f>
        <v>0.12004856782494248</v>
      </c>
      <c r="J24" s="112">
        <f t="shared" si="20"/>
        <v>0.12004856782494248</v>
      </c>
      <c r="K24" s="112">
        <f t="shared" si="20"/>
        <v>0.12004856782494248</v>
      </c>
    </row>
    <row r="25" spans="1:13" x14ac:dyDescent="0.35">
      <c r="A25" s="114" t="s">
        <v>229</v>
      </c>
      <c r="B25" s="105">
        <f>'FCF Forecast'!B22/Assumptions!B20</f>
        <v>-1.6249016489229069E-2</v>
      </c>
      <c r="C25" s="105">
        <f>'FCF Forecast'!C22/Assumptions!C20</f>
        <v>-4.9224141552640002E-2</v>
      </c>
      <c r="D25" s="105">
        <f>'FCF Forecast'!D22/Assumptions!D20</f>
        <v>-1.9096836075215985E-2</v>
      </c>
      <c r="E25" s="105">
        <f>'FCF Forecast'!E22/Assumptions!E20</f>
        <v>-6.9422564263726713E-2</v>
      </c>
      <c r="F25" s="105">
        <f>'FCF Forecast'!F22/Assumptions!F20</f>
        <v>-5.2273819628199658E-2</v>
      </c>
      <c r="G25" s="112">
        <f>AVERAGE(B25:F25)</f>
        <v>-4.1253275601802288E-2</v>
      </c>
      <c r="H25" s="112">
        <f t="shared" ref="H25:K25" si="21">AVERAGE(C25:G25)</f>
        <v>-4.6254127424316935E-2</v>
      </c>
      <c r="I25" s="112">
        <f t="shared" si="21"/>
        <v>-4.5660124598652319E-2</v>
      </c>
      <c r="J25" s="112">
        <f t="shared" si="21"/>
        <v>-5.0972782303339584E-2</v>
      </c>
      <c r="K25" s="112">
        <f t="shared" si="21"/>
        <v>-4.728282591126215E-2</v>
      </c>
    </row>
    <row r="26" spans="1:13" x14ac:dyDescent="0.35">
      <c r="A26" s="115"/>
      <c r="B26" s="31"/>
      <c r="C26" s="31"/>
      <c r="D26" s="31"/>
      <c r="E26" s="31"/>
      <c r="F26" s="31"/>
      <c r="G26" s="106"/>
      <c r="H26" s="106"/>
      <c r="I26" s="106"/>
      <c r="J26" s="106"/>
      <c r="K26" s="106"/>
    </row>
    <row r="27" spans="1:13" x14ac:dyDescent="0.35">
      <c r="A27" s="113" t="s">
        <v>226</v>
      </c>
      <c r="B27" s="31"/>
      <c r="C27" s="31"/>
      <c r="D27" s="31"/>
      <c r="E27" s="31"/>
      <c r="F27" s="31"/>
      <c r="G27" s="106"/>
      <c r="H27" s="106"/>
      <c r="I27" s="106"/>
      <c r="J27" s="106"/>
      <c r="K27" s="106"/>
    </row>
    <row r="28" spans="1:13" x14ac:dyDescent="0.35">
      <c r="A28" s="115" t="s">
        <v>230</v>
      </c>
      <c r="B28" s="31">
        <f>_xlfn.DAYS(Analysis!$K$32,Analysis!$J$32)/('Raw Data'!B67/(('Raw Data'!B9+289371.734319)/2))</f>
        <v>14.815320464888886</v>
      </c>
      <c r="C28" s="31">
        <f>Analysis!B44</f>
        <v>11.841930730933518</v>
      </c>
      <c r="D28" s="31">
        <f>Analysis!C44</f>
        <v>9.2807377299433966</v>
      </c>
      <c r="E28" s="31">
        <f>Analysis!D44</f>
        <v>14.80185830453588</v>
      </c>
      <c r="F28" s="106">
        <f>AVERAGE(B28:E28)</f>
        <v>12.684961807575419</v>
      </c>
      <c r="G28" s="106">
        <f t="shared" ref="G28:K28" si="22">AVERAGE(C28:F28)</f>
        <v>12.152372143247053</v>
      </c>
      <c r="H28" s="106">
        <f t="shared" si="22"/>
        <v>12.229982496325437</v>
      </c>
      <c r="I28" s="106">
        <f t="shared" si="22"/>
        <v>12.967293687920947</v>
      </c>
      <c r="J28" s="106">
        <f t="shared" si="22"/>
        <v>12.508652533767215</v>
      </c>
      <c r="K28" s="106">
        <f t="shared" si="22"/>
        <v>12.464575215315165</v>
      </c>
    </row>
    <row r="29" spans="1:13" x14ac:dyDescent="0.35">
      <c r="A29" s="115" t="s">
        <v>231</v>
      </c>
      <c r="B29" s="31">
        <f>_xlfn.DAYS(Analysis!$K$32,Analysis!$J$32)/('Raw Data'!B68/(('Raw Data'!B10+1350638.678171)/2))</f>
        <v>85.289464253705532</v>
      </c>
      <c r="C29" s="31">
        <f>Analysis!B46</f>
        <v>96.806550133176017</v>
      </c>
      <c r="D29" s="31">
        <f>Analysis!C46</f>
        <v>112.43671982907483</v>
      </c>
      <c r="E29" s="31">
        <f>Analysis!D46</f>
        <v>88.548279899973778</v>
      </c>
      <c r="F29" s="106">
        <f>AVERAGE(B29:E29)</f>
        <v>95.770253528982551</v>
      </c>
      <c r="G29" s="106">
        <f t="shared" ref="G29" si="23">AVERAGE(C29:F29)</f>
        <v>98.390450847801802</v>
      </c>
      <c r="H29" s="106">
        <f t="shared" ref="H29" si="24">AVERAGE(D29:G29)</f>
        <v>98.786426026458244</v>
      </c>
      <c r="I29" s="106">
        <f t="shared" ref="I29" si="25">AVERAGE(E29:H29)</f>
        <v>95.373852575804094</v>
      </c>
      <c r="J29" s="106">
        <f t="shared" ref="J29" si="26">AVERAGE(F29:I29)</f>
        <v>97.080245744761669</v>
      </c>
      <c r="K29" s="106">
        <f t="shared" ref="K29" si="27">AVERAGE(G29:J29)</f>
        <v>97.407743798706449</v>
      </c>
    </row>
    <row r="30" spans="1:13" x14ac:dyDescent="0.35">
      <c r="A30" s="115" t="s">
        <v>241</v>
      </c>
      <c r="B30" s="120">
        <f>('Raw Data'!B8+'Raw Data'!B11)/'FCF Forecast'!B6</f>
        <v>0.31898099611133529</v>
      </c>
      <c r="C30" s="120">
        <f>('Raw Data'!C8+'Raw Data'!C11)/'FCF Forecast'!C6</f>
        <v>0.29180060773979954</v>
      </c>
      <c r="D30" s="120">
        <f>('Raw Data'!D8+'Raw Data'!D11)/'FCF Forecast'!D6</f>
        <v>0.38466912357679389</v>
      </c>
      <c r="E30" s="120">
        <f>('Raw Data'!E8+'Raw Data'!E11)/'FCF Forecast'!E6</f>
        <v>0.4252642438630318</v>
      </c>
      <c r="F30" s="104">
        <f>AVERAGE(B30:E30)</f>
        <v>0.35517874282274015</v>
      </c>
      <c r="G30" s="104">
        <f>F30</f>
        <v>0.35517874282274015</v>
      </c>
      <c r="H30" s="104">
        <f>G30</f>
        <v>0.35517874282274015</v>
      </c>
      <c r="I30" s="104">
        <f t="shared" ref="I30:K30" si="28">H30</f>
        <v>0.35517874282274015</v>
      </c>
      <c r="J30" s="104">
        <f t="shared" si="28"/>
        <v>0.35517874282274015</v>
      </c>
      <c r="K30" s="104">
        <f t="shared" si="28"/>
        <v>0.35517874282274015</v>
      </c>
    </row>
    <row r="31" spans="1:13" x14ac:dyDescent="0.35">
      <c r="A31" s="115"/>
      <c r="B31" s="31"/>
      <c r="C31" s="31"/>
      <c r="D31" s="31"/>
      <c r="E31" s="31"/>
      <c r="F31" s="106"/>
      <c r="G31" s="106"/>
      <c r="H31" s="106"/>
      <c r="I31" s="106"/>
      <c r="J31" s="106"/>
      <c r="K31" s="106"/>
    </row>
    <row r="32" spans="1:13" x14ac:dyDescent="0.35">
      <c r="A32" s="115" t="s">
        <v>232</v>
      </c>
      <c r="B32" s="31">
        <f>_xlfn.DAYS(Analysis!$K$32,Analysis!$J$32)/(('Raw Data'!B68+'Raw Data'!B10-1350638.678171)/(('Raw Data'!B30+478565.168169)/2))</f>
        <v>27.641543732955178</v>
      </c>
      <c r="C32" s="31">
        <f>Analysis!B48</f>
        <v>24.004370246700081</v>
      </c>
      <c r="D32" s="31">
        <f>Analysis!C48</f>
        <v>25.189251721330542</v>
      </c>
      <c r="E32" s="31">
        <f>Analysis!D48</f>
        <v>30.013052365264731</v>
      </c>
      <c r="F32" s="106">
        <f>AVERAGE(B32:E32)</f>
        <v>26.712054516562635</v>
      </c>
      <c r="G32" s="106">
        <f t="shared" ref="G32:K32" si="29">AVERAGE(C32:F32)</f>
        <v>26.479682212464496</v>
      </c>
      <c r="H32" s="106">
        <f t="shared" si="29"/>
        <v>27.098510203905601</v>
      </c>
      <c r="I32" s="106">
        <f t="shared" si="29"/>
        <v>27.575824824549368</v>
      </c>
      <c r="J32" s="106">
        <f t="shared" si="29"/>
        <v>26.966517939370526</v>
      </c>
      <c r="K32" s="106">
        <f t="shared" si="29"/>
        <v>27.030133795072501</v>
      </c>
      <c r="M32" s="120"/>
    </row>
    <row r="33" spans="1:13" x14ac:dyDescent="0.35">
      <c r="A33" s="114" t="s">
        <v>242</v>
      </c>
      <c r="B33" s="105">
        <f>'Raw Data'!B31/'FCF Forecast'!B6</f>
        <v>1.5840426448734596E-2</v>
      </c>
      <c r="C33" s="105">
        <f>'Raw Data'!C31/'FCF Forecast'!C6</f>
        <v>9.7209108276251951E-3</v>
      </c>
      <c r="D33" s="105">
        <f>'Raw Data'!D31/'FCF Forecast'!D6</f>
        <v>3.860593055921905E-3</v>
      </c>
      <c r="E33" s="105">
        <f>'Raw Data'!E31/'FCF Forecast'!E6</f>
        <v>9.1613722737280412E-3</v>
      </c>
      <c r="F33" s="112">
        <f>AVERAGE(B33:E33)</f>
        <v>9.6458256515024356E-3</v>
      </c>
      <c r="G33" s="112">
        <f>F33</f>
        <v>9.6458256515024356E-3</v>
      </c>
      <c r="H33" s="112">
        <f>G33</f>
        <v>9.6458256515024356E-3</v>
      </c>
      <c r="I33" s="112">
        <f t="shared" ref="I33:K33" si="30">H33</f>
        <v>9.6458256515024356E-3</v>
      </c>
      <c r="J33" s="112">
        <f t="shared" si="30"/>
        <v>9.6458256515024356E-3</v>
      </c>
      <c r="K33" s="112">
        <f t="shared" si="30"/>
        <v>9.6458256515024356E-3</v>
      </c>
      <c r="L33" s="120"/>
      <c r="M33" s="120"/>
    </row>
    <row r="34" spans="1:13" x14ac:dyDescent="0.35">
      <c r="A34" s="114" t="s">
        <v>243</v>
      </c>
      <c r="B34" s="105">
        <f>'Raw Data'!B32/'FCF Forecast'!B6</f>
        <v>2.1082221620562202E-6</v>
      </c>
      <c r="C34" s="105">
        <f>'Raw Data'!C32/'FCF Forecast'!C6</f>
        <v>1.4219942299286838E-6</v>
      </c>
      <c r="D34" s="105">
        <f>'Raw Data'!D32/'FCF Forecast'!D6</f>
        <v>9.7599316937906053E-7</v>
      </c>
      <c r="E34" s="105">
        <f>'Raw Data'!E32/'FCF Forecast'!E6</f>
        <v>1.3398003861914919E-6</v>
      </c>
      <c r="F34" s="112">
        <f>AVERAGE(B34:E34)</f>
        <v>1.4615024868888641E-6</v>
      </c>
      <c r="G34" s="112">
        <f t="shared" ref="G34:K34" si="31">AVERAGE(C34:F34)</f>
        <v>1.299822568097025E-6</v>
      </c>
      <c r="H34" s="112">
        <f t="shared" si="31"/>
        <v>1.2692796526391102E-6</v>
      </c>
      <c r="I34" s="112">
        <f t="shared" si="31"/>
        <v>1.3426012734541227E-6</v>
      </c>
      <c r="J34" s="112">
        <f t="shared" si="31"/>
        <v>1.3433014952697806E-6</v>
      </c>
      <c r="K34" s="112">
        <f t="shared" si="31"/>
        <v>1.3137512473650097E-6</v>
      </c>
      <c r="L34" s="120"/>
      <c r="M34" s="120"/>
    </row>
    <row r="35" spans="1:13" x14ac:dyDescent="0.35">
      <c r="A35" s="114" t="s">
        <v>244</v>
      </c>
      <c r="B35" s="105">
        <f>'Raw Data'!B33/'FCF Forecast'!B$6</f>
        <v>5.8855145162300497E-2</v>
      </c>
      <c r="C35" s="105">
        <f>'Raw Data'!C33/'FCF Forecast'!C$6</f>
        <v>2.6425786225767522E-2</v>
      </c>
      <c r="D35" s="105">
        <f>'Raw Data'!D33/'FCF Forecast'!D$6</f>
        <v>4.3086111995259038E-2</v>
      </c>
      <c r="E35" s="105">
        <f>'Raw Data'!E33/'FCF Forecast'!E$6</f>
        <v>1.7651381481001375E-2</v>
      </c>
      <c r="F35" s="112">
        <f>AVERAGE(B35:E35)</f>
        <v>3.6504606216082106E-2</v>
      </c>
      <c r="G35" s="112">
        <f t="shared" ref="G35:K35" si="32">AVERAGE(C35:F35)</f>
        <v>3.0916971479527509E-2</v>
      </c>
      <c r="H35" s="112">
        <f t="shared" si="32"/>
        <v>3.2039767792967508E-2</v>
      </c>
      <c r="I35" s="112">
        <f t="shared" si="32"/>
        <v>2.9278181742394622E-2</v>
      </c>
      <c r="J35" s="112">
        <f t="shared" si="32"/>
        <v>3.2184881807742934E-2</v>
      </c>
      <c r="K35" s="112">
        <f t="shared" si="32"/>
        <v>3.1104950705658142E-2</v>
      </c>
      <c r="L35" s="120"/>
      <c r="M35" s="120"/>
    </row>
    <row r="36" spans="1:13" x14ac:dyDescent="0.35">
      <c r="A36" s="114" t="s">
        <v>245</v>
      </c>
      <c r="B36" s="105">
        <f>'Raw Data'!B34/'FCF Forecast'!B$6</f>
        <v>2.4591113046469645E-2</v>
      </c>
      <c r="C36" s="105">
        <f>'Raw Data'!C34/'FCF Forecast'!C$6</f>
        <v>1.5652401079620265E-2</v>
      </c>
      <c r="D36" s="105">
        <f>'Raw Data'!D34/'FCF Forecast'!D$6</f>
        <v>1.0846702772143831E-2</v>
      </c>
      <c r="E36" s="105">
        <f>'Raw Data'!E34/'FCF Forecast'!E$6</f>
        <v>0</v>
      </c>
      <c r="F36" s="112">
        <f>AVERAGE(B36:E36)</f>
        <v>1.2772554224558436E-2</v>
      </c>
      <c r="G36" s="112">
        <f>F36</f>
        <v>1.2772554224558436E-2</v>
      </c>
      <c r="H36" s="112">
        <f t="shared" ref="H36:K36" si="33">G36</f>
        <v>1.2772554224558436E-2</v>
      </c>
      <c r="I36" s="112">
        <f t="shared" si="33"/>
        <v>1.2772554224558436E-2</v>
      </c>
      <c r="J36" s="112">
        <f t="shared" si="33"/>
        <v>1.2772554224558436E-2</v>
      </c>
      <c r="K36" s="112">
        <f t="shared" si="33"/>
        <v>1.2772554224558436E-2</v>
      </c>
      <c r="L36" s="120"/>
      <c r="M36" s="120"/>
    </row>
    <row r="37" spans="1:13" x14ac:dyDescent="0.35">
      <c r="A37" s="114" t="s">
        <v>246</v>
      </c>
      <c r="B37" s="105">
        <f>'Raw Data'!B37/'FCF Forecast'!B$6</f>
        <v>7.5773373075769396E-3</v>
      </c>
      <c r="C37" s="105">
        <f>'Raw Data'!C37/'FCF Forecast'!C$6</f>
        <v>3.0474857171810116E-2</v>
      </c>
      <c r="D37" s="105">
        <f>'Raw Data'!D37/'FCF Forecast'!D$6</f>
        <v>1.5938133268887999E-2</v>
      </c>
      <c r="E37" s="105">
        <f>'Raw Data'!E37/'FCF Forecast'!E$6</f>
        <v>4.5154663048633739E-4</v>
      </c>
      <c r="F37" s="112">
        <f t="shared" ref="F37:F39" si="34">AVERAGE(B37:E37)</f>
        <v>1.361046859469035E-2</v>
      </c>
      <c r="G37" s="112">
        <f>AVERAGE(B37:F37)</f>
        <v>1.361046859469035E-2</v>
      </c>
      <c r="H37" s="112">
        <f>G37</f>
        <v>1.361046859469035E-2</v>
      </c>
      <c r="I37" s="112">
        <f t="shared" ref="I37:K37" si="35">H37</f>
        <v>1.361046859469035E-2</v>
      </c>
      <c r="J37" s="112">
        <f t="shared" si="35"/>
        <v>1.361046859469035E-2</v>
      </c>
      <c r="K37" s="112">
        <f t="shared" si="35"/>
        <v>1.361046859469035E-2</v>
      </c>
      <c r="L37" s="120"/>
      <c r="M37" s="120"/>
    </row>
    <row r="38" spans="1:13" x14ac:dyDescent="0.35">
      <c r="A38" s="114" t="s">
        <v>247</v>
      </c>
      <c r="B38" s="105">
        <f>'Raw Data'!B38/'FCF Forecast'!B$6</f>
        <v>1.7221643486929422E-2</v>
      </c>
      <c r="C38" s="105">
        <f>'Raw Data'!C38/'FCF Forecast'!C$6</f>
        <v>1.3597603815559058E-2</v>
      </c>
      <c r="D38" s="105">
        <f>'Raw Data'!D38/'FCF Forecast'!D$6</f>
        <v>1.1771353761794213E-2</v>
      </c>
      <c r="E38" s="105">
        <f>'Raw Data'!E38/'FCF Forecast'!E$6</f>
        <v>1.212291038084355E-2</v>
      </c>
      <c r="F38" s="112">
        <f t="shared" si="34"/>
        <v>1.3678377861281562E-2</v>
      </c>
      <c r="G38" s="112">
        <f t="shared" ref="G38:G39" si="36">AVERAGE(B38:F38)</f>
        <v>1.3678377861281562E-2</v>
      </c>
      <c r="H38" s="112">
        <f t="shared" ref="H38:K38" si="37">G38</f>
        <v>1.3678377861281562E-2</v>
      </c>
      <c r="I38" s="112">
        <f t="shared" si="37"/>
        <v>1.3678377861281562E-2</v>
      </c>
      <c r="J38" s="112">
        <f t="shared" si="37"/>
        <v>1.3678377861281562E-2</v>
      </c>
      <c r="K38" s="112">
        <f t="shared" si="37"/>
        <v>1.3678377861281562E-2</v>
      </c>
      <c r="L38" s="120"/>
      <c r="M38" s="120"/>
    </row>
    <row r="39" spans="1:13" x14ac:dyDescent="0.35">
      <c r="A39" s="114" t="s">
        <v>248</v>
      </c>
      <c r="B39" s="105">
        <f>'Raw Data'!B39/'FCF Forecast'!B$6</f>
        <v>1.8358994058457888E-2</v>
      </c>
      <c r="C39" s="105">
        <f>'Raw Data'!C39/'FCF Forecast'!C$6</f>
        <v>1.048768628135611E-2</v>
      </c>
      <c r="D39" s="105">
        <f>'Raw Data'!D39/'FCF Forecast'!D$6</f>
        <v>8.5023999271409429E-3</v>
      </c>
      <c r="E39" s="105">
        <f>'Raw Data'!E39/'FCF Forecast'!E$6</f>
        <v>1.2779246532108731E-2</v>
      </c>
      <c r="F39" s="112">
        <f t="shared" si="34"/>
        <v>1.2532081699765918E-2</v>
      </c>
      <c r="G39" s="112">
        <f t="shared" si="36"/>
        <v>1.2532081699765918E-2</v>
      </c>
      <c r="H39" s="112">
        <f t="shared" ref="H39:K39" si="38">G39</f>
        <v>1.2532081699765918E-2</v>
      </c>
      <c r="I39" s="112">
        <f t="shared" si="38"/>
        <v>1.2532081699765918E-2</v>
      </c>
      <c r="J39" s="112">
        <f t="shared" si="38"/>
        <v>1.2532081699765918E-2</v>
      </c>
      <c r="K39" s="112">
        <f t="shared" si="38"/>
        <v>1.2532081699765918E-2</v>
      </c>
      <c r="L39" s="120"/>
    </row>
    <row r="40" spans="1:13" x14ac:dyDescent="0.35">
      <c r="A40" s="115"/>
      <c r="B40" s="31"/>
      <c r="C40" s="31"/>
      <c r="D40" s="31"/>
      <c r="E40" s="31"/>
      <c r="F40" s="31"/>
      <c r="G40" s="106"/>
      <c r="H40" s="106"/>
      <c r="I40" s="106"/>
      <c r="J40" s="106"/>
      <c r="K40" s="106"/>
    </row>
    <row r="41" spans="1:13" x14ac:dyDescent="0.35">
      <c r="A41" s="113" t="s">
        <v>227</v>
      </c>
      <c r="B41" s="31"/>
      <c r="C41" s="31"/>
      <c r="D41" s="31"/>
      <c r="E41" s="31"/>
      <c r="F41" s="31"/>
      <c r="G41" s="106"/>
      <c r="H41" s="106"/>
      <c r="I41" s="106"/>
      <c r="J41" s="106"/>
      <c r="K41" s="106"/>
    </row>
    <row r="42" spans="1:13" x14ac:dyDescent="0.35">
      <c r="A42" s="115" t="s">
        <v>249</v>
      </c>
      <c r="B42" s="105">
        <f>'FCF Forecast'!B20/'FCF Forecast'!B6</f>
        <v>2.5050542303796483E-2</v>
      </c>
      <c r="C42" s="105">
        <f>'FCF Forecast'!C20/'FCF Forecast'!C6</f>
        <v>2.8187338005260681E-3</v>
      </c>
      <c r="D42" s="105">
        <f>'FCF Forecast'!D20/'FCF Forecast'!D6</f>
        <v>1.7682446539814926E-2</v>
      </c>
      <c r="E42" s="105">
        <f>'FCF Forecast'!E20/'FCF Forecast'!E6</f>
        <v>-2.6870006269912063E-2</v>
      </c>
      <c r="F42" s="105">
        <f>'FCF Forecast'!F20/'FCF Forecast'!F6</f>
        <v>1.7866480142502864E-2</v>
      </c>
      <c r="G42" s="112">
        <f>AVERAGE(B42:F42)</f>
        <v>7.3096393033456565E-3</v>
      </c>
      <c r="H42" s="112">
        <f>G42</f>
        <v>7.3096393033456565E-3</v>
      </c>
      <c r="I42" s="112">
        <f t="shared" ref="I42:K42" si="39">H42</f>
        <v>7.3096393033456565E-3</v>
      </c>
      <c r="J42" s="112">
        <f t="shared" si="39"/>
        <v>7.3096393033456565E-3</v>
      </c>
      <c r="K42" s="112">
        <f t="shared" si="39"/>
        <v>7.3096393033456565E-3</v>
      </c>
    </row>
    <row r="43" spans="1:13" x14ac:dyDescent="0.35">
      <c r="A43" s="115"/>
      <c r="B43" s="31"/>
      <c r="C43" s="31"/>
      <c r="D43" s="31"/>
      <c r="E43" s="31"/>
      <c r="F43" s="31"/>
      <c r="G43" s="106"/>
      <c r="H43" s="106"/>
      <c r="I43" s="106"/>
      <c r="J43" s="106"/>
      <c r="K43" s="106"/>
    </row>
    <row r="44" spans="1:13" x14ac:dyDescent="0.35">
      <c r="A44" s="113" t="s">
        <v>1084</v>
      </c>
      <c r="B44" s="31"/>
      <c r="C44" s="31"/>
      <c r="D44" s="31"/>
      <c r="E44" s="31"/>
      <c r="F44" s="31"/>
      <c r="G44" s="106"/>
      <c r="H44" s="106"/>
      <c r="I44" s="106"/>
      <c r="J44" s="106"/>
      <c r="K44" s="106"/>
    </row>
    <row r="45" spans="1:13" x14ac:dyDescent="0.35">
      <c r="A45" s="114" t="s">
        <v>1085</v>
      </c>
      <c r="B45" s="105">
        <f>'Raw Data'!B84/'Raw Data'!B82</f>
        <v>0.98530259731082881</v>
      </c>
      <c r="C45" s="105">
        <f>'Raw Data'!C84/'Raw Data'!C82</f>
        <v>0.98285283715918015</v>
      </c>
      <c r="D45" s="105">
        <f>'Raw Data'!D84/'Raw Data'!D82</f>
        <v>0.99641641936714154</v>
      </c>
      <c r="E45" s="105">
        <f>'Raw Data'!E84/'Raw Data'!E82</f>
        <v>0.98046427019477345</v>
      </c>
      <c r="F45" s="112">
        <f>AVERAGE(B45:E45)</f>
        <v>0.98625903100798107</v>
      </c>
      <c r="G45" s="112">
        <f>F45</f>
        <v>0.98625903100798107</v>
      </c>
      <c r="H45" s="112">
        <f t="shared" ref="H45:K47" si="40">G45</f>
        <v>0.98625903100798107</v>
      </c>
      <c r="I45" s="112">
        <f t="shared" si="40"/>
        <v>0.98625903100798107</v>
      </c>
      <c r="J45" s="112">
        <f t="shared" si="40"/>
        <v>0.98625903100798107</v>
      </c>
      <c r="K45" s="112">
        <f t="shared" si="40"/>
        <v>0.98625903100798107</v>
      </c>
    </row>
    <row r="46" spans="1:13" x14ac:dyDescent="0.35">
      <c r="A46" s="114" t="s">
        <v>1088</v>
      </c>
      <c r="B46" s="105">
        <f>'Raw Data'!B7/'Raw Data'!B67</f>
        <v>0.26143339450745212</v>
      </c>
      <c r="C46" s="105">
        <f>'Raw Data'!C7/'Raw Data'!C67</f>
        <v>0.19741024870571452</v>
      </c>
      <c r="D46" s="105">
        <f>'Raw Data'!D7/'Raw Data'!D67</f>
        <v>0.11187099179712263</v>
      </c>
      <c r="E46" s="105">
        <f>'Raw Data'!E7/'Raw Data'!E67</f>
        <v>9.1498591443460495E-2</v>
      </c>
      <c r="F46" s="112">
        <v>5.9778290061310975E-2</v>
      </c>
      <c r="G46" s="112">
        <v>4.1208417864608264E-2</v>
      </c>
      <c r="H46" s="112">
        <v>2.8407197682678669E-2</v>
      </c>
      <c r="I46" s="112">
        <v>0.02</v>
      </c>
      <c r="J46" s="112">
        <f t="shared" si="40"/>
        <v>0.02</v>
      </c>
      <c r="K46" s="112">
        <f t="shared" si="40"/>
        <v>0.02</v>
      </c>
      <c r="M46" t="s">
        <v>1090</v>
      </c>
    </row>
    <row r="47" spans="1:13" ht="15" thickBot="1" x14ac:dyDescent="0.4">
      <c r="A47" s="124" t="s">
        <v>1089</v>
      </c>
      <c r="B47" s="105"/>
      <c r="C47" s="105">
        <f>('Raw Data'!C49-'Raw Data'!B49)/'Raw Data'!B49</f>
        <v>0.15726210569136023</v>
      </c>
      <c r="D47" s="105">
        <f>('Raw Data'!D49-'Raw Data'!C49)/'Raw Data'!C49</f>
        <v>0.18090788471063712</v>
      </c>
      <c r="E47" s="105">
        <f>('Raw Data'!E49-'Raw Data'!D49)/'Raw Data'!D49</f>
        <v>-0.48577168860465969</v>
      </c>
      <c r="F47" s="105">
        <f>('2024FinalKeyData'!E59-'Raw Data'!E49)/'Raw Data'!E49</f>
        <v>0.71953435429500245</v>
      </c>
      <c r="G47" s="112">
        <f>MEDIAN(C47:F47)</f>
        <v>0.16908499520099868</v>
      </c>
      <c r="H47" s="112">
        <f>G47</f>
        <v>0.16908499520099868</v>
      </c>
      <c r="I47" s="112">
        <f t="shared" si="40"/>
        <v>0.16908499520099868</v>
      </c>
      <c r="J47" s="112">
        <f t="shared" si="40"/>
        <v>0.16908499520099868</v>
      </c>
      <c r="K47" s="112">
        <f t="shared" si="40"/>
        <v>0.16908499520099868</v>
      </c>
    </row>
    <row r="49" spans="1:24" x14ac:dyDescent="0.35">
      <c r="A49" s="154"/>
      <c r="B49" s="105"/>
      <c r="C49" s="105"/>
      <c r="D49" s="105"/>
      <c r="E49" s="105"/>
      <c r="F49" s="105"/>
    </row>
    <row r="53" spans="1:24" ht="15" thickBot="1" x14ac:dyDescent="0.4"/>
    <row r="54" spans="1:24" x14ac:dyDescent="0.35">
      <c r="A54" s="116" t="s">
        <v>295</v>
      </c>
    </row>
    <row r="55" spans="1:24" x14ac:dyDescent="0.35">
      <c r="A55" s="114" t="s">
        <v>290</v>
      </c>
      <c r="B55" s="106">
        <f>'Raw Data'!E60</f>
        <v>11545199.75825</v>
      </c>
      <c r="N55" s="31"/>
      <c r="O55" s="31"/>
      <c r="P55" s="31"/>
    </row>
    <row r="56" spans="1:24" x14ac:dyDescent="0.35">
      <c r="A56" s="114" t="s">
        <v>291</v>
      </c>
      <c r="B56" s="106">
        <f>'Raw Data'!E49</f>
        <v>3240377.2040000004</v>
      </c>
      <c r="Q56" s="31"/>
      <c r="R56" s="31"/>
      <c r="S56" s="31"/>
      <c r="T56" s="31"/>
      <c r="U56" s="31"/>
      <c r="V56" s="31"/>
      <c r="W56" s="31"/>
      <c r="X56" s="31"/>
    </row>
    <row r="57" spans="1:24" x14ac:dyDescent="0.35">
      <c r="A57" s="114" t="s">
        <v>292</v>
      </c>
      <c r="B57" s="106">
        <f>SUM(B55:B56)</f>
        <v>14785576.96225</v>
      </c>
    </row>
    <row r="58" spans="1:24" x14ac:dyDescent="0.35">
      <c r="A58" s="114" t="s">
        <v>296</v>
      </c>
      <c r="B58" s="106">
        <f>B55/B57</f>
        <v>0.78084201838905487</v>
      </c>
    </row>
    <row r="59" spans="1:24" x14ac:dyDescent="0.35">
      <c r="A59" s="114" t="s">
        <v>297</v>
      </c>
      <c r="B59" s="106">
        <f>B56/B57</f>
        <v>0.21915798161094519</v>
      </c>
    </row>
    <row r="60" spans="1:24" x14ac:dyDescent="0.35">
      <c r="A60" s="114"/>
      <c r="B60" s="31"/>
    </row>
    <row r="61" spans="1:24" x14ac:dyDescent="0.35">
      <c r="A61" s="114" t="s">
        <v>293</v>
      </c>
      <c r="B61" s="112">
        <f>B62+B63*B64</f>
        <v>0.19862326646818648</v>
      </c>
    </row>
    <row r="62" spans="1:24" x14ac:dyDescent="0.35">
      <c r="A62" s="114" t="s">
        <v>305</v>
      </c>
      <c r="B62" s="112">
        <v>2.8593E-2</v>
      </c>
    </row>
    <row r="63" spans="1:24" x14ac:dyDescent="0.35">
      <c r="A63" s="114" t="s">
        <v>306</v>
      </c>
      <c r="B63" s="106">
        <f>'Beta&amp;MarkPrem'!G6</f>
        <v>1.0840736818697205</v>
      </c>
    </row>
    <row r="64" spans="1:24" x14ac:dyDescent="0.35">
      <c r="A64" s="114" t="s">
        <v>307</v>
      </c>
      <c r="B64" s="112">
        <f>'Beta&amp;MarkPrem'!N26-B62</f>
        <v>0.15684382834101493</v>
      </c>
    </row>
    <row r="65" spans="1:2" x14ac:dyDescent="0.35">
      <c r="A65" s="114"/>
      <c r="B65" s="31"/>
    </row>
    <row r="66" spans="1:2" x14ac:dyDescent="0.35">
      <c r="A66" s="114" t="s">
        <v>298</v>
      </c>
      <c r="B66" s="112">
        <f>('Raw Data'!E75-25736.073137)/(AVERAGE('Raw Data'!D34:E34)+AVERAGE('Raw Data'!D43:E43))</f>
        <v>7.0429612090003035E-2</v>
      </c>
    </row>
    <row r="67" spans="1:2" x14ac:dyDescent="0.35">
      <c r="A67" s="114" t="s">
        <v>299</v>
      </c>
      <c r="B67" s="112">
        <f>B66*(1-B68)</f>
        <v>5.4003773511376543E-2</v>
      </c>
    </row>
    <row r="68" spans="1:2" x14ac:dyDescent="0.35">
      <c r="A68" s="114" t="s">
        <v>294</v>
      </c>
      <c r="B68" s="123">
        <f>E17</f>
        <v>0.23322347079855665</v>
      </c>
    </row>
    <row r="69" spans="1:2" x14ac:dyDescent="0.35">
      <c r="A69" s="114"/>
    </row>
    <row r="70" spans="1:2" ht="15" thickBot="1" x14ac:dyDescent="0.4">
      <c r="A70" s="138" t="s">
        <v>1073</v>
      </c>
      <c r="B70" s="112">
        <f>B67*B59+B58*B61</f>
        <v>0.16692875029017371</v>
      </c>
    </row>
  </sheetData>
  <sheetProtection algorithmName="SHA-512" hashValue="CaNYYRIKmA6HOcc/if7ka4BK+S3BFyt/eDpvcEESazvj0r/zA6J6XcdxNvbrYx6Z0bf9A/o//sEFcCf/BkZgIw==" saltValue="C+Y2dGphVnZXqzzbQDzlzA==" spinCount="100000" sheet="1" objects="1" scenarios="1"/>
  <hyperlinks>
    <hyperlink ref="F6" location="'2024FinalKeyData'!A1" display="2024F" xr:uid="{EB1D90A0-1C49-4584-BFB9-D5BCDB606E9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6F013-6C8C-4C25-8759-A7EA15C2F296}">
  <dimension ref="A1:N1236"/>
  <sheetViews>
    <sheetView topLeftCell="D1" zoomScaleNormal="100" workbookViewId="0">
      <selection activeCell="L26" sqref="L26:M26"/>
    </sheetView>
  </sheetViews>
  <sheetFormatPr defaultRowHeight="14.5" x14ac:dyDescent="0.35"/>
  <cols>
    <col min="1" max="1" width="36.6328125" style="133" customWidth="1"/>
    <col min="2" max="2" width="27.6328125" customWidth="1"/>
    <col min="3" max="3" width="28" customWidth="1"/>
    <col min="4" max="4" width="17.90625" customWidth="1"/>
    <col min="5" max="5" width="9.26953125" customWidth="1"/>
    <col min="6" max="6" width="14.36328125" customWidth="1"/>
    <col min="7" max="7" width="11.36328125" customWidth="1"/>
    <col min="8" max="10" width="8.81640625" customWidth="1"/>
    <col min="11" max="11" width="7.6328125" customWidth="1"/>
    <col min="12" max="12" width="32.26953125" customWidth="1"/>
    <col min="13" max="13" width="20" customWidth="1"/>
    <col min="14" max="14" width="11.36328125" customWidth="1"/>
  </cols>
  <sheetData>
    <row r="1" spans="1:14" x14ac:dyDescent="0.35">
      <c r="A1" s="132" t="s">
        <v>0</v>
      </c>
      <c r="B1" s="1"/>
      <c r="C1" s="2"/>
      <c r="D1" s="2"/>
      <c r="E1" s="2"/>
    </row>
    <row r="2" spans="1:14" x14ac:dyDescent="0.35">
      <c r="A2" s="132" t="s">
        <v>1</v>
      </c>
      <c r="B2" s="1"/>
      <c r="C2" s="2" t="s">
        <v>2</v>
      </c>
      <c r="D2" s="36"/>
      <c r="E2" s="2"/>
    </row>
    <row r="4" spans="1:14" ht="15" thickBot="1" x14ac:dyDescent="0.4"/>
    <row r="5" spans="1:14" x14ac:dyDescent="0.35">
      <c r="A5" s="134" t="s">
        <v>323</v>
      </c>
      <c r="L5" s="134" t="s">
        <v>1075</v>
      </c>
    </row>
    <row r="6" spans="1:14" x14ac:dyDescent="0.35">
      <c r="A6" s="135" t="s">
        <v>173</v>
      </c>
      <c r="B6" s="97" t="s">
        <v>762</v>
      </c>
      <c r="C6" s="97" t="s">
        <v>763</v>
      </c>
      <c r="F6" s="97" t="s">
        <v>1071</v>
      </c>
      <c r="G6" s="137">
        <f>_xlfn.COVARIANCE.S(B7:B1236,C7:C1236)/_xlfn.VAR.S(C7:C1236)</f>
        <v>1.0840736818697205</v>
      </c>
      <c r="L6" s="135" t="s">
        <v>127</v>
      </c>
      <c r="M6" s="97" t="s">
        <v>1076</v>
      </c>
      <c r="N6" s="97" t="s">
        <v>1078</v>
      </c>
    </row>
    <row r="7" spans="1:14" x14ac:dyDescent="0.35">
      <c r="A7" s="136">
        <v>45638</v>
      </c>
      <c r="B7" s="120">
        <v>-2.8E-3</v>
      </c>
      <c r="C7" s="120">
        <v>3.8999999999999998E-3</v>
      </c>
      <c r="E7" s="25"/>
      <c r="F7" s="121"/>
      <c r="L7" s="139">
        <v>2006</v>
      </c>
      <c r="M7" s="140">
        <v>312.32</v>
      </c>
      <c r="N7" s="121"/>
    </row>
    <row r="8" spans="1:14" x14ac:dyDescent="0.35">
      <c r="A8" s="136">
        <v>45608</v>
      </c>
      <c r="B8" s="120">
        <v>-7.0000000000000001E-3</v>
      </c>
      <c r="C8" s="120">
        <v>-2.5000000000000001E-3</v>
      </c>
      <c r="E8" s="25"/>
      <c r="L8" s="139">
        <v>2007</v>
      </c>
      <c r="M8" s="140">
        <v>1041.33</v>
      </c>
      <c r="N8" s="121">
        <f>(M8-M7)/M7</f>
        <v>2.3341764856557377</v>
      </c>
    </row>
    <row r="9" spans="1:14" x14ac:dyDescent="0.35">
      <c r="A9" s="136">
        <v>45577</v>
      </c>
      <c r="B9" s="120">
        <v>-6.8999999999999999E-3</v>
      </c>
      <c r="C9" s="120">
        <v>-1.4E-3</v>
      </c>
      <c r="E9" s="25"/>
      <c r="L9" s="139">
        <v>2008</v>
      </c>
      <c r="M9" s="140">
        <v>844.11</v>
      </c>
      <c r="N9" s="121">
        <f t="shared" ref="N9:N13" si="0">(M9-M8)/M8</f>
        <v>-0.18939241162743792</v>
      </c>
    </row>
    <row r="10" spans="1:14" x14ac:dyDescent="0.35">
      <c r="A10" s="136">
        <v>45547</v>
      </c>
      <c r="B10" s="120">
        <v>-9.5999999999999992E-3</v>
      </c>
      <c r="C10" s="120">
        <v>2.8999999999999998E-3</v>
      </c>
      <c r="E10" s="25"/>
      <c r="L10" s="139">
        <v>2009</v>
      </c>
      <c r="M10" s="140">
        <v>303.20999999999998</v>
      </c>
      <c r="N10" s="121">
        <f t="shared" si="0"/>
        <v>-0.64079326154174232</v>
      </c>
    </row>
    <row r="11" spans="1:14" x14ac:dyDescent="0.35">
      <c r="A11" s="136">
        <v>45455</v>
      </c>
      <c r="B11" s="120">
        <v>5.4999999999999997E-3</v>
      </c>
      <c r="C11" s="120">
        <v>2.0999999999999999E-3</v>
      </c>
      <c r="E11" s="25"/>
      <c r="L11" s="139">
        <v>2010</v>
      </c>
      <c r="M11" s="140">
        <v>481.96</v>
      </c>
      <c r="N11" s="121">
        <f t="shared" si="0"/>
        <v>0.58952541143102144</v>
      </c>
    </row>
    <row r="12" spans="1:14" x14ac:dyDescent="0.35">
      <c r="A12" s="136">
        <v>45424</v>
      </c>
      <c r="B12" s="120">
        <v>1.4E-2</v>
      </c>
      <c r="C12" s="120">
        <v>2.1899999999999999E-2</v>
      </c>
      <c r="E12" s="25"/>
      <c r="L12" s="139">
        <v>2011</v>
      </c>
      <c r="M12" s="140">
        <v>510.6</v>
      </c>
      <c r="N12" s="121">
        <f t="shared" si="0"/>
        <v>5.942401859075451E-2</v>
      </c>
    </row>
    <row r="13" spans="1:14" x14ac:dyDescent="0.35">
      <c r="A13" s="136">
        <v>45394</v>
      </c>
      <c r="B13" s="120">
        <v>-1.4E-3</v>
      </c>
      <c r="C13" s="120">
        <v>-7.4999999999999997E-3</v>
      </c>
      <c r="E13" s="25"/>
      <c r="L13" s="139">
        <v>2012</v>
      </c>
      <c r="M13" s="140">
        <v>387.97</v>
      </c>
      <c r="N13" s="121">
        <f t="shared" si="0"/>
        <v>-0.24016842929886406</v>
      </c>
    </row>
    <row r="14" spans="1:14" x14ac:dyDescent="0.35">
      <c r="A14" s="136">
        <v>45363</v>
      </c>
      <c r="B14" s="120">
        <v>5.5999999999999999E-3</v>
      </c>
      <c r="C14" s="120">
        <v>-1.1000000000000001E-3</v>
      </c>
      <c r="E14" s="25"/>
      <c r="L14" s="139">
        <v>2013</v>
      </c>
      <c r="M14" s="140">
        <v>479.79</v>
      </c>
      <c r="N14" s="121">
        <f t="shared" ref="N14:N25" si="1">(M14-M13)/M13</f>
        <v>0.23666778359151477</v>
      </c>
    </row>
    <row r="15" spans="1:14" x14ac:dyDescent="0.35">
      <c r="A15" s="136">
        <v>45334</v>
      </c>
      <c r="B15" s="120">
        <v>8.5000000000000006E-3</v>
      </c>
      <c r="C15" s="120">
        <v>5.9999999999999995E-4</v>
      </c>
      <c r="E15" s="25"/>
      <c r="L15" s="139">
        <v>2014</v>
      </c>
      <c r="M15" s="140">
        <v>556.52</v>
      </c>
      <c r="N15" s="121">
        <f t="shared" si="1"/>
        <v>0.15992413347506193</v>
      </c>
    </row>
    <row r="16" spans="1:14" x14ac:dyDescent="0.35">
      <c r="A16" s="136" t="s">
        <v>311</v>
      </c>
      <c r="B16" s="120">
        <v>4.3E-3</v>
      </c>
      <c r="C16" s="120">
        <v>6.7000000000000002E-3</v>
      </c>
      <c r="E16" s="25"/>
      <c r="L16" s="139">
        <v>2015</v>
      </c>
      <c r="M16" s="140">
        <v>576.07000000000005</v>
      </c>
      <c r="N16" s="121">
        <f t="shared" si="1"/>
        <v>3.5129016028175211E-2</v>
      </c>
    </row>
    <row r="17" spans="1:14" x14ac:dyDescent="0.35">
      <c r="A17" s="136" t="s">
        <v>312</v>
      </c>
      <c r="B17" s="120">
        <v>-8.5000000000000006E-3</v>
      </c>
      <c r="C17" s="120">
        <v>1E-4</v>
      </c>
      <c r="E17" s="25"/>
      <c r="G17" s="25"/>
      <c r="L17" s="139">
        <v>2016</v>
      </c>
      <c r="M17" s="140">
        <v>545.25</v>
      </c>
      <c r="N17" s="121">
        <f t="shared" si="1"/>
        <v>-5.3500442654538592E-2</v>
      </c>
    </row>
    <row r="18" spans="1:14" x14ac:dyDescent="0.35">
      <c r="A18" s="136" t="s">
        <v>313</v>
      </c>
      <c r="B18" s="120">
        <v>-2.3400000000000001E-2</v>
      </c>
      <c r="C18" s="120">
        <v>-1E-4</v>
      </c>
      <c r="E18" s="25"/>
      <c r="L18" s="139">
        <v>2017</v>
      </c>
      <c r="M18" s="140">
        <v>697.28</v>
      </c>
      <c r="N18" s="121">
        <f t="shared" si="1"/>
        <v>0.27882622650160471</v>
      </c>
    </row>
    <row r="19" spans="1:14" x14ac:dyDescent="0.35">
      <c r="A19" s="136" t="s">
        <v>314</v>
      </c>
      <c r="B19" s="120">
        <v>2.6800000000000001E-2</v>
      </c>
      <c r="C19" s="120">
        <v>6.0000000000000001E-3</v>
      </c>
      <c r="E19" s="25"/>
      <c r="G19" s="25"/>
      <c r="L19" s="139">
        <v>2018</v>
      </c>
      <c r="M19" s="140">
        <v>1110.3599999999999</v>
      </c>
      <c r="N19" s="121">
        <f t="shared" si="1"/>
        <v>0.59241624598439646</v>
      </c>
    </row>
    <row r="20" spans="1:14" x14ac:dyDescent="0.35">
      <c r="A20" s="136" t="s">
        <v>315</v>
      </c>
      <c r="B20" s="120">
        <v>-2.8E-3</v>
      </c>
      <c r="C20" s="120">
        <v>5.4000000000000003E-3</v>
      </c>
      <c r="E20" s="25"/>
      <c r="L20" s="139">
        <v>2019</v>
      </c>
      <c r="M20" s="140">
        <v>910.65</v>
      </c>
      <c r="N20" s="121">
        <f t="shared" si="1"/>
        <v>-0.17986058575597097</v>
      </c>
    </row>
    <row r="21" spans="1:14" x14ac:dyDescent="0.35">
      <c r="A21" s="136" t="s">
        <v>316</v>
      </c>
      <c r="B21" s="120">
        <v>1.8700000000000001E-2</v>
      </c>
      <c r="C21" s="120">
        <v>-2.0000000000000001E-4</v>
      </c>
      <c r="E21" s="25"/>
      <c r="G21" s="25"/>
      <c r="L21" s="139">
        <v>2020</v>
      </c>
      <c r="M21" s="140">
        <v>936.62</v>
      </c>
      <c r="N21" s="121">
        <f t="shared" si="1"/>
        <v>2.8518091473123622E-2</v>
      </c>
    </row>
    <row r="22" spans="1:14" x14ac:dyDescent="0.35">
      <c r="A22" s="136" t="s">
        <v>317</v>
      </c>
      <c r="B22" s="120">
        <v>3.1099999999999999E-2</v>
      </c>
      <c r="C22" s="120">
        <v>9.7000000000000003E-3</v>
      </c>
      <c r="E22" s="25"/>
      <c r="L22" s="139">
        <v>2021</v>
      </c>
      <c r="M22" s="140">
        <v>1056.6099999999999</v>
      </c>
      <c r="N22" s="121">
        <f t="shared" si="1"/>
        <v>0.12810958553095161</v>
      </c>
    </row>
    <row r="23" spans="1:14" x14ac:dyDescent="0.35">
      <c r="A23" s="136" t="s">
        <v>318</v>
      </c>
      <c r="B23" s="120">
        <v>8.9999999999999993E-3</v>
      </c>
      <c r="C23" s="120">
        <v>9.4999999999999998E-3</v>
      </c>
      <c r="E23" s="25"/>
      <c r="L23" s="139">
        <v>2022</v>
      </c>
      <c r="M23" s="140">
        <v>1478.96</v>
      </c>
      <c r="N23" s="121">
        <f t="shared" si="1"/>
        <v>0.39972175163967799</v>
      </c>
    </row>
    <row r="24" spans="1:14" x14ac:dyDescent="0.35">
      <c r="A24" s="136" t="s">
        <v>319</v>
      </c>
      <c r="B24" s="120">
        <v>-7.4000000000000003E-3</v>
      </c>
      <c r="C24" s="120">
        <v>-9.7999999999999997E-3</v>
      </c>
      <c r="E24" s="25"/>
      <c r="G24" s="25"/>
      <c r="L24" s="139">
        <v>2023</v>
      </c>
      <c r="M24" s="140">
        <v>1111.18</v>
      </c>
      <c r="N24" s="121">
        <f t="shared" si="1"/>
        <v>-0.24867474441499429</v>
      </c>
    </row>
    <row r="25" spans="1:14" x14ac:dyDescent="0.35">
      <c r="A25" s="136" t="s">
        <v>320</v>
      </c>
      <c r="B25" s="120">
        <v>1.5E-3</v>
      </c>
      <c r="C25" s="120">
        <v>-1.1999999999999999E-3</v>
      </c>
      <c r="E25" s="25"/>
      <c r="L25" s="139">
        <v>2024</v>
      </c>
      <c r="M25" s="140">
        <v>1164.31</v>
      </c>
      <c r="N25" s="121">
        <f t="shared" si="1"/>
        <v>4.7814035529797044E-2</v>
      </c>
    </row>
    <row r="26" spans="1:14" x14ac:dyDescent="0.35">
      <c r="A26" s="136" t="s">
        <v>321</v>
      </c>
      <c r="B26" s="120">
        <v>-1.32E-2</v>
      </c>
      <c r="C26" s="120">
        <v>-1.0800000000000001E-2</v>
      </c>
      <c r="E26" s="25"/>
      <c r="L26" s="159" t="s">
        <v>1077</v>
      </c>
      <c r="M26" s="159"/>
      <c r="N26" s="141">
        <f>AVERAGE(N7:N25)</f>
        <v>0.18543682834101494</v>
      </c>
    </row>
    <row r="27" spans="1:14" x14ac:dyDescent="0.35">
      <c r="A27" s="136" t="s">
        <v>322</v>
      </c>
      <c r="B27" s="120">
        <v>2.8999999999999998E-3</v>
      </c>
      <c r="C27" s="120">
        <v>-1.14E-2</v>
      </c>
      <c r="E27" s="25"/>
      <c r="G27" s="25"/>
      <c r="L27" s="120"/>
      <c r="N27" s="101"/>
    </row>
    <row r="28" spans="1:14" x14ac:dyDescent="0.35">
      <c r="A28" s="136" t="s">
        <v>324</v>
      </c>
      <c r="B28" s="120">
        <v>5.8999999999999999E-3</v>
      </c>
      <c r="C28" s="120">
        <v>1E-3</v>
      </c>
      <c r="E28" s="25"/>
      <c r="L28" s="120"/>
    </row>
    <row r="29" spans="1:14" x14ac:dyDescent="0.35">
      <c r="A29" s="136">
        <v>45637</v>
      </c>
      <c r="B29" s="120">
        <v>3.0000000000000001E-3</v>
      </c>
      <c r="C29" s="120">
        <v>-4.4000000000000003E-3</v>
      </c>
      <c r="E29" s="25"/>
      <c r="G29" s="25"/>
      <c r="L29" s="120"/>
    </row>
    <row r="30" spans="1:14" x14ac:dyDescent="0.35">
      <c r="A30" s="136">
        <v>45607</v>
      </c>
      <c r="B30" s="120">
        <v>7.4999999999999997E-3</v>
      </c>
      <c r="C30" s="120">
        <v>-1.8E-3</v>
      </c>
      <c r="E30" s="25"/>
      <c r="L30" s="120"/>
    </row>
    <row r="31" spans="1:14" x14ac:dyDescent="0.35">
      <c r="A31" s="136">
        <v>45515</v>
      </c>
      <c r="B31" s="120">
        <v>-5.8999999999999999E-3</v>
      </c>
      <c r="C31" s="120">
        <v>-5.7000000000000002E-3</v>
      </c>
      <c r="E31" s="25"/>
      <c r="L31" s="120"/>
    </row>
    <row r="32" spans="1:14" x14ac:dyDescent="0.35">
      <c r="A32" s="136">
        <v>45484</v>
      </c>
      <c r="B32" s="120">
        <v>-7.4000000000000003E-3</v>
      </c>
      <c r="C32" s="120">
        <v>-1.1999999999999999E-3</v>
      </c>
      <c r="E32" s="25"/>
      <c r="L32" s="120"/>
      <c r="M32" s="131"/>
    </row>
    <row r="33" spans="1:13" x14ac:dyDescent="0.35">
      <c r="A33" s="136">
        <v>45454</v>
      </c>
      <c r="B33" s="120">
        <v>1.49E-2</v>
      </c>
      <c r="C33" s="120">
        <v>1.2500000000000001E-2</v>
      </c>
      <c r="E33" s="25"/>
      <c r="G33" s="25"/>
      <c r="L33" s="120"/>
    </row>
    <row r="34" spans="1:13" x14ac:dyDescent="0.35">
      <c r="A34" s="136">
        <v>45423</v>
      </c>
      <c r="B34" s="120">
        <v>0</v>
      </c>
      <c r="C34" s="120">
        <v>8.0000000000000004E-4</v>
      </c>
      <c r="E34" s="25"/>
      <c r="L34" s="120"/>
      <c r="M34" s="121"/>
    </row>
    <row r="35" spans="1:13" x14ac:dyDescent="0.35">
      <c r="A35" s="136">
        <v>45393</v>
      </c>
      <c r="B35" s="120">
        <v>-1.3299999999999999E-2</v>
      </c>
      <c r="C35" s="120">
        <v>-8.0999999999999996E-3</v>
      </c>
      <c r="E35" s="25"/>
      <c r="G35" s="25"/>
      <c r="L35" s="120"/>
    </row>
    <row r="36" spans="1:13" x14ac:dyDescent="0.35">
      <c r="A36" s="136">
        <v>45302</v>
      </c>
      <c r="B36" s="120">
        <v>-1.8800000000000001E-2</v>
      </c>
      <c r="C36" s="120">
        <v>-7.6E-3</v>
      </c>
      <c r="E36" s="25"/>
      <c r="L36" s="120"/>
    </row>
    <row r="37" spans="1:13" x14ac:dyDescent="0.35">
      <c r="A37" s="136" t="s">
        <v>325</v>
      </c>
      <c r="B37" s="120">
        <v>-1.4E-3</v>
      </c>
      <c r="C37" s="120">
        <v>4.5999999999999999E-3</v>
      </c>
      <c r="E37" s="25"/>
      <c r="G37" s="25"/>
      <c r="L37" s="120"/>
    </row>
    <row r="38" spans="1:13" x14ac:dyDescent="0.35">
      <c r="A38" s="136" t="s">
        <v>326</v>
      </c>
      <c r="B38" s="120">
        <v>-0.01</v>
      </c>
      <c r="C38" s="120">
        <v>-2.5000000000000001E-3</v>
      </c>
      <c r="E38" s="25"/>
      <c r="G38" s="25"/>
      <c r="L38" s="120"/>
    </row>
    <row r="39" spans="1:13" x14ac:dyDescent="0.35">
      <c r="A39" s="136" t="s">
        <v>327</v>
      </c>
      <c r="B39" s="120">
        <v>2.1899999999999999E-2</v>
      </c>
      <c r="C39" s="120">
        <v>5.5999999999999999E-3</v>
      </c>
      <c r="E39" s="25"/>
      <c r="G39" s="25"/>
      <c r="L39" s="120"/>
    </row>
    <row r="40" spans="1:13" x14ac:dyDescent="0.35">
      <c r="A40" s="136" t="s">
        <v>328</v>
      </c>
      <c r="B40" s="120">
        <v>4.4000000000000003E-3</v>
      </c>
      <c r="C40" s="120">
        <v>1.6000000000000001E-3</v>
      </c>
      <c r="E40" s="25"/>
      <c r="L40" s="120"/>
    </row>
    <row r="41" spans="1:13" x14ac:dyDescent="0.35">
      <c r="A41" s="136" t="s">
        <v>329</v>
      </c>
      <c r="B41" s="120">
        <v>0</v>
      </c>
      <c r="C41" s="120">
        <v>-3.7000000000000002E-3</v>
      </c>
      <c r="E41" s="25"/>
      <c r="L41" s="120"/>
    </row>
    <row r="42" spans="1:13" x14ac:dyDescent="0.35">
      <c r="A42" s="136" t="s">
        <v>330</v>
      </c>
      <c r="B42" s="120">
        <v>0</v>
      </c>
      <c r="C42" s="120">
        <v>-1.06E-2</v>
      </c>
      <c r="E42" s="25"/>
      <c r="L42" s="120"/>
      <c r="M42" s="131"/>
    </row>
    <row r="43" spans="1:13" x14ac:dyDescent="0.35">
      <c r="A43" s="136" t="s">
        <v>331</v>
      </c>
      <c r="B43" s="120">
        <v>-1.5E-3</v>
      </c>
      <c r="C43" s="120">
        <v>8.0000000000000004E-4</v>
      </c>
      <c r="E43" s="25"/>
      <c r="L43" s="120"/>
    </row>
    <row r="44" spans="1:13" x14ac:dyDescent="0.35">
      <c r="A44" s="136" t="s">
        <v>332</v>
      </c>
      <c r="B44" s="120">
        <v>0</v>
      </c>
      <c r="C44" s="120">
        <v>-7.7000000000000002E-3</v>
      </c>
      <c r="E44" s="25"/>
      <c r="L44" s="120"/>
      <c r="M44" s="121"/>
    </row>
    <row r="45" spans="1:13" x14ac:dyDescent="0.35">
      <c r="A45" s="136" t="s">
        <v>333</v>
      </c>
      <c r="B45" s="120">
        <v>-8.6999999999999994E-3</v>
      </c>
      <c r="C45" s="120">
        <v>-4.4000000000000003E-3</v>
      </c>
      <c r="E45" s="25"/>
      <c r="L45" s="120"/>
    </row>
    <row r="46" spans="1:13" x14ac:dyDescent="0.35">
      <c r="A46" s="136" t="s">
        <v>334</v>
      </c>
      <c r="B46" s="120">
        <v>-2.8999999999999998E-3</v>
      </c>
      <c r="C46" s="120">
        <v>-8.0000000000000004E-4</v>
      </c>
      <c r="E46" s="25"/>
      <c r="L46" s="120"/>
    </row>
    <row r="47" spans="1:13" x14ac:dyDescent="0.35">
      <c r="A47" s="136" t="s">
        <v>335</v>
      </c>
      <c r="B47" s="120">
        <v>1.0200000000000001E-2</v>
      </c>
      <c r="C47" s="120">
        <v>5.4999999999999997E-3</v>
      </c>
      <c r="E47" s="25"/>
      <c r="L47" s="120"/>
    </row>
    <row r="48" spans="1:13" x14ac:dyDescent="0.35">
      <c r="A48" s="136" t="s">
        <v>336</v>
      </c>
      <c r="B48" s="120">
        <v>-1.44E-2</v>
      </c>
      <c r="C48" s="120">
        <v>-1.1999999999999999E-3</v>
      </c>
      <c r="E48" s="25"/>
      <c r="L48" s="120"/>
    </row>
    <row r="49" spans="1:13" x14ac:dyDescent="0.35">
      <c r="A49" s="136" t="s">
        <v>337</v>
      </c>
      <c r="B49" s="120">
        <v>-0.01</v>
      </c>
      <c r="C49" s="120">
        <v>-4.1000000000000003E-3</v>
      </c>
      <c r="E49" s="25"/>
      <c r="L49" s="120"/>
    </row>
    <row r="50" spans="1:13" x14ac:dyDescent="0.35">
      <c r="A50" s="136" t="s">
        <v>338</v>
      </c>
      <c r="B50" s="120">
        <v>-5.7000000000000002E-3</v>
      </c>
      <c r="C50" s="120">
        <v>-1.6000000000000001E-3</v>
      </c>
      <c r="E50" s="25"/>
      <c r="L50" s="120"/>
    </row>
    <row r="51" spans="1:13" x14ac:dyDescent="0.35">
      <c r="A51" s="136">
        <v>45606</v>
      </c>
      <c r="B51" s="120">
        <v>8.6E-3</v>
      </c>
      <c r="C51" s="120">
        <v>1.6000000000000001E-3</v>
      </c>
      <c r="E51" s="25"/>
      <c r="L51" s="120"/>
    </row>
    <row r="52" spans="1:13" x14ac:dyDescent="0.35">
      <c r="A52" s="136">
        <v>45575</v>
      </c>
      <c r="B52" s="120">
        <v>-1.1299999999999999E-2</v>
      </c>
      <c r="C52" s="120">
        <v>3.5000000000000001E-3</v>
      </c>
      <c r="E52" s="25"/>
      <c r="L52" s="120"/>
      <c r="M52" s="131"/>
    </row>
    <row r="53" spans="1:13" x14ac:dyDescent="0.35">
      <c r="A53" s="136">
        <v>45545</v>
      </c>
      <c r="B53" s="120">
        <v>1.44E-2</v>
      </c>
      <c r="C53" s="120">
        <v>7.7999999999999996E-3</v>
      </c>
      <c r="E53" s="25"/>
      <c r="G53" s="25"/>
      <c r="L53" s="120"/>
    </row>
    <row r="54" spans="1:13" x14ac:dyDescent="0.35">
      <c r="A54" s="136">
        <v>45514</v>
      </c>
      <c r="B54" s="120">
        <v>-5.7000000000000002E-3</v>
      </c>
      <c r="C54" s="120">
        <v>1.6000000000000001E-3</v>
      </c>
      <c r="E54" s="25"/>
      <c r="L54" s="120"/>
      <c r="M54" s="121"/>
    </row>
    <row r="55" spans="1:13" x14ac:dyDescent="0.35">
      <c r="A55" s="136">
        <v>45483</v>
      </c>
      <c r="B55" s="120">
        <v>-2.8E-3</v>
      </c>
      <c r="C55" s="120">
        <v>-5.0000000000000001E-4</v>
      </c>
      <c r="E55" s="25"/>
      <c r="G55" s="25"/>
      <c r="L55" s="120"/>
    </row>
    <row r="56" spans="1:13" x14ac:dyDescent="0.35">
      <c r="A56" s="136">
        <v>45392</v>
      </c>
      <c r="B56" s="120">
        <v>-1.4E-3</v>
      </c>
      <c r="C56" s="120">
        <v>-5.8999999999999999E-3</v>
      </c>
      <c r="E56" s="25"/>
      <c r="L56" s="120"/>
    </row>
    <row r="57" spans="1:13" x14ac:dyDescent="0.35">
      <c r="A57" s="136">
        <v>45361</v>
      </c>
      <c r="B57" s="120">
        <v>-1.4E-2</v>
      </c>
      <c r="C57" s="120">
        <v>-7.6E-3</v>
      </c>
      <c r="E57" s="25"/>
      <c r="G57" s="25"/>
      <c r="L57" s="120"/>
    </row>
    <row r="58" spans="1:13" x14ac:dyDescent="0.35">
      <c r="A58" s="136">
        <v>45332</v>
      </c>
      <c r="B58" s="120">
        <v>2.8E-3</v>
      </c>
      <c r="C58" s="120">
        <v>-3.3999999999999998E-3</v>
      </c>
      <c r="E58" s="25"/>
      <c r="L58" s="120"/>
    </row>
    <row r="59" spans="1:13" x14ac:dyDescent="0.35">
      <c r="A59" s="136">
        <v>45301</v>
      </c>
      <c r="B59" s="120">
        <v>-1.4E-3</v>
      </c>
      <c r="C59" s="120">
        <v>3.3E-3</v>
      </c>
      <c r="E59" s="25"/>
      <c r="L59" s="120"/>
    </row>
    <row r="60" spans="1:13" x14ac:dyDescent="0.35">
      <c r="A60" s="136" t="s">
        <v>339</v>
      </c>
      <c r="B60" s="120">
        <v>-1.11E-2</v>
      </c>
      <c r="C60" s="120">
        <v>-2.3E-3</v>
      </c>
      <c r="E60" s="25"/>
      <c r="G60" s="25"/>
      <c r="L60" s="120"/>
    </row>
    <row r="61" spans="1:13" x14ac:dyDescent="0.35">
      <c r="A61" s="136" t="s">
        <v>340</v>
      </c>
      <c r="B61" s="120">
        <v>0</v>
      </c>
      <c r="C61" s="120">
        <v>-4.0000000000000002E-4</v>
      </c>
      <c r="E61" s="25"/>
      <c r="L61" s="120"/>
    </row>
    <row r="62" spans="1:13" x14ac:dyDescent="0.35">
      <c r="A62" s="136" t="s">
        <v>341</v>
      </c>
      <c r="B62" s="120">
        <v>-2.8E-3</v>
      </c>
      <c r="C62" s="120">
        <v>3.0999999999999999E-3</v>
      </c>
      <c r="E62" s="25"/>
      <c r="L62" s="120"/>
      <c r="M62" s="131"/>
    </row>
    <row r="63" spans="1:13" x14ac:dyDescent="0.35">
      <c r="A63" s="136" t="s">
        <v>342</v>
      </c>
      <c r="B63" s="120">
        <v>1.4E-2</v>
      </c>
      <c r="C63" s="120">
        <v>8.2000000000000007E-3</v>
      </c>
      <c r="E63" s="25"/>
      <c r="G63" s="25"/>
      <c r="L63" s="120"/>
    </row>
    <row r="64" spans="1:13" x14ac:dyDescent="0.35">
      <c r="A64" s="136" t="s">
        <v>343</v>
      </c>
      <c r="B64" s="120">
        <v>0</v>
      </c>
      <c r="C64" s="120">
        <v>6.7000000000000002E-3</v>
      </c>
      <c r="E64" s="25"/>
      <c r="L64" s="120"/>
      <c r="M64" s="121"/>
    </row>
    <row r="65" spans="1:13" x14ac:dyDescent="0.35">
      <c r="A65" s="136" t="s">
        <v>344</v>
      </c>
      <c r="B65" s="120">
        <v>2.8E-3</v>
      </c>
      <c r="C65" s="120">
        <v>-2.8E-3</v>
      </c>
      <c r="E65" s="25"/>
      <c r="G65" s="25"/>
      <c r="L65" s="120"/>
    </row>
    <row r="66" spans="1:13" x14ac:dyDescent="0.35">
      <c r="A66" s="136" t="s">
        <v>345</v>
      </c>
      <c r="B66" s="120">
        <v>-2.8E-3</v>
      </c>
      <c r="C66" s="120">
        <v>5.9999999999999995E-4</v>
      </c>
      <c r="E66" s="25"/>
      <c r="L66" s="120"/>
    </row>
    <row r="67" spans="1:13" x14ac:dyDescent="0.35">
      <c r="A67" s="136" t="s">
        <v>346</v>
      </c>
      <c r="B67" s="120">
        <v>1.4E-3</v>
      </c>
      <c r="C67" s="120">
        <v>5.0000000000000001E-3</v>
      </c>
      <c r="E67" s="25"/>
      <c r="L67" s="120"/>
    </row>
    <row r="68" spans="1:13" x14ac:dyDescent="0.35">
      <c r="A68" s="136" t="s">
        <v>347</v>
      </c>
      <c r="B68" s="120">
        <v>-7.0000000000000001E-3</v>
      </c>
      <c r="C68" s="120">
        <v>4.7000000000000002E-3</v>
      </c>
      <c r="E68" s="25"/>
      <c r="L68" s="120"/>
    </row>
    <row r="69" spans="1:13" x14ac:dyDescent="0.35">
      <c r="A69" s="136" t="s">
        <v>348</v>
      </c>
      <c r="B69" s="120">
        <v>2.8E-3</v>
      </c>
      <c r="C69" s="120">
        <v>1.5900000000000001E-2</v>
      </c>
      <c r="E69" s="25"/>
      <c r="G69" s="25"/>
      <c r="L69" s="120"/>
    </row>
    <row r="70" spans="1:13" x14ac:dyDescent="0.35">
      <c r="A70" s="136" t="s">
        <v>349</v>
      </c>
      <c r="B70" s="120">
        <v>5.5999999999999999E-3</v>
      </c>
      <c r="C70" s="120">
        <v>-9.9000000000000008E-3</v>
      </c>
      <c r="E70" s="25"/>
      <c r="L70" s="120"/>
    </row>
    <row r="71" spans="1:13" x14ac:dyDescent="0.35">
      <c r="A71" s="136" t="s">
        <v>350</v>
      </c>
      <c r="B71" s="120">
        <v>8.5000000000000006E-3</v>
      </c>
      <c r="C71" s="120">
        <v>-3.7000000000000002E-3</v>
      </c>
      <c r="E71" s="25"/>
      <c r="G71" s="25"/>
      <c r="L71" s="120"/>
    </row>
    <row r="72" spans="1:13" x14ac:dyDescent="0.35">
      <c r="A72" s="136">
        <v>45635</v>
      </c>
      <c r="B72" s="120">
        <v>8.6E-3</v>
      </c>
      <c r="C72" s="120">
        <v>2.5000000000000001E-3</v>
      </c>
      <c r="E72" s="25"/>
      <c r="L72" s="120"/>
      <c r="M72" s="131"/>
    </row>
    <row r="73" spans="1:13" x14ac:dyDescent="0.35">
      <c r="A73" s="136">
        <v>45605</v>
      </c>
      <c r="B73" s="120">
        <v>-1.4E-3</v>
      </c>
      <c r="C73" s="120">
        <v>-1.6000000000000001E-3</v>
      </c>
      <c r="E73" s="25"/>
      <c r="G73" s="25"/>
      <c r="L73" s="120"/>
    </row>
    <row r="74" spans="1:13" x14ac:dyDescent="0.35">
      <c r="A74" s="136">
        <v>45574</v>
      </c>
      <c r="B74" s="120">
        <v>-1.41E-2</v>
      </c>
      <c r="C74" s="120">
        <v>-9.9000000000000008E-3</v>
      </c>
      <c r="E74" s="25"/>
      <c r="G74" s="25"/>
      <c r="L74" s="120"/>
      <c r="M74" s="121"/>
    </row>
    <row r="75" spans="1:13" x14ac:dyDescent="0.35">
      <c r="A75" s="136">
        <v>45544</v>
      </c>
      <c r="B75" s="120">
        <v>-1.3899999999999999E-2</v>
      </c>
      <c r="C75" s="120">
        <v>-4.8999999999999998E-3</v>
      </c>
      <c r="E75" s="25"/>
      <c r="G75" s="25"/>
      <c r="L75" s="120"/>
    </row>
    <row r="76" spans="1:13" x14ac:dyDescent="0.35">
      <c r="A76" s="136">
        <v>45452</v>
      </c>
      <c r="B76" s="120">
        <v>3.4500000000000003E-2</v>
      </c>
      <c r="C76" s="120">
        <v>4.4999999999999997E-3</v>
      </c>
      <c r="E76" s="25"/>
      <c r="L76" s="120"/>
    </row>
    <row r="77" spans="1:13" x14ac:dyDescent="0.35">
      <c r="A77" s="136">
        <v>45421</v>
      </c>
      <c r="B77" s="120">
        <v>-0.01</v>
      </c>
      <c r="C77" s="120">
        <v>-5.8999999999999999E-3</v>
      </c>
      <c r="E77" s="25"/>
      <c r="L77" s="120"/>
    </row>
    <row r="78" spans="1:13" x14ac:dyDescent="0.35">
      <c r="A78" s="136">
        <v>45391</v>
      </c>
      <c r="B78" s="120">
        <v>7.1999999999999998E-3</v>
      </c>
      <c r="C78" s="120">
        <v>-6.3E-3</v>
      </c>
      <c r="E78" s="25"/>
      <c r="L78" s="120"/>
    </row>
    <row r="79" spans="1:13" x14ac:dyDescent="0.35">
      <c r="A79" s="136" t="s">
        <v>351</v>
      </c>
      <c r="B79" s="120">
        <v>2.8999999999999998E-3</v>
      </c>
      <c r="C79" s="120">
        <v>1.9E-3</v>
      </c>
      <c r="E79" s="25"/>
      <c r="L79" s="120"/>
    </row>
    <row r="80" spans="1:13" x14ac:dyDescent="0.35">
      <c r="A80" s="136" t="s">
        <v>352</v>
      </c>
      <c r="B80" s="120">
        <v>1.4E-3</v>
      </c>
      <c r="C80" s="120">
        <v>0</v>
      </c>
      <c r="E80" s="25"/>
      <c r="L80" s="120"/>
    </row>
    <row r="81" spans="1:13" x14ac:dyDescent="0.35">
      <c r="A81" s="136" t="s">
        <v>353</v>
      </c>
      <c r="B81" s="120">
        <v>-8.6E-3</v>
      </c>
      <c r="C81" s="120">
        <v>6.9999999999999999E-4</v>
      </c>
      <c r="E81" s="25"/>
      <c r="L81" s="120"/>
    </row>
    <row r="82" spans="1:13" x14ac:dyDescent="0.35">
      <c r="A82" s="136" t="s">
        <v>354</v>
      </c>
      <c r="B82" s="120">
        <v>2.8999999999999998E-3</v>
      </c>
      <c r="C82" s="120">
        <v>4.0000000000000002E-4</v>
      </c>
      <c r="E82" s="25"/>
      <c r="L82" s="120"/>
      <c r="M82" s="131"/>
    </row>
    <row r="83" spans="1:13" x14ac:dyDescent="0.35">
      <c r="A83" s="136" t="s">
        <v>355</v>
      </c>
      <c r="B83" s="120">
        <v>-2.24E-2</v>
      </c>
      <c r="C83" s="120">
        <v>-4.1000000000000003E-3</v>
      </c>
      <c r="E83" s="25"/>
      <c r="L83" s="120"/>
    </row>
    <row r="84" spans="1:13" x14ac:dyDescent="0.35">
      <c r="A84" s="136" t="s">
        <v>356</v>
      </c>
      <c r="B84" s="120">
        <v>2.8E-3</v>
      </c>
      <c r="C84" s="120">
        <v>2E-3</v>
      </c>
      <c r="E84" s="25"/>
      <c r="L84" s="120"/>
      <c r="M84" s="121"/>
    </row>
    <row r="85" spans="1:13" x14ac:dyDescent="0.35">
      <c r="A85" s="136" t="s">
        <v>357</v>
      </c>
      <c r="B85" s="120">
        <v>-1.66E-2</v>
      </c>
      <c r="C85" s="120">
        <v>-1E-3</v>
      </c>
      <c r="E85" s="25"/>
      <c r="L85" s="120"/>
    </row>
    <row r="86" spans="1:13" x14ac:dyDescent="0.35">
      <c r="A86" s="136" t="s">
        <v>358</v>
      </c>
      <c r="B86" s="120">
        <v>-5.2400000000000002E-2</v>
      </c>
      <c r="C86" s="120">
        <v>8.9999999999999993E-3</v>
      </c>
      <c r="E86" s="25"/>
      <c r="L86" s="120"/>
    </row>
    <row r="87" spans="1:13" x14ac:dyDescent="0.35">
      <c r="A87" s="136" t="s">
        <v>359</v>
      </c>
      <c r="B87" s="120">
        <v>0</v>
      </c>
      <c r="C87" s="120">
        <v>8.6999999999999994E-3</v>
      </c>
      <c r="E87" s="25"/>
      <c r="L87" s="120"/>
    </row>
    <row r="88" spans="1:13" x14ac:dyDescent="0.35">
      <c r="A88" s="136" t="s">
        <v>360</v>
      </c>
      <c r="B88" s="120">
        <v>2.9600000000000001E-2</v>
      </c>
      <c r="C88" s="120">
        <v>7.4999999999999997E-3</v>
      </c>
      <c r="E88" s="25"/>
      <c r="L88" s="120"/>
    </row>
    <row r="89" spans="1:13" x14ac:dyDescent="0.35">
      <c r="A89" s="136" t="s">
        <v>361</v>
      </c>
      <c r="B89" s="120">
        <v>3.0599999999999999E-2</v>
      </c>
      <c r="C89" s="120">
        <v>2.3400000000000001E-2</v>
      </c>
      <c r="E89" s="25"/>
      <c r="G89" s="25"/>
      <c r="L89" s="120"/>
    </row>
    <row r="90" spans="1:13" x14ac:dyDescent="0.35">
      <c r="A90" s="136" t="s">
        <v>362</v>
      </c>
      <c r="B90" s="120">
        <v>-2.8E-3</v>
      </c>
      <c r="C90" s="120">
        <v>-5.4999999999999997E-3</v>
      </c>
      <c r="E90" s="25"/>
      <c r="L90" s="120"/>
    </row>
    <row r="91" spans="1:13" x14ac:dyDescent="0.35">
      <c r="A91" s="136" t="s">
        <v>363</v>
      </c>
      <c r="B91" s="120">
        <v>8.3999999999999995E-3</v>
      </c>
      <c r="C91" s="120">
        <v>0</v>
      </c>
      <c r="E91" s="25"/>
      <c r="G91" s="25"/>
      <c r="L91" s="120"/>
    </row>
    <row r="92" spans="1:13" x14ac:dyDescent="0.35">
      <c r="A92" s="136" t="s">
        <v>364</v>
      </c>
      <c r="B92" s="120">
        <v>-5.5999999999999999E-3</v>
      </c>
      <c r="C92" s="120">
        <v>1E-4</v>
      </c>
      <c r="E92" s="25"/>
      <c r="L92" s="120"/>
      <c r="M92" s="131"/>
    </row>
    <row r="93" spans="1:13" x14ac:dyDescent="0.35">
      <c r="A93" s="136">
        <v>45634</v>
      </c>
      <c r="B93" s="120">
        <v>7.0000000000000001E-3</v>
      </c>
      <c r="C93" s="120">
        <v>5.4000000000000003E-3</v>
      </c>
      <c r="E93" s="25"/>
      <c r="G93" s="25"/>
      <c r="L93" s="120"/>
    </row>
    <row r="94" spans="1:13" x14ac:dyDescent="0.35">
      <c r="A94" s="136">
        <v>45543</v>
      </c>
      <c r="B94" s="120">
        <v>2.8799999999999999E-2</v>
      </c>
      <c r="C94" s="120">
        <v>1.2699999999999999E-2</v>
      </c>
      <c r="E94" s="25"/>
      <c r="L94" s="120"/>
      <c r="M94" s="121"/>
    </row>
    <row r="95" spans="1:13" x14ac:dyDescent="0.35">
      <c r="A95" s="136">
        <v>45512</v>
      </c>
      <c r="B95" s="120">
        <v>-1.4E-3</v>
      </c>
      <c r="C95" s="120">
        <v>-6.1999999999999998E-3</v>
      </c>
      <c r="E95" s="25"/>
      <c r="L95" s="120"/>
    </row>
    <row r="96" spans="1:13" x14ac:dyDescent="0.35">
      <c r="A96" s="136">
        <v>45481</v>
      </c>
      <c r="B96" s="120">
        <v>3.4200000000000001E-2</v>
      </c>
      <c r="C96" s="120">
        <v>4.5999999999999999E-3</v>
      </c>
      <c r="E96" s="25"/>
      <c r="G96" s="25"/>
      <c r="L96" s="120"/>
    </row>
    <row r="97" spans="1:13" x14ac:dyDescent="0.35">
      <c r="A97" s="136">
        <v>45451</v>
      </c>
      <c r="B97" s="120">
        <v>2.9100000000000001E-2</v>
      </c>
      <c r="C97" s="120">
        <v>1.8700000000000001E-2</v>
      </c>
      <c r="E97" s="25"/>
      <c r="L97" s="120"/>
    </row>
    <row r="98" spans="1:13" x14ac:dyDescent="0.35">
      <c r="A98" s="136">
        <v>45420</v>
      </c>
      <c r="B98" s="120">
        <v>-6.5699999999999995E-2</v>
      </c>
      <c r="C98" s="120">
        <v>-3.9199999999999999E-2</v>
      </c>
      <c r="E98" s="25"/>
      <c r="L98" s="120"/>
    </row>
    <row r="99" spans="1:13" x14ac:dyDescent="0.35">
      <c r="A99" s="136">
        <v>45330</v>
      </c>
      <c r="B99" s="120">
        <v>1.6E-2</v>
      </c>
      <c r="C99" s="120">
        <v>7.9000000000000008E-3</v>
      </c>
      <c r="E99" s="25"/>
      <c r="G99" s="25"/>
      <c r="L99" s="120"/>
    </row>
    <row r="100" spans="1:13" x14ac:dyDescent="0.35">
      <c r="A100" s="136">
        <v>45299</v>
      </c>
      <c r="B100" s="120">
        <v>-2.41E-2</v>
      </c>
      <c r="C100" s="120">
        <v>-1.9599999999999999E-2</v>
      </c>
      <c r="E100" s="25"/>
      <c r="L100" s="120"/>
    </row>
    <row r="101" spans="1:13" x14ac:dyDescent="0.35">
      <c r="A101" s="136" t="s">
        <v>365</v>
      </c>
      <c r="B101" s="120">
        <v>-4.1999999999999997E-3</v>
      </c>
      <c r="C101" s="120">
        <v>5.1999999999999998E-3</v>
      </c>
      <c r="E101" s="25"/>
      <c r="G101" s="25"/>
      <c r="L101" s="120"/>
    </row>
    <row r="102" spans="1:13" x14ac:dyDescent="0.35">
      <c r="A102" s="136" t="s">
        <v>366</v>
      </c>
      <c r="B102" s="120">
        <v>-1.3899999999999999E-2</v>
      </c>
      <c r="C102" s="120">
        <v>-1.1999999999999999E-3</v>
      </c>
      <c r="E102" s="25"/>
      <c r="L102" s="120"/>
      <c r="M102" s="131"/>
    </row>
    <row r="103" spans="1:13" x14ac:dyDescent="0.35">
      <c r="A103" s="136" t="s">
        <v>367</v>
      </c>
      <c r="B103" s="120">
        <v>1.84E-2</v>
      </c>
      <c r="C103" s="120">
        <v>3.5999999999999999E-3</v>
      </c>
      <c r="E103" s="25"/>
      <c r="L103" s="120"/>
    </row>
    <row r="104" spans="1:13" x14ac:dyDescent="0.35">
      <c r="A104" s="136" t="s">
        <v>368</v>
      </c>
      <c r="B104" s="120">
        <v>8.6E-3</v>
      </c>
      <c r="C104" s="120">
        <v>7.1999999999999998E-3</v>
      </c>
      <c r="E104" s="25"/>
      <c r="L104" s="120"/>
      <c r="M104" s="121"/>
    </row>
    <row r="105" spans="1:13" x14ac:dyDescent="0.35">
      <c r="A105" s="136" t="s">
        <v>369</v>
      </c>
      <c r="B105" s="120">
        <v>5.7000000000000002E-3</v>
      </c>
      <c r="C105" s="120">
        <v>-4.3E-3</v>
      </c>
      <c r="E105" s="25"/>
      <c r="G105" s="25"/>
      <c r="L105" s="120"/>
    </row>
    <row r="106" spans="1:13" x14ac:dyDescent="0.35">
      <c r="A106" s="136" t="s">
        <v>370</v>
      </c>
      <c r="B106" s="120">
        <v>7.1999999999999998E-3</v>
      </c>
      <c r="C106" s="120">
        <v>5.4000000000000003E-3</v>
      </c>
      <c r="E106" s="25"/>
      <c r="L106" s="120"/>
    </row>
    <row r="107" spans="1:13" x14ac:dyDescent="0.35">
      <c r="A107" s="136" t="s">
        <v>371</v>
      </c>
      <c r="B107" s="120">
        <v>-7.1999999999999998E-3</v>
      </c>
      <c r="C107" s="120">
        <v>-1.8200000000000001E-2</v>
      </c>
      <c r="E107" s="25"/>
      <c r="G107" s="25"/>
      <c r="L107" s="120"/>
    </row>
    <row r="108" spans="1:13" x14ac:dyDescent="0.35">
      <c r="A108" s="136" t="s">
        <v>372</v>
      </c>
      <c r="B108" s="120">
        <v>-1.9699999999999999E-2</v>
      </c>
      <c r="C108" s="120">
        <v>-8.0000000000000002E-3</v>
      </c>
      <c r="E108" s="25"/>
      <c r="L108" s="120"/>
    </row>
    <row r="109" spans="1:13" x14ac:dyDescent="0.35">
      <c r="A109" s="136" t="s">
        <v>373</v>
      </c>
      <c r="B109" s="120">
        <v>-1.11E-2</v>
      </c>
      <c r="C109" s="120">
        <v>-7.6E-3</v>
      </c>
      <c r="E109" s="25"/>
      <c r="G109" s="25"/>
      <c r="L109" s="120"/>
    </row>
    <row r="110" spans="1:13" x14ac:dyDescent="0.35">
      <c r="A110" s="136" t="s">
        <v>374</v>
      </c>
      <c r="B110" s="120">
        <v>1.9900000000000001E-2</v>
      </c>
      <c r="C110" s="120">
        <v>4.5999999999999999E-3</v>
      </c>
      <c r="E110" s="25"/>
      <c r="G110" s="25"/>
      <c r="L110" s="120"/>
    </row>
    <row r="111" spans="1:13" x14ac:dyDescent="0.35">
      <c r="A111" s="136" t="s">
        <v>375</v>
      </c>
      <c r="B111" s="120">
        <v>-4.99E-2</v>
      </c>
      <c r="C111" s="120">
        <v>-9.7999999999999997E-3</v>
      </c>
      <c r="E111" s="25"/>
      <c r="G111" s="25"/>
      <c r="L111" s="120"/>
    </row>
    <row r="112" spans="1:13" x14ac:dyDescent="0.35">
      <c r="A112" s="136" t="s">
        <v>376</v>
      </c>
      <c r="B112" s="120">
        <v>-1.3299999999999999E-2</v>
      </c>
      <c r="C112" s="120">
        <v>1.1000000000000001E-3</v>
      </c>
      <c r="E112" s="25"/>
      <c r="L112" s="120"/>
      <c r="M112" s="131"/>
    </row>
    <row r="113" spans="1:13" x14ac:dyDescent="0.35">
      <c r="A113" s="136" t="s">
        <v>377</v>
      </c>
      <c r="B113" s="120">
        <v>2.7000000000000001E-3</v>
      </c>
      <c r="C113" s="120">
        <v>-6.9999999999999999E-4</v>
      </c>
      <c r="E113" s="25"/>
      <c r="L113" s="120"/>
    </row>
    <row r="114" spans="1:13" x14ac:dyDescent="0.35">
      <c r="A114" s="136">
        <v>45633</v>
      </c>
      <c r="B114" s="120">
        <v>2.7000000000000001E-3</v>
      </c>
      <c r="C114" s="120">
        <v>-2.3999999999999998E-3</v>
      </c>
      <c r="E114" s="25"/>
      <c r="L114" s="120"/>
      <c r="M114" s="121"/>
    </row>
    <row r="115" spans="1:13" x14ac:dyDescent="0.35">
      <c r="A115" s="136">
        <v>45603</v>
      </c>
      <c r="B115" s="120">
        <v>-1.5800000000000002E-2</v>
      </c>
      <c r="C115" s="120">
        <v>-1.6999999999999999E-3</v>
      </c>
      <c r="E115" s="25"/>
      <c r="L115" s="120"/>
    </row>
    <row r="116" spans="1:13" x14ac:dyDescent="0.35">
      <c r="A116" s="136">
        <v>45572</v>
      </c>
      <c r="B116" s="120">
        <v>-1.43E-2</v>
      </c>
      <c r="C116" s="120">
        <v>-6.0000000000000001E-3</v>
      </c>
      <c r="E116" s="25"/>
      <c r="L116" s="120"/>
    </row>
    <row r="117" spans="1:13" x14ac:dyDescent="0.35">
      <c r="A117" s="136">
        <v>45542</v>
      </c>
      <c r="B117" s="120">
        <v>-8.9999999999999993E-3</v>
      </c>
      <c r="C117" s="120">
        <v>7.9000000000000008E-3</v>
      </c>
      <c r="E117" s="25"/>
      <c r="L117" s="120"/>
    </row>
    <row r="118" spans="1:13" x14ac:dyDescent="0.35">
      <c r="A118" s="136">
        <v>45511</v>
      </c>
      <c r="B118" s="120">
        <v>3.7400000000000003E-2</v>
      </c>
      <c r="C118" s="120">
        <v>4.0000000000000002E-4</v>
      </c>
      <c r="E118" s="25"/>
      <c r="L118" s="120"/>
    </row>
    <row r="119" spans="1:13" x14ac:dyDescent="0.35">
      <c r="A119" s="136">
        <v>45419</v>
      </c>
      <c r="B119" s="120">
        <v>1.2200000000000001E-2</v>
      </c>
      <c r="C119" s="120">
        <v>2.5000000000000001E-3</v>
      </c>
      <c r="E119" s="25"/>
      <c r="L119" s="120"/>
    </row>
    <row r="120" spans="1:13" x14ac:dyDescent="0.35">
      <c r="A120" s="136">
        <v>45389</v>
      </c>
      <c r="B120" s="120">
        <v>-1.2999999999999999E-3</v>
      </c>
      <c r="C120" s="120">
        <v>2.3999999999999998E-3</v>
      </c>
      <c r="E120" s="25"/>
      <c r="L120" s="120"/>
    </row>
    <row r="121" spans="1:13" x14ac:dyDescent="0.35">
      <c r="A121" s="136">
        <v>45358</v>
      </c>
      <c r="B121" s="120">
        <v>1.7899999999999999E-2</v>
      </c>
      <c r="C121" s="120">
        <v>5.5999999999999999E-3</v>
      </c>
      <c r="E121" s="25"/>
      <c r="L121" s="120"/>
    </row>
    <row r="122" spans="1:13" x14ac:dyDescent="0.35">
      <c r="A122" s="136">
        <v>45329</v>
      </c>
      <c r="B122" s="120">
        <v>5.4999999999999997E-3</v>
      </c>
      <c r="C122" s="120">
        <v>1.21E-2</v>
      </c>
      <c r="E122" s="25"/>
      <c r="L122" s="120"/>
      <c r="M122" s="131"/>
    </row>
    <row r="123" spans="1:13" x14ac:dyDescent="0.35">
      <c r="A123" s="136">
        <v>45298</v>
      </c>
      <c r="B123" s="120">
        <v>2.8E-3</v>
      </c>
      <c r="C123" s="120">
        <v>7.4000000000000003E-3</v>
      </c>
      <c r="E123" s="25"/>
      <c r="L123" s="120"/>
    </row>
    <row r="124" spans="1:13" x14ac:dyDescent="0.35">
      <c r="A124" s="136" t="s">
        <v>378</v>
      </c>
      <c r="B124" s="120">
        <v>-2.4299999999999999E-2</v>
      </c>
      <c r="C124" s="120">
        <v>-1.09E-2</v>
      </c>
      <c r="E124" s="25"/>
      <c r="L124" s="120"/>
      <c r="M124" s="121"/>
    </row>
    <row r="125" spans="1:13" x14ac:dyDescent="0.35">
      <c r="A125" s="136" t="s">
        <v>379</v>
      </c>
      <c r="B125" s="120">
        <v>5.4000000000000003E-3</v>
      </c>
      <c r="C125" s="120">
        <v>-1.6999999999999999E-3</v>
      </c>
      <c r="E125" s="25"/>
      <c r="G125" s="25"/>
      <c r="L125" s="120"/>
    </row>
    <row r="126" spans="1:13" x14ac:dyDescent="0.35">
      <c r="A126" s="136" t="s">
        <v>380</v>
      </c>
      <c r="B126" s="120">
        <v>1.0999999999999999E-2</v>
      </c>
      <c r="C126" s="120">
        <v>3.7000000000000002E-3</v>
      </c>
      <c r="E126" s="25"/>
      <c r="L126" s="120"/>
    </row>
    <row r="127" spans="1:13" x14ac:dyDescent="0.35">
      <c r="A127" s="136" t="s">
        <v>381</v>
      </c>
      <c r="B127" s="120">
        <v>2.1000000000000001E-2</v>
      </c>
      <c r="C127" s="120">
        <v>1.9E-3</v>
      </c>
      <c r="E127" s="25"/>
      <c r="G127" s="25"/>
      <c r="L127" s="120"/>
    </row>
    <row r="128" spans="1:13" x14ac:dyDescent="0.35">
      <c r="A128" s="136" t="s">
        <v>382</v>
      </c>
      <c r="B128" s="120">
        <v>-4.5499999999999999E-2</v>
      </c>
      <c r="C128" s="120">
        <v>-2.18E-2</v>
      </c>
      <c r="E128" s="25"/>
      <c r="L128" s="120"/>
    </row>
    <row r="129" spans="1:12" x14ac:dyDescent="0.35">
      <c r="A129" s="136" t="s">
        <v>383</v>
      </c>
      <c r="B129" s="120">
        <v>1.2999999999999999E-3</v>
      </c>
      <c r="C129" s="120">
        <v>-2.0000000000000001E-4</v>
      </c>
      <c r="E129" s="25"/>
      <c r="G129" s="25"/>
      <c r="L129" s="120"/>
    </row>
    <row r="130" spans="1:12" x14ac:dyDescent="0.35">
      <c r="A130" s="136" t="s">
        <v>384</v>
      </c>
      <c r="B130" s="120">
        <v>-1.1900000000000001E-2</v>
      </c>
      <c r="C130" s="120">
        <v>2E-3</v>
      </c>
      <c r="E130" s="25"/>
      <c r="L130" s="120"/>
    </row>
    <row r="131" spans="1:12" x14ac:dyDescent="0.35">
      <c r="A131" s="136" t="s">
        <v>385</v>
      </c>
      <c r="B131" s="120">
        <v>9.4000000000000004E-3</v>
      </c>
      <c r="C131" s="120">
        <v>2.0000000000000001E-4</v>
      </c>
      <c r="E131" s="25"/>
      <c r="L131" s="120"/>
    </row>
    <row r="132" spans="1:12" x14ac:dyDescent="0.35">
      <c r="A132" s="136" t="s">
        <v>386</v>
      </c>
      <c r="B132" s="120">
        <v>2.7000000000000001E-3</v>
      </c>
      <c r="C132" s="120">
        <v>3.7000000000000002E-3</v>
      </c>
      <c r="E132" s="25"/>
      <c r="G132" s="25"/>
      <c r="L132" s="120"/>
    </row>
    <row r="133" spans="1:12" x14ac:dyDescent="0.35">
      <c r="A133" s="136" t="s">
        <v>387</v>
      </c>
      <c r="B133" s="120">
        <v>1.3599999999999999E-2</v>
      </c>
      <c r="C133" s="120">
        <v>-4.0000000000000001E-3</v>
      </c>
      <c r="E133" s="25"/>
      <c r="L133" s="120"/>
    </row>
    <row r="134" spans="1:12" x14ac:dyDescent="0.35">
      <c r="A134" s="136" t="s">
        <v>388</v>
      </c>
      <c r="B134" s="120">
        <v>-5.1499999999999997E-2</v>
      </c>
      <c r="C134" s="120">
        <v>-1.66E-2</v>
      </c>
      <c r="E134" s="25"/>
      <c r="L134" s="120"/>
    </row>
    <row r="135" spans="1:12" x14ac:dyDescent="0.35">
      <c r="A135" s="136" t="s">
        <v>389</v>
      </c>
      <c r="B135" s="120">
        <v>-1.2999999999999999E-3</v>
      </c>
      <c r="C135" s="120">
        <v>1E-3</v>
      </c>
      <c r="E135" s="25"/>
      <c r="G135" s="25"/>
      <c r="L135" s="120"/>
    </row>
    <row r="136" spans="1:12" x14ac:dyDescent="0.35">
      <c r="A136" s="136">
        <v>45632</v>
      </c>
      <c r="B136" s="120">
        <v>-3.8E-3</v>
      </c>
      <c r="C136" s="120">
        <v>1.23E-2</v>
      </c>
      <c r="E136" s="25"/>
      <c r="L136" s="120"/>
    </row>
    <row r="137" spans="1:12" x14ac:dyDescent="0.35">
      <c r="A137" s="136">
        <v>45602</v>
      </c>
      <c r="B137" s="120">
        <v>5.1999999999999998E-3</v>
      </c>
      <c r="C137" s="120">
        <v>-4.8999999999999998E-3</v>
      </c>
      <c r="E137" s="25"/>
      <c r="G137" s="25"/>
      <c r="L137" s="120"/>
    </row>
    <row r="138" spans="1:12" x14ac:dyDescent="0.35">
      <c r="A138" s="136">
        <v>45571</v>
      </c>
      <c r="B138" s="120">
        <v>-3.8999999999999998E-3</v>
      </c>
      <c r="C138" s="120">
        <v>2.3999999999999998E-3</v>
      </c>
      <c r="E138" s="25"/>
      <c r="L138" s="120"/>
    </row>
    <row r="139" spans="1:12" x14ac:dyDescent="0.35">
      <c r="A139" s="136">
        <v>45479</v>
      </c>
      <c r="B139" s="120">
        <v>1.17E-2</v>
      </c>
      <c r="C139" s="120">
        <v>3.0999999999999999E-3</v>
      </c>
      <c r="E139" s="25"/>
      <c r="L139" s="120"/>
    </row>
    <row r="140" spans="1:12" x14ac:dyDescent="0.35">
      <c r="A140" s="136">
        <v>45449</v>
      </c>
      <c r="B140" s="120">
        <v>-8.9999999999999993E-3</v>
      </c>
      <c r="C140" s="120">
        <v>-5.9999999999999995E-4</v>
      </c>
      <c r="E140" s="25"/>
      <c r="L140" s="120"/>
    </row>
    <row r="141" spans="1:12" x14ac:dyDescent="0.35">
      <c r="A141" s="136">
        <v>45418</v>
      </c>
      <c r="B141" s="120">
        <v>6.4999999999999997E-3</v>
      </c>
      <c r="C141" s="120">
        <v>5.9999999999999995E-4</v>
      </c>
      <c r="E141" s="25"/>
      <c r="G141" s="25"/>
      <c r="L141" s="120"/>
    </row>
    <row r="142" spans="1:12" x14ac:dyDescent="0.35">
      <c r="A142" s="136">
        <v>45388</v>
      </c>
      <c r="B142" s="120">
        <v>2.5999999999999999E-3</v>
      </c>
      <c r="C142" s="120">
        <v>2.8E-3</v>
      </c>
      <c r="E142" s="25"/>
      <c r="L142" s="120"/>
    </row>
    <row r="143" spans="1:12" x14ac:dyDescent="0.35">
      <c r="A143" s="136">
        <v>45357</v>
      </c>
      <c r="B143" s="120">
        <v>6.9400000000000003E-2</v>
      </c>
      <c r="C143" s="120">
        <v>1.4500000000000001E-2</v>
      </c>
      <c r="E143" s="25"/>
      <c r="G143" s="25"/>
      <c r="L143" s="120"/>
    </row>
    <row r="144" spans="1:12" x14ac:dyDescent="0.35">
      <c r="A144" s="136" t="s">
        <v>390</v>
      </c>
      <c r="B144" s="120">
        <v>0</v>
      </c>
      <c r="C144" s="120">
        <v>-3.5999999999999999E-3</v>
      </c>
      <c r="E144" s="25"/>
      <c r="L144" s="120"/>
    </row>
    <row r="145" spans="1:12" x14ac:dyDescent="0.35">
      <c r="A145" s="136" t="s">
        <v>391</v>
      </c>
      <c r="B145" s="120">
        <v>-1.0999999999999999E-2</v>
      </c>
      <c r="C145" s="120">
        <v>-5.0000000000000001E-3</v>
      </c>
      <c r="E145" s="25"/>
      <c r="G145" s="25"/>
      <c r="L145" s="120"/>
    </row>
    <row r="146" spans="1:12" x14ac:dyDescent="0.35">
      <c r="A146" s="136" t="s">
        <v>392</v>
      </c>
      <c r="B146" s="120">
        <v>5.4999999999999997E-3</v>
      </c>
      <c r="C146" s="120">
        <v>-7.1000000000000004E-3</v>
      </c>
      <c r="E146" s="25"/>
      <c r="G146" s="25"/>
      <c r="L146" s="120"/>
    </row>
    <row r="147" spans="1:12" x14ac:dyDescent="0.35">
      <c r="A147" s="136" t="s">
        <v>393</v>
      </c>
      <c r="B147" s="120">
        <v>0</v>
      </c>
      <c r="C147" s="120">
        <v>1.11E-2</v>
      </c>
      <c r="E147" s="25"/>
      <c r="G147" s="25"/>
      <c r="L147" s="120"/>
    </row>
    <row r="148" spans="1:12" x14ac:dyDescent="0.35">
      <c r="A148" s="136" t="s">
        <v>394</v>
      </c>
      <c r="B148" s="120">
        <v>1.83E-2</v>
      </c>
      <c r="C148" s="120">
        <v>4.5999999999999999E-3</v>
      </c>
      <c r="E148" s="25"/>
      <c r="L148" s="120"/>
    </row>
    <row r="149" spans="1:12" x14ac:dyDescent="0.35">
      <c r="A149" s="136" t="s">
        <v>395</v>
      </c>
      <c r="B149" s="120">
        <v>-3.9199999999999999E-2</v>
      </c>
      <c r="C149" s="120">
        <v>-1.49E-2</v>
      </c>
      <c r="E149" s="25"/>
      <c r="L149" s="120"/>
    </row>
    <row r="150" spans="1:12" x14ac:dyDescent="0.35">
      <c r="A150" s="136" t="s">
        <v>396</v>
      </c>
      <c r="B150" s="120">
        <v>2.7799999999999998E-2</v>
      </c>
      <c r="C150" s="120">
        <v>1.11E-2</v>
      </c>
      <c r="E150" s="25"/>
      <c r="L150" s="120"/>
    </row>
    <row r="151" spans="1:12" x14ac:dyDescent="0.35">
      <c r="A151" s="136" t="s">
        <v>397</v>
      </c>
      <c r="B151" s="120">
        <v>4.1999999999999997E-3</v>
      </c>
      <c r="C151" s="120">
        <v>-8.0000000000000002E-3</v>
      </c>
      <c r="E151" s="25"/>
      <c r="L151" s="120"/>
    </row>
    <row r="152" spans="1:12" x14ac:dyDescent="0.35">
      <c r="A152" s="136" t="s">
        <v>398</v>
      </c>
      <c r="B152" s="120">
        <v>2.2800000000000001E-2</v>
      </c>
      <c r="C152" s="120">
        <v>-2.9999999999999997E-4</v>
      </c>
      <c r="E152" s="25"/>
      <c r="L152" s="120"/>
    </row>
    <row r="153" spans="1:12" x14ac:dyDescent="0.35">
      <c r="A153" s="136" t="s">
        <v>399</v>
      </c>
      <c r="B153" s="120">
        <v>-1.4E-3</v>
      </c>
      <c r="C153" s="120">
        <v>3.5000000000000001E-3</v>
      </c>
      <c r="E153" s="25"/>
      <c r="L153" s="120"/>
    </row>
    <row r="154" spans="1:12" x14ac:dyDescent="0.35">
      <c r="A154" s="136" t="s">
        <v>400</v>
      </c>
      <c r="B154" s="120">
        <v>2.8999999999999998E-3</v>
      </c>
      <c r="C154" s="120">
        <v>3.3999999999999998E-3</v>
      </c>
      <c r="E154" s="25"/>
      <c r="L154" s="120"/>
    </row>
    <row r="155" spans="1:12" x14ac:dyDescent="0.35">
      <c r="A155" s="136" t="s">
        <v>401</v>
      </c>
      <c r="B155" s="120">
        <v>8.6E-3</v>
      </c>
      <c r="C155" s="120">
        <v>1.15E-2</v>
      </c>
      <c r="E155" s="25"/>
      <c r="L155" s="120"/>
    </row>
    <row r="156" spans="1:12" x14ac:dyDescent="0.35">
      <c r="A156" s="136" t="s">
        <v>402</v>
      </c>
      <c r="B156" s="120">
        <v>2.9700000000000001E-2</v>
      </c>
      <c r="C156" s="120">
        <v>8.8999999999999999E-3</v>
      </c>
      <c r="E156" s="25"/>
      <c r="L156" s="120"/>
    </row>
    <row r="157" spans="1:12" x14ac:dyDescent="0.35">
      <c r="A157" s="136" t="s">
        <v>403</v>
      </c>
      <c r="B157" s="120">
        <v>8.9999999999999993E-3</v>
      </c>
      <c r="C157" s="120">
        <v>2.5000000000000001E-3</v>
      </c>
      <c r="E157" s="25"/>
      <c r="L157" s="120"/>
    </row>
    <row r="158" spans="1:12" x14ac:dyDescent="0.35">
      <c r="A158" s="136" t="s">
        <v>404</v>
      </c>
      <c r="B158" s="120">
        <v>-1.47E-2</v>
      </c>
      <c r="C158" s="120">
        <v>-3.5999999999999999E-3</v>
      </c>
      <c r="E158" s="25"/>
      <c r="L158" s="120"/>
    </row>
    <row r="159" spans="1:12" x14ac:dyDescent="0.35">
      <c r="A159" s="136">
        <v>45570</v>
      </c>
      <c r="B159" s="120">
        <v>0</v>
      </c>
      <c r="C159" s="120">
        <v>-3.2000000000000002E-3</v>
      </c>
      <c r="E159" s="25"/>
      <c r="L159" s="120"/>
    </row>
    <row r="160" spans="1:12" x14ac:dyDescent="0.35">
      <c r="A160" s="136">
        <v>45540</v>
      </c>
      <c r="B160" s="120">
        <v>-5.8999999999999999E-3</v>
      </c>
      <c r="C160" s="120">
        <v>-1.5E-3</v>
      </c>
      <c r="E160" s="25"/>
      <c r="L160" s="120"/>
    </row>
    <row r="161" spans="1:12" x14ac:dyDescent="0.35">
      <c r="A161" s="136">
        <v>45509</v>
      </c>
      <c r="B161" s="120">
        <v>1.6400000000000001E-2</v>
      </c>
      <c r="C161" s="120">
        <v>1.5E-3</v>
      </c>
      <c r="E161" s="25"/>
      <c r="G161" s="25"/>
      <c r="L161" s="120"/>
    </row>
    <row r="162" spans="1:12" x14ac:dyDescent="0.35">
      <c r="A162" s="136">
        <v>45478</v>
      </c>
      <c r="B162" s="120">
        <v>8.9999999999999993E-3</v>
      </c>
      <c r="C162" s="120">
        <v>5.7000000000000002E-3</v>
      </c>
      <c r="E162" s="25"/>
      <c r="L162" s="120"/>
    </row>
    <row r="163" spans="1:12" x14ac:dyDescent="0.35">
      <c r="A163" s="136">
        <v>45448</v>
      </c>
      <c r="B163" s="120">
        <v>2.7799999999999998E-2</v>
      </c>
      <c r="C163" s="120">
        <v>1.6799999999999999E-2</v>
      </c>
      <c r="E163" s="25"/>
      <c r="G163" s="25"/>
      <c r="L163" s="120"/>
    </row>
    <row r="164" spans="1:12" x14ac:dyDescent="0.35">
      <c r="A164" s="136">
        <v>45356</v>
      </c>
      <c r="B164" s="120">
        <v>-6.1000000000000004E-3</v>
      </c>
      <c r="C164" s="120">
        <v>3.8E-3</v>
      </c>
      <c r="E164" s="25"/>
      <c r="L164" s="120"/>
    </row>
    <row r="165" spans="1:12" x14ac:dyDescent="0.35">
      <c r="A165" s="136">
        <v>45327</v>
      </c>
      <c r="B165" s="120">
        <v>3.0099999999999998E-2</v>
      </c>
      <c r="C165" s="120">
        <v>5.7000000000000002E-3</v>
      </c>
      <c r="E165" s="25"/>
      <c r="G165" s="25"/>
      <c r="L165" s="120"/>
    </row>
    <row r="166" spans="1:12" x14ac:dyDescent="0.35">
      <c r="A166" s="136" t="s">
        <v>405</v>
      </c>
      <c r="B166" s="120">
        <v>1.12E-2</v>
      </c>
      <c r="C166" s="120">
        <v>3.8E-3</v>
      </c>
      <c r="E166" s="25"/>
      <c r="L166" s="120"/>
    </row>
    <row r="167" spans="1:12" x14ac:dyDescent="0.35">
      <c r="A167" s="136" t="s">
        <v>406</v>
      </c>
      <c r="B167" s="120">
        <v>-2.1899999999999999E-2</v>
      </c>
      <c r="C167" s="120">
        <v>-5.0000000000000001E-4</v>
      </c>
      <c r="E167" s="25"/>
      <c r="L167" s="120"/>
    </row>
    <row r="168" spans="1:12" x14ac:dyDescent="0.35">
      <c r="A168" s="136" t="s">
        <v>407</v>
      </c>
      <c r="B168" s="120">
        <v>2.0799999999999999E-2</v>
      </c>
      <c r="C168" s="120">
        <v>2.4E-2</v>
      </c>
      <c r="E168" s="25"/>
      <c r="G168" s="25"/>
      <c r="L168" s="120"/>
    </row>
    <row r="169" spans="1:12" x14ac:dyDescent="0.35">
      <c r="A169" s="136" t="s">
        <v>408</v>
      </c>
      <c r="B169" s="120">
        <v>-9.4999999999999998E-3</v>
      </c>
      <c r="C169" s="120">
        <v>-1.0800000000000001E-2</v>
      </c>
      <c r="E169" s="25"/>
      <c r="L169" s="120"/>
    </row>
    <row r="170" spans="1:12" x14ac:dyDescent="0.35">
      <c r="A170" s="136" t="s">
        <v>409</v>
      </c>
      <c r="B170" s="120">
        <v>1.2800000000000001E-2</v>
      </c>
      <c r="C170" s="120">
        <v>1.3100000000000001E-2</v>
      </c>
      <c r="E170" s="25"/>
      <c r="L170" s="120"/>
    </row>
    <row r="171" spans="1:12" x14ac:dyDescent="0.35">
      <c r="A171" s="136" t="s">
        <v>410</v>
      </c>
      <c r="B171" s="120">
        <v>-0.04</v>
      </c>
      <c r="C171" s="120">
        <v>-1.52E-2</v>
      </c>
      <c r="E171" s="25"/>
      <c r="G171" s="25"/>
      <c r="L171" s="120"/>
    </row>
    <row r="172" spans="1:12" x14ac:dyDescent="0.35">
      <c r="A172" s="136" t="s">
        <v>411</v>
      </c>
      <c r="B172" s="120">
        <v>-7.6E-3</v>
      </c>
      <c r="C172" s="120">
        <v>-1.8599999999999998E-2</v>
      </c>
      <c r="E172" s="25"/>
      <c r="L172" s="120"/>
    </row>
    <row r="173" spans="1:12" x14ac:dyDescent="0.35">
      <c r="A173" s="136" t="s">
        <v>412</v>
      </c>
      <c r="B173" s="120">
        <v>1.0800000000000001E-2</v>
      </c>
      <c r="C173" s="120">
        <v>-8.0000000000000004E-4</v>
      </c>
      <c r="E173" s="25"/>
      <c r="G173" s="25"/>
      <c r="L173" s="120"/>
    </row>
    <row r="174" spans="1:12" x14ac:dyDescent="0.35">
      <c r="A174" s="136" t="s">
        <v>413</v>
      </c>
      <c r="B174" s="120">
        <v>-6.6299999999999998E-2</v>
      </c>
      <c r="C174" s="120">
        <v>-4.7E-2</v>
      </c>
      <c r="E174" s="25"/>
      <c r="L174" s="120"/>
    </row>
    <row r="175" spans="1:12" x14ac:dyDescent="0.35">
      <c r="A175" s="136">
        <v>45630</v>
      </c>
      <c r="B175" s="120">
        <v>7.3000000000000001E-3</v>
      </c>
      <c r="C175" s="120">
        <v>1.46E-2</v>
      </c>
      <c r="E175" s="25"/>
      <c r="L175" s="120"/>
    </row>
    <row r="176" spans="1:12" x14ac:dyDescent="0.35">
      <c r="A176" s="136">
        <v>45600</v>
      </c>
      <c r="B176" s="120">
        <v>-7.1999999999999998E-3</v>
      </c>
      <c r="C176" s="120">
        <v>-2.9999999999999997E-4</v>
      </c>
      <c r="E176" s="25"/>
      <c r="L176" s="120"/>
    </row>
    <row r="177" spans="1:12" x14ac:dyDescent="0.35">
      <c r="A177" s="136">
        <v>45569</v>
      </c>
      <c r="B177" s="120">
        <v>-1.2800000000000001E-2</v>
      </c>
      <c r="C177" s="120">
        <v>-3.3999999999999998E-3</v>
      </c>
      <c r="E177" s="25"/>
      <c r="G177" s="25"/>
      <c r="L177" s="120"/>
    </row>
    <row r="178" spans="1:12" x14ac:dyDescent="0.35">
      <c r="A178" s="136">
        <v>45539</v>
      </c>
      <c r="B178" s="120">
        <v>1.2999999999999999E-2</v>
      </c>
      <c r="C178" s="120">
        <v>0.01</v>
      </c>
      <c r="E178" s="25"/>
      <c r="L178" s="120"/>
    </row>
    <row r="179" spans="1:12" x14ac:dyDescent="0.35">
      <c r="A179" s="136">
        <v>45508</v>
      </c>
      <c r="B179" s="120">
        <v>-1.9800000000000002E-2</v>
      </c>
      <c r="C179" s="120">
        <v>-3.8E-3</v>
      </c>
      <c r="E179" s="25"/>
      <c r="G179" s="25"/>
      <c r="L179" s="120"/>
    </row>
    <row r="180" spans="1:12" x14ac:dyDescent="0.35">
      <c r="A180" s="136">
        <v>45416</v>
      </c>
      <c r="B180" s="120">
        <v>-2.07E-2</v>
      </c>
      <c r="C180" s="120">
        <v>-1.04E-2</v>
      </c>
      <c r="E180" s="25"/>
      <c r="L180" s="120"/>
    </row>
    <row r="181" spans="1:12" x14ac:dyDescent="0.35">
      <c r="A181" s="136">
        <v>45386</v>
      </c>
      <c r="B181" s="120">
        <v>-9.5999999999999992E-3</v>
      </c>
      <c r="C181" s="120">
        <v>-2.5000000000000001E-3</v>
      </c>
      <c r="E181" s="25"/>
      <c r="G181" s="25"/>
      <c r="L181" s="120"/>
    </row>
    <row r="182" spans="1:12" x14ac:dyDescent="0.35">
      <c r="A182" s="136">
        <v>45355</v>
      </c>
      <c r="B182" s="120">
        <v>1.9599999999999999E-2</v>
      </c>
      <c r="C182" s="120">
        <v>-1.21E-2</v>
      </c>
      <c r="E182" s="25"/>
      <c r="G182" s="25"/>
      <c r="L182" s="120"/>
    </row>
    <row r="183" spans="1:12" x14ac:dyDescent="0.35">
      <c r="A183" s="136">
        <v>45326</v>
      </c>
      <c r="B183" s="120">
        <v>7.0000000000000001E-3</v>
      </c>
      <c r="C183" s="120">
        <v>4.3E-3</v>
      </c>
      <c r="E183" s="25"/>
      <c r="G183" s="25"/>
      <c r="L183" s="120"/>
    </row>
    <row r="184" spans="1:12" x14ac:dyDescent="0.35">
      <c r="A184" s="136">
        <v>45295</v>
      </c>
      <c r="B184" s="120">
        <v>-7.0000000000000001E-3</v>
      </c>
      <c r="C184" s="120">
        <v>-2E-3</v>
      </c>
      <c r="E184" s="25"/>
      <c r="L184" s="120"/>
    </row>
    <row r="185" spans="1:12" x14ac:dyDescent="0.35">
      <c r="A185" s="136" t="s">
        <v>414</v>
      </c>
      <c r="B185" s="120">
        <v>-1.24E-2</v>
      </c>
      <c r="C185" s="120">
        <v>-4.7000000000000002E-3</v>
      </c>
      <c r="E185" s="25"/>
      <c r="L185" s="120"/>
    </row>
    <row r="186" spans="1:12" x14ac:dyDescent="0.35">
      <c r="A186" s="136" t="s">
        <v>415</v>
      </c>
      <c r="B186" s="120">
        <v>1.12E-2</v>
      </c>
      <c r="C186" s="120">
        <v>5.4999999999999997E-3</v>
      </c>
      <c r="E186" s="25"/>
      <c r="L186" s="120"/>
    </row>
    <row r="187" spans="1:12" x14ac:dyDescent="0.35">
      <c r="A187" s="136" t="s">
        <v>416</v>
      </c>
      <c r="B187" s="120">
        <v>-4.1999999999999997E-3</v>
      </c>
      <c r="C187" s="120">
        <v>6.9999999999999999E-4</v>
      </c>
      <c r="E187" s="25"/>
      <c r="L187" s="120"/>
    </row>
    <row r="188" spans="1:12" x14ac:dyDescent="0.35">
      <c r="A188" s="136" t="s">
        <v>417</v>
      </c>
      <c r="B188" s="120">
        <v>2.2700000000000001E-2</v>
      </c>
      <c r="C188" s="120">
        <v>1.1299999999999999E-2</v>
      </c>
      <c r="E188" s="25"/>
      <c r="L188" s="120"/>
    </row>
    <row r="189" spans="1:12" x14ac:dyDescent="0.35">
      <c r="A189" s="136" t="s">
        <v>418</v>
      </c>
      <c r="B189" s="120">
        <v>-8.5000000000000006E-3</v>
      </c>
      <c r="C189" s="120">
        <v>-1.09E-2</v>
      </c>
      <c r="E189" s="25"/>
      <c r="L189" s="120"/>
    </row>
    <row r="190" spans="1:12" x14ac:dyDescent="0.35">
      <c r="A190" s="136" t="s">
        <v>419</v>
      </c>
      <c r="B190" s="120">
        <v>0</v>
      </c>
      <c r="C190" s="120">
        <v>4.1999999999999997E-3</v>
      </c>
      <c r="E190" s="25"/>
      <c r="L190" s="120"/>
    </row>
    <row r="191" spans="1:12" x14ac:dyDescent="0.35">
      <c r="A191" s="136" t="s">
        <v>420</v>
      </c>
      <c r="B191" s="120">
        <v>0.01</v>
      </c>
      <c r="C191" s="120">
        <v>1.2999999999999999E-2</v>
      </c>
      <c r="E191" s="25"/>
      <c r="L191" s="120"/>
    </row>
    <row r="192" spans="1:12" x14ac:dyDescent="0.35">
      <c r="A192" s="136" t="s">
        <v>421</v>
      </c>
      <c r="B192" s="120">
        <v>1.01E-2</v>
      </c>
      <c r="C192" s="120">
        <v>1.4200000000000001E-2</v>
      </c>
      <c r="E192" s="25"/>
      <c r="L192" s="120"/>
    </row>
    <row r="193" spans="1:12" x14ac:dyDescent="0.35">
      <c r="A193" s="136" t="s">
        <v>422</v>
      </c>
      <c r="B193" s="120">
        <v>1.4E-3</v>
      </c>
      <c r="C193" s="120">
        <v>-8.9999999999999998E-4</v>
      </c>
      <c r="E193" s="25"/>
      <c r="L193" s="120"/>
    </row>
    <row r="194" spans="1:12" x14ac:dyDescent="0.35">
      <c r="A194" s="136" t="s">
        <v>423</v>
      </c>
      <c r="B194" s="120">
        <v>-4.53E-2</v>
      </c>
      <c r="C194" s="120">
        <v>-1.6E-2</v>
      </c>
      <c r="E194" s="25"/>
      <c r="L194" s="120"/>
    </row>
    <row r="195" spans="1:12" x14ac:dyDescent="0.35">
      <c r="A195" s="136" t="s">
        <v>424</v>
      </c>
      <c r="B195" s="120">
        <v>0</v>
      </c>
      <c r="C195" s="120">
        <v>-4.0000000000000002E-4</v>
      </c>
      <c r="E195" s="25"/>
      <c r="L195" s="120"/>
    </row>
    <row r="196" spans="1:12" x14ac:dyDescent="0.35">
      <c r="A196" s="136" t="s">
        <v>425</v>
      </c>
      <c r="B196" s="120">
        <v>-1.09E-2</v>
      </c>
      <c r="C196" s="120">
        <v>-4.8999999999999998E-3</v>
      </c>
      <c r="E196" s="25"/>
      <c r="L196" s="120"/>
    </row>
    <row r="197" spans="1:12" x14ac:dyDescent="0.35">
      <c r="A197" s="136" t="s">
        <v>426</v>
      </c>
      <c r="B197" s="120">
        <v>3.6600000000000001E-2</v>
      </c>
      <c r="C197" s="120">
        <v>2.0500000000000001E-2</v>
      </c>
      <c r="E197" s="25"/>
      <c r="G197" s="25"/>
      <c r="L197" s="120"/>
    </row>
    <row r="198" spans="1:12" x14ac:dyDescent="0.35">
      <c r="A198" s="136">
        <v>45629</v>
      </c>
      <c r="B198" s="120">
        <v>-1.2500000000000001E-2</v>
      </c>
      <c r="C198" s="120">
        <v>7.7000000000000002E-3</v>
      </c>
      <c r="E198" s="25"/>
      <c r="L198" s="120"/>
    </row>
    <row r="199" spans="1:12" x14ac:dyDescent="0.35">
      <c r="A199" s="136">
        <v>45599</v>
      </c>
      <c r="B199" s="120">
        <v>1.2699999999999999E-2</v>
      </c>
      <c r="C199" s="120">
        <v>-9.4999999999999998E-3</v>
      </c>
      <c r="E199" s="25"/>
      <c r="G199" s="25"/>
      <c r="L199" s="120"/>
    </row>
    <row r="200" spans="1:12" x14ac:dyDescent="0.35">
      <c r="A200" s="136">
        <v>45507</v>
      </c>
      <c r="B200" s="120">
        <v>2.8E-3</v>
      </c>
      <c r="C200" s="120">
        <v>-1.66E-2</v>
      </c>
      <c r="E200" s="25"/>
      <c r="L200" s="120"/>
    </row>
    <row r="201" spans="1:12" x14ac:dyDescent="0.35">
      <c r="A201" s="136">
        <v>45476</v>
      </c>
      <c r="B201" s="120">
        <v>1.5800000000000002E-2</v>
      </c>
      <c r="C201" s="120">
        <v>4.4999999999999997E-3</v>
      </c>
      <c r="E201" s="25"/>
      <c r="G201" s="25"/>
      <c r="L201" s="120"/>
    </row>
    <row r="202" spans="1:12" x14ac:dyDescent="0.35">
      <c r="A202" s="136">
        <v>45446</v>
      </c>
      <c r="B202" s="120">
        <v>-1.2699999999999999E-2</v>
      </c>
      <c r="C202" s="120">
        <v>-5.7000000000000002E-3</v>
      </c>
      <c r="E202" s="25"/>
      <c r="L202" s="120"/>
    </row>
    <row r="203" spans="1:12" x14ac:dyDescent="0.35">
      <c r="A203" s="136">
        <v>45415</v>
      </c>
      <c r="B203" s="120">
        <v>2.8E-3</v>
      </c>
      <c r="C203" s="120">
        <v>6.7999999999999996E-3</v>
      </c>
      <c r="E203" s="25"/>
      <c r="L203" s="120"/>
    </row>
    <row r="204" spans="1:12" x14ac:dyDescent="0.35">
      <c r="A204" s="136">
        <v>45385</v>
      </c>
      <c r="B204" s="120">
        <v>2.8E-3</v>
      </c>
      <c r="C204" s="120">
        <v>2.5000000000000001E-3</v>
      </c>
      <c r="E204" s="25"/>
      <c r="G204" s="25"/>
      <c r="L204" s="120"/>
    </row>
    <row r="205" spans="1:12" x14ac:dyDescent="0.35">
      <c r="A205" s="136">
        <v>45294</v>
      </c>
      <c r="B205" s="120">
        <v>1.01E-2</v>
      </c>
      <c r="C205" s="120">
        <v>4.4000000000000003E-3</v>
      </c>
      <c r="E205" s="25"/>
      <c r="L205" s="120"/>
    </row>
    <row r="206" spans="1:12" x14ac:dyDescent="0.35">
      <c r="A206" s="136" t="s">
        <v>427</v>
      </c>
      <c r="B206" s="120">
        <v>-4.3E-3</v>
      </c>
      <c r="C206" s="120">
        <v>-1.5E-3</v>
      </c>
      <c r="E206" s="25"/>
      <c r="L206" s="120"/>
    </row>
    <row r="207" spans="1:12" x14ac:dyDescent="0.35">
      <c r="A207" s="136" t="s">
        <v>428</v>
      </c>
      <c r="B207" s="120">
        <v>1.01E-2</v>
      </c>
      <c r="C207" s="120">
        <v>1.38E-2</v>
      </c>
      <c r="E207" s="25"/>
      <c r="G207" s="25"/>
      <c r="L207" s="120"/>
    </row>
    <row r="208" spans="1:12" x14ac:dyDescent="0.35">
      <c r="A208" s="136" t="s">
        <v>429</v>
      </c>
      <c r="B208" s="120">
        <v>8.8000000000000005E-3</v>
      </c>
      <c r="C208" s="120">
        <v>1.09E-2</v>
      </c>
      <c r="E208" s="25"/>
      <c r="L208" s="120"/>
    </row>
    <row r="209" spans="1:12" x14ac:dyDescent="0.35">
      <c r="A209" s="136" t="s">
        <v>430</v>
      </c>
      <c r="B209" s="120">
        <v>1.9300000000000001E-2</v>
      </c>
      <c r="C209" s="120">
        <v>0.01</v>
      </c>
      <c r="E209" s="25"/>
      <c r="G209" s="25"/>
      <c r="L209" s="120"/>
    </row>
    <row r="210" spans="1:12" x14ac:dyDescent="0.35">
      <c r="A210" s="136" t="s">
        <v>431</v>
      </c>
      <c r="B210" s="120">
        <v>-2.8899999999999999E-2</v>
      </c>
      <c r="C210" s="120">
        <v>-1.2500000000000001E-2</v>
      </c>
      <c r="E210" s="25"/>
      <c r="L210" s="120"/>
    </row>
    <row r="211" spans="1:12" x14ac:dyDescent="0.35">
      <c r="A211" s="136" t="s">
        <v>432</v>
      </c>
      <c r="B211" s="120">
        <v>-1.14E-2</v>
      </c>
      <c r="C211" s="120">
        <v>-2.2000000000000001E-3</v>
      </c>
      <c r="E211" s="25"/>
      <c r="L211" s="120"/>
    </row>
    <row r="212" spans="1:12" x14ac:dyDescent="0.35">
      <c r="A212" s="136" t="s">
        <v>433</v>
      </c>
      <c r="B212" s="120">
        <v>7.1999999999999998E-3</v>
      </c>
      <c r="C212" s="120">
        <v>0</v>
      </c>
      <c r="E212" s="25"/>
      <c r="L212" s="120"/>
    </row>
    <row r="213" spans="1:12" x14ac:dyDescent="0.35">
      <c r="A213" s="136" t="s">
        <v>434</v>
      </c>
      <c r="B213" s="120">
        <v>-5.7000000000000002E-3</v>
      </c>
      <c r="C213" s="120">
        <v>4.1999999999999997E-3</v>
      </c>
      <c r="E213" s="25"/>
      <c r="G213" s="25"/>
      <c r="L213" s="120"/>
    </row>
    <row r="214" spans="1:12" x14ac:dyDescent="0.35">
      <c r="A214" s="136" t="s">
        <v>435</v>
      </c>
      <c r="B214" s="120">
        <v>2.4899999999999999E-2</v>
      </c>
      <c r="C214" s="120">
        <v>1.26E-2</v>
      </c>
      <c r="E214" s="25"/>
      <c r="L214" s="120"/>
    </row>
    <row r="215" spans="1:12" x14ac:dyDescent="0.35">
      <c r="A215" s="136" t="s">
        <v>436</v>
      </c>
      <c r="B215" s="120">
        <v>2.8999999999999998E-3</v>
      </c>
      <c r="C215" s="120">
        <v>6.0000000000000001E-3</v>
      </c>
      <c r="E215" s="25"/>
      <c r="G215" s="25"/>
      <c r="L215" s="120"/>
    </row>
    <row r="216" spans="1:12" x14ac:dyDescent="0.35">
      <c r="A216" s="136" t="s">
        <v>437</v>
      </c>
      <c r="B216" s="120">
        <v>2.8999999999999998E-3</v>
      </c>
      <c r="C216" s="120">
        <v>3.3E-3</v>
      </c>
      <c r="E216" s="25"/>
      <c r="L216" s="120"/>
    </row>
    <row r="217" spans="1:12" x14ac:dyDescent="0.35">
      <c r="A217" s="136">
        <v>45475</v>
      </c>
      <c r="B217" s="120">
        <v>1.7999999999999999E-2</v>
      </c>
      <c r="C217" s="120">
        <v>8.5000000000000006E-3</v>
      </c>
      <c r="E217" s="25"/>
      <c r="G217" s="25"/>
      <c r="L217" s="120"/>
    </row>
    <row r="218" spans="1:12" x14ac:dyDescent="0.35">
      <c r="A218" s="136">
        <v>45445</v>
      </c>
      <c r="B218" s="120">
        <v>0</v>
      </c>
      <c r="C218" s="120">
        <v>2E-3</v>
      </c>
      <c r="E218" s="25"/>
      <c r="G218" s="25"/>
      <c r="L218" s="120"/>
    </row>
    <row r="219" spans="1:12" x14ac:dyDescent="0.35">
      <c r="A219" s="136">
        <v>45414</v>
      </c>
      <c r="B219" s="120">
        <v>9.1000000000000004E-3</v>
      </c>
      <c r="C219" s="120">
        <v>1.15E-2</v>
      </c>
      <c r="E219" s="25"/>
      <c r="G219" s="25"/>
      <c r="L219" s="120"/>
    </row>
    <row r="220" spans="1:12" x14ac:dyDescent="0.35">
      <c r="A220" s="136">
        <v>45324</v>
      </c>
      <c r="B220" s="120">
        <v>-3.0000000000000001E-3</v>
      </c>
      <c r="C220" s="120">
        <v>-4.0000000000000002E-4</v>
      </c>
      <c r="E220" s="25"/>
      <c r="L220" s="120"/>
    </row>
    <row r="221" spans="1:12" x14ac:dyDescent="0.35">
      <c r="A221" s="136">
        <v>45293</v>
      </c>
      <c r="B221" s="120">
        <v>1.0699999999999999E-2</v>
      </c>
      <c r="C221" s="120">
        <v>7.4999999999999997E-3</v>
      </c>
      <c r="E221" s="25"/>
      <c r="L221" s="120"/>
    </row>
    <row r="222" spans="1:12" x14ac:dyDescent="0.35">
      <c r="A222" s="136" t="s">
        <v>438</v>
      </c>
      <c r="B222" s="120">
        <v>-2.24E-2</v>
      </c>
      <c r="C222" s="120">
        <v>-1.2999999999999999E-2</v>
      </c>
      <c r="E222" s="25"/>
      <c r="L222" s="120"/>
    </row>
    <row r="223" spans="1:12" x14ac:dyDescent="0.35">
      <c r="A223" s="136" t="s">
        <v>439</v>
      </c>
      <c r="B223" s="120">
        <v>-1.5E-3</v>
      </c>
      <c r="C223" s="120">
        <v>3.3999999999999998E-3</v>
      </c>
      <c r="E223" s="25"/>
      <c r="L223" s="120"/>
    </row>
    <row r="224" spans="1:12" x14ac:dyDescent="0.35">
      <c r="A224" s="136" t="s">
        <v>440</v>
      </c>
      <c r="B224" s="120">
        <v>2.5999999999999999E-2</v>
      </c>
      <c r="C224" s="120">
        <v>0</v>
      </c>
      <c r="E224" s="25"/>
      <c r="L224" s="120"/>
    </row>
    <row r="225" spans="1:12" x14ac:dyDescent="0.35">
      <c r="A225" s="136" t="s">
        <v>441</v>
      </c>
      <c r="B225" s="120">
        <v>1.0800000000000001E-2</v>
      </c>
      <c r="C225" s="120">
        <v>4.4999999999999997E-3</v>
      </c>
      <c r="E225" s="25"/>
      <c r="L225" s="120"/>
    </row>
    <row r="226" spans="1:12" x14ac:dyDescent="0.35">
      <c r="A226" s="136" t="s">
        <v>442</v>
      </c>
      <c r="B226" s="120">
        <v>-9.1999999999999998E-3</v>
      </c>
      <c r="C226" s="120">
        <v>-2.2000000000000001E-3</v>
      </c>
      <c r="E226" s="25"/>
      <c r="L226" s="120"/>
    </row>
    <row r="227" spans="1:12" x14ac:dyDescent="0.35">
      <c r="A227" s="136" t="s">
        <v>443</v>
      </c>
      <c r="B227" s="120">
        <v>-1.5E-3</v>
      </c>
      <c r="C227" s="120">
        <v>-3.8E-3</v>
      </c>
      <c r="E227" s="25"/>
      <c r="L227" s="120"/>
    </row>
    <row r="228" spans="1:12" x14ac:dyDescent="0.35">
      <c r="A228" s="136" t="s">
        <v>444</v>
      </c>
      <c r="B228" s="120">
        <v>-4.5999999999999999E-3</v>
      </c>
      <c r="C228" s="120">
        <v>-4.4999999999999997E-3</v>
      </c>
      <c r="E228" s="25"/>
      <c r="L228" s="120"/>
    </row>
    <row r="229" spans="1:12" x14ac:dyDescent="0.35">
      <c r="A229" s="136" t="s">
        <v>445</v>
      </c>
      <c r="B229" s="120">
        <v>-6.1000000000000004E-3</v>
      </c>
      <c r="C229" s="120">
        <v>1.1999999999999999E-3</v>
      </c>
      <c r="E229" s="25"/>
      <c r="L229" s="120"/>
    </row>
    <row r="230" spans="1:12" x14ac:dyDescent="0.35">
      <c r="A230" s="136" t="s">
        <v>446</v>
      </c>
      <c r="B230" s="120">
        <v>-6.0000000000000001E-3</v>
      </c>
      <c r="C230" s="120">
        <v>1.06E-2</v>
      </c>
      <c r="E230" s="25"/>
      <c r="L230" s="120"/>
    </row>
    <row r="231" spans="1:12" x14ac:dyDescent="0.35">
      <c r="A231" s="136" t="s">
        <v>447</v>
      </c>
      <c r="B231" s="120">
        <v>0</v>
      </c>
      <c r="C231" s="120">
        <v>5.5999999999999999E-3</v>
      </c>
      <c r="E231" s="25"/>
      <c r="L231" s="120"/>
    </row>
    <row r="232" spans="1:12" x14ac:dyDescent="0.35">
      <c r="A232" s="136" t="s">
        <v>448</v>
      </c>
      <c r="B232" s="120">
        <v>7.6E-3</v>
      </c>
      <c r="C232" s="120">
        <v>-5.0000000000000001E-4</v>
      </c>
      <c r="E232" s="25"/>
      <c r="L232" s="120"/>
    </row>
    <row r="233" spans="1:12" x14ac:dyDescent="0.35">
      <c r="A233" s="136" t="s">
        <v>449</v>
      </c>
      <c r="B233" s="120">
        <v>9.1999999999999998E-3</v>
      </c>
      <c r="C233" s="120">
        <v>7.7999999999999996E-3</v>
      </c>
      <c r="E233" s="25"/>
      <c r="G233" s="25"/>
      <c r="L233" s="120"/>
    </row>
    <row r="234" spans="1:12" x14ac:dyDescent="0.35">
      <c r="A234" s="136" t="s">
        <v>450</v>
      </c>
      <c r="B234" s="120">
        <v>-1.5E-3</v>
      </c>
      <c r="C234" s="120">
        <v>-5.0000000000000001E-4</v>
      </c>
      <c r="E234" s="25"/>
      <c r="L234" s="120"/>
    </row>
    <row r="235" spans="1:12" x14ac:dyDescent="0.35">
      <c r="A235" s="136">
        <v>45627</v>
      </c>
      <c r="B235" s="120">
        <v>-2.3800000000000002E-2</v>
      </c>
      <c r="C235" s="120">
        <v>-6.4999999999999997E-3</v>
      </c>
      <c r="E235" s="25"/>
      <c r="G235" s="25"/>
      <c r="L235" s="120"/>
    </row>
    <row r="236" spans="1:12" x14ac:dyDescent="0.35">
      <c r="A236" s="136">
        <v>45597</v>
      </c>
      <c r="B236" s="120">
        <v>0</v>
      </c>
      <c r="C236" s="120">
        <v>5.9999999999999995E-4</v>
      </c>
      <c r="E236" s="25"/>
      <c r="L236" s="120"/>
    </row>
    <row r="237" spans="1:12" x14ac:dyDescent="0.35">
      <c r="A237" s="136">
        <v>45566</v>
      </c>
      <c r="B237" s="120">
        <v>-1.03E-2</v>
      </c>
      <c r="C237" s="120">
        <v>2.5000000000000001E-3</v>
      </c>
      <c r="E237" s="25"/>
      <c r="G237" s="25"/>
      <c r="L237" s="120"/>
    </row>
    <row r="238" spans="1:12" x14ac:dyDescent="0.35">
      <c r="A238" s="136">
        <v>45536</v>
      </c>
      <c r="B238" s="120">
        <v>8.8999999999999999E-3</v>
      </c>
      <c r="C238" s="120">
        <v>-1.4E-3</v>
      </c>
      <c r="E238" s="25"/>
      <c r="L238" s="120"/>
    </row>
    <row r="239" spans="1:12" x14ac:dyDescent="0.35">
      <c r="A239" s="136">
        <v>45505</v>
      </c>
      <c r="B239" s="120">
        <v>-7.4000000000000003E-3</v>
      </c>
      <c r="C239" s="120">
        <v>4.7999999999999996E-3</v>
      </c>
      <c r="E239" s="25"/>
      <c r="L239" s="120"/>
    </row>
    <row r="240" spans="1:12" x14ac:dyDescent="0.35">
      <c r="A240" s="136">
        <v>45413</v>
      </c>
      <c r="B240" s="120">
        <v>-1.5E-3</v>
      </c>
      <c r="C240" s="120">
        <v>3.3999999999999998E-3</v>
      </c>
      <c r="E240" s="25"/>
      <c r="G240" s="25"/>
      <c r="L240" s="120"/>
    </row>
    <row r="241" spans="1:12" x14ac:dyDescent="0.35">
      <c r="A241" s="136">
        <v>45383</v>
      </c>
      <c r="B241" s="120">
        <v>-1.5E-3</v>
      </c>
      <c r="C241" s="120">
        <v>5.7000000000000002E-3</v>
      </c>
      <c r="E241" s="25"/>
      <c r="L241" s="120"/>
    </row>
    <row r="242" spans="1:12" x14ac:dyDescent="0.35">
      <c r="A242" s="136">
        <v>45352</v>
      </c>
      <c r="B242" s="120">
        <v>-1.5E-3</v>
      </c>
      <c r="C242" s="120">
        <v>1.0999999999999999E-2</v>
      </c>
      <c r="E242" s="25"/>
      <c r="L242" s="120"/>
    </row>
    <row r="243" spans="1:12" x14ac:dyDescent="0.35">
      <c r="A243" s="136">
        <v>45323</v>
      </c>
      <c r="B243" s="120">
        <v>2.1000000000000001E-2</v>
      </c>
      <c r="C243" s="120">
        <v>1.6000000000000001E-3</v>
      </c>
      <c r="E243" s="25"/>
      <c r="G243" s="25"/>
      <c r="L243" s="120"/>
    </row>
    <row r="244" spans="1:12" x14ac:dyDescent="0.35">
      <c r="A244" s="136" t="s">
        <v>463</v>
      </c>
      <c r="B244" s="120">
        <v>4.4999999999999997E-3</v>
      </c>
      <c r="C244" s="120">
        <v>8.9999999999999998E-4</v>
      </c>
      <c r="E244" s="25"/>
      <c r="L244" s="120"/>
    </row>
    <row r="245" spans="1:12" x14ac:dyDescent="0.35">
      <c r="A245" s="136" t="s">
        <v>464</v>
      </c>
      <c r="B245" s="120">
        <v>-7.4999999999999997E-3</v>
      </c>
      <c r="C245" s="120">
        <v>6.1999999999999998E-3</v>
      </c>
      <c r="E245" s="25"/>
      <c r="G245" s="25"/>
      <c r="L245" s="120"/>
    </row>
    <row r="246" spans="1:12" x14ac:dyDescent="0.35">
      <c r="A246" s="136" t="s">
        <v>465</v>
      </c>
      <c r="B246" s="120">
        <v>9.1000000000000004E-3</v>
      </c>
      <c r="C246" s="120">
        <v>-2.0000000000000001E-4</v>
      </c>
      <c r="E246" s="25"/>
      <c r="L246" s="120"/>
    </row>
    <row r="247" spans="1:12" x14ac:dyDescent="0.35">
      <c r="A247" s="136" t="s">
        <v>466</v>
      </c>
      <c r="B247" s="120">
        <v>6.1000000000000004E-3</v>
      </c>
      <c r="C247" s="120">
        <v>4.1000000000000003E-3</v>
      </c>
      <c r="E247" s="25"/>
      <c r="L247" s="120"/>
    </row>
    <row r="248" spans="1:12" x14ac:dyDescent="0.35">
      <c r="A248" s="136" t="s">
        <v>467</v>
      </c>
      <c r="B248" s="120">
        <v>1.0800000000000001E-2</v>
      </c>
      <c r="C248" s="120">
        <v>1.32E-2</v>
      </c>
      <c r="E248" s="25"/>
      <c r="L248" s="120"/>
    </row>
    <row r="249" spans="1:12" x14ac:dyDescent="0.35">
      <c r="A249" s="136" t="s">
        <v>468</v>
      </c>
      <c r="B249" s="120">
        <v>-6.1000000000000004E-3</v>
      </c>
      <c r="C249" s="120">
        <v>5.9999999999999995E-4</v>
      </c>
      <c r="E249" s="25"/>
      <c r="G249" s="25"/>
      <c r="L249" s="120"/>
    </row>
    <row r="250" spans="1:12" x14ac:dyDescent="0.35">
      <c r="A250" s="136" t="s">
        <v>469</v>
      </c>
      <c r="B250" s="120">
        <v>1.5E-3</v>
      </c>
      <c r="C250" s="120">
        <v>1.5E-3</v>
      </c>
      <c r="E250" s="25"/>
      <c r="L250" s="120"/>
    </row>
    <row r="251" spans="1:12" x14ac:dyDescent="0.35">
      <c r="A251" s="136" t="s">
        <v>470</v>
      </c>
      <c r="B251" s="120">
        <v>-3.0000000000000001E-3</v>
      </c>
      <c r="C251" s="120">
        <v>4.1000000000000003E-3</v>
      </c>
      <c r="E251" s="25"/>
      <c r="G251" s="25"/>
      <c r="L251" s="120"/>
    </row>
    <row r="252" spans="1:12" x14ac:dyDescent="0.35">
      <c r="A252" s="136" t="s">
        <v>471</v>
      </c>
      <c r="B252" s="120">
        <v>0</v>
      </c>
      <c r="C252" s="120">
        <v>4.0000000000000001E-3</v>
      </c>
      <c r="E252" s="25"/>
      <c r="L252" s="120"/>
    </row>
    <row r="253" spans="1:12" x14ac:dyDescent="0.35">
      <c r="A253" s="136" t="s">
        <v>472</v>
      </c>
      <c r="B253" s="120">
        <v>1.5E-3</v>
      </c>
      <c r="C253" s="120">
        <v>-9.4999999999999998E-3</v>
      </c>
      <c r="E253" s="25"/>
      <c r="G253" s="25"/>
      <c r="L253" s="120"/>
    </row>
    <row r="254" spans="1:12" x14ac:dyDescent="0.35">
      <c r="A254" s="136" t="s">
        <v>473</v>
      </c>
      <c r="B254" s="120">
        <v>-1.3599999999999999E-2</v>
      </c>
      <c r="C254" s="120">
        <v>-7.1000000000000004E-3</v>
      </c>
      <c r="E254" s="25"/>
      <c r="G254" s="25"/>
      <c r="L254" s="120"/>
    </row>
    <row r="255" spans="1:12" x14ac:dyDescent="0.35">
      <c r="A255" s="136" t="s">
        <v>474</v>
      </c>
      <c r="B255" s="120">
        <v>-1.1900000000000001E-2</v>
      </c>
      <c r="C255" s="120">
        <v>-3.7000000000000002E-3</v>
      </c>
      <c r="E255" s="25"/>
      <c r="G255" s="25"/>
      <c r="L255" s="120"/>
    </row>
    <row r="256" spans="1:12" x14ac:dyDescent="0.35">
      <c r="A256" s="136" t="s">
        <v>475</v>
      </c>
      <c r="B256" s="120">
        <v>-1.47E-2</v>
      </c>
      <c r="C256" s="120">
        <v>-1.1900000000000001E-2</v>
      </c>
      <c r="E256" s="25"/>
      <c r="L256" s="120"/>
    </row>
    <row r="257" spans="1:12" x14ac:dyDescent="0.35">
      <c r="A257" s="136">
        <v>45272</v>
      </c>
      <c r="B257" s="120">
        <v>1.04E-2</v>
      </c>
      <c r="C257" s="120">
        <v>1.9E-3</v>
      </c>
      <c r="E257" s="25"/>
      <c r="L257" s="120"/>
    </row>
    <row r="258" spans="1:12" x14ac:dyDescent="0.35">
      <c r="A258" s="136">
        <v>45242</v>
      </c>
      <c r="B258" s="120">
        <v>1.5E-3</v>
      </c>
      <c r="C258" s="120">
        <v>8.9999999999999998E-4</v>
      </c>
      <c r="E258" s="25"/>
      <c r="L258" s="120"/>
    </row>
    <row r="259" spans="1:12" x14ac:dyDescent="0.35">
      <c r="A259" s="136">
        <v>45150</v>
      </c>
      <c r="B259" s="120">
        <v>3.0000000000000001E-3</v>
      </c>
      <c r="C259" s="120">
        <v>2.5999999999999999E-3</v>
      </c>
      <c r="E259" s="25"/>
      <c r="L259" s="120"/>
    </row>
    <row r="260" spans="1:12" x14ac:dyDescent="0.35">
      <c r="A260" s="136">
        <v>45119</v>
      </c>
      <c r="B260" s="120">
        <v>-1.18E-2</v>
      </c>
      <c r="C260" s="120">
        <v>-4.4000000000000003E-3</v>
      </c>
      <c r="E260" s="25"/>
      <c r="L260" s="120"/>
    </row>
    <row r="261" spans="1:12" x14ac:dyDescent="0.35">
      <c r="A261" s="136">
        <v>45089</v>
      </c>
      <c r="B261" s="120">
        <v>1.1900000000000001E-2</v>
      </c>
      <c r="C261" s="120">
        <v>9.4000000000000004E-3</v>
      </c>
      <c r="E261" s="25"/>
      <c r="L261" s="120"/>
    </row>
    <row r="262" spans="1:12" x14ac:dyDescent="0.35">
      <c r="A262" s="136">
        <v>45058</v>
      </c>
      <c r="B262" s="120">
        <v>-1.18E-2</v>
      </c>
      <c r="C262" s="120">
        <v>-4.0000000000000001E-3</v>
      </c>
      <c r="E262" s="25"/>
      <c r="L262" s="120"/>
    </row>
    <row r="263" spans="1:12" x14ac:dyDescent="0.35">
      <c r="A263" s="136">
        <v>45028</v>
      </c>
      <c r="B263" s="120">
        <v>2.41E-2</v>
      </c>
      <c r="C263" s="120">
        <v>1.66E-2</v>
      </c>
      <c r="E263" s="25"/>
      <c r="L263" s="120"/>
    </row>
    <row r="264" spans="1:12" x14ac:dyDescent="0.35">
      <c r="A264" s="136">
        <v>44938</v>
      </c>
      <c r="B264" s="120">
        <v>7.6E-3</v>
      </c>
      <c r="C264" s="120">
        <v>7.3000000000000001E-3</v>
      </c>
      <c r="E264" s="25"/>
      <c r="L264" s="120"/>
    </row>
    <row r="265" spans="1:12" x14ac:dyDescent="0.35">
      <c r="A265" s="136" t="s">
        <v>451</v>
      </c>
      <c r="B265" s="120">
        <v>1.0699999999999999E-2</v>
      </c>
      <c r="C265" s="120">
        <v>-7.9000000000000008E-3</v>
      </c>
      <c r="E265" s="25"/>
      <c r="L265" s="120"/>
    </row>
    <row r="266" spans="1:12" x14ac:dyDescent="0.35">
      <c r="A266" s="136" t="s">
        <v>452</v>
      </c>
      <c r="B266" s="120">
        <v>9.2999999999999992E-3</v>
      </c>
      <c r="C266" s="120">
        <v>6.7000000000000002E-3</v>
      </c>
      <c r="E266" s="25"/>
      <c r="L266" s="120"/>
    </row>
    <row r="267" spans="1:12" x14ac:dyDescent="0.35">
      <c r="A267" s="136" t="s">
        <v>453</v>
      </c>
      <c r="B267" s="120">
        <v>-1.0699999999999999E-2</v>
      </c>
      <c r="C267" s="120">
        <v>6.7999999999999996E-3</v>
      </c>
      <c r="E267" s="25"/>
      <c r="L267" s="120"/>
    </row>
    <row r="268" spans="1:12" x14ac:dyDescent="0.35">
      <c r="A268" s="136" t="s">
        <v>454</v>
      </c>
      <c r="B268" s="120">
        <v>-4.5999999999999999E-3</v>
      </c>
      <c r="C268" s="120">
        <v>-6.8999999999999999E-3</v>
      </c>
      <c r="E268" s="25"/>
      <c r="L268" s="120"/>
    </row>
    <row r="269" spans="1:12" x14ac:dyDescent="0.35">
      <c r="A269" s="136" t="s">
        <v>455</v>
      </c>
      <c r="B269" s="120">
        <v>9.1999999999999998E-3</v>
      </c>
      <c r="C269" s="120">
        <v>6.4999999999999997E-3</v>
      </c>
      <c r="E269" s="25"/>
      <c r="G269" s="25"/>
      <c r="L269" s="120"/>
    </row>
    <row r="270" spans="1:12" x14ac:dyDescent="0.35">
      <c r="A270" s="136" t="s">
        <v>456</v>
      </c>
      <c r="B270" s="120">
        <v>-3.1300000000000001E-2</v>
      </c>
      <c r="C270" s="120">
        <v>-2.2700000000000001E-2</v>
      </c>
      <c r="E270" s="25"/>
      <c r="L270" s="120"/>
    </row>
    <row r="271" spans="1:12" x14ac:dyDescent="0.35">
      <c r="A271" s="136" t="s">
        <v>457</v>
      </c>
      <c r="B271" s="120">
        <v>4.4999999999999997E-3</v>
      </c>
      <c r="C271" s="120">
        <v>3.0000000000000001E-3</v>
      </c>
      <c r="E271" s="25"/>
      <c r="G271" s="25"/>
      <c r="L271" s="120"/>
    </row>
    <row r="272" spans="1:12" x14ac:dyDescent="0.35">
      <c r="A272" s="136" t="s">
        <v>458</v>
      </c>
      <c r="B272" s="120">
        <v>1.52E-2</v>
      </c>
      <c r="C272" s="120">
        <v>6.1999999999999998E-3</v>
      </c>
      <c r="E272" s="25"/>
      <c r="L272" s="120"/>
    </row>
    <row r="273" spans="1:12" x14ac:dyDescent="0.35">
      <c r="A273" s="136" t="s">
        <v>459</v>
      </c>
      <c r="B273" s="120">
        <v>-3.0000000000000001E-3</v>
      </c>
      <c r="C273" s="120">
        <v>2.2000000000000001E-3</v>
      </c>
      <c r="E273" s="25"/>
      <c r="G273" s="25"/>
      <c r="L273" s="120"/>
    </row>
    <row r="274" spans="1:12" x14ac:dyDescent="0.35">
      <c r="A274" s="136" t="s">
        <v>460</v>
      </c>
      <c r="B274" s="120">
        <v>-2.6499999999999999E-2</v>
      </c>
      <c r="C274" s="120">
        <v>-2.1600000000000001E-2</v>
      </c>
      <c r="E274" s="25"/>
      <c r="L274" s="120"/>
    </row>
    <row r="275" spans="1:12" x14ac:dyDescent="0.35">
      <c r="A275" s="136" t="s">
        <v>461</v>
      </c>
      <c r="B275" s="120">
        <v>3.3500000000000002E-2</v>
      </c>
      <c r="C275" s="120">
        <v>2.7000000000000001E-3</v>
      </c>
      <c r="E275" s="25"/>
      <c r="L275" s="120"/>
    </row>
    <row r="276" spans="1:12" x14ac:dyDescent="0.35">
      <c r="A276" s="136" t="s">
        <v>462</v>
      </c>
      <c r="B276" s="120">
        <v>7.7000000000000002E-3</v>
      </c>
      <c r="C276" s="120">
        <v>1.15E-2</v>
      </c>
      <c r="E276" s="25"/>
      <c r="G276" s="25"/>
      <c r="L276" s="120"/>
    </row>
    <row r="277" spans="1:12" x14ac:dyDescent="0.35">
      <c r="A277" s="136" t="s">
        <v>476</v>
      </c>
      <c r="B277" s="120">
        <v>1.4E-2</v>
      </c>
      <c r="C277" s="120">
        <v>8.8000000000000005E-3</v>
      </c>
      <c r="E277" s="25"/>
      <c r="L277" s="120"/>
    </row>
    <row r="278" spans="1:12" x14ac:dyDescent="0.35">
      <c r="A278" s="136" t="s">
        <v>477</v>
      </c>
      <c r="B278" s="120">
        <v>-6.1999999999999998E-3</v>
      </c>
      <c r="C278" s="120">
        <v>-1.5E-3</v>
      </c>
      <c r="E278" s="25"/>
      <c r="L278" s="120"/>
    </row>
    <row r="279" spans="1:12" x14ac:dyDescent="0.35">
      <c r="A279" s="136">
        <v>45210</v>
      </c>
      <c r="B279" s="120">
        <v>-1.67E-2</v>
      </c>
      <c r="C279" s="120">
        <v>-1.0999999999999999E-2</v>
      </c>
      <c r="E279" s="25"/>
      <c r="G279" s="25"/>
      <c r="L279" s="120"/>
    </row>
    <row r="280" spans="1:12" x14ac:dyDescent="0.35">
      <c r="A280" s="136">
        <v>45180</v>
      </c>
      <c r="B280" s="120">
        <v>0</v>
      </c>
      <c r="C280" s="120">
        <v>4.0000000000000002E-4</v>
      </c>
      <c r="E280" s="25"/>
      <c r="L280" s="120"/>
    </row>
    <row r="281" spans="1:12" x14ac:dyDescent="0.35">
      <c r="A281" s="136">
        <v>45149</v>
      </c>
      <c r="B281" s="120">
        <v>4.7800000000000002E-2</v>
      </c>
      <c r="C281" s="120">
        <v>3.0700000000000002E-2</v>
      </c>
      <c r="E281" s="25"/>
      <c r="G281" s="25"/>
      <c r="L281" s="120"/>
    </row>
    <row r="282" spans="1:12" x14ac:dyDescent="0.35">
      <c r="A282" s="136">
        <v>45118</v>
      </c>
      <c r="B282" s="120">
        <v>-1.4200000000000001E-2</v>
      </c>
      <c r="C282" s="120">
        <v>-8.6E-3</v>
      </c>
      <c r="E282" s="25"/>
      <c r="L282" s="120"/>
    </row>
    <row r="283" spans="1:12" x14ac:dyDescent="0.35">
      <c r="A283" s="136">
        <v>45088</v>
      </c>
      <c r="B283" s="120">
        <v>6.3E-3</v>
      </c>
      <c r="C283" s="120">
        <v>1.2E-2</v>
      </c>
      <c r="E283" s="25"/>
      <c r="L283" s="120"/>
    </row>
    <row r="284" spans="1:12" x14ac:dyDescent="0.35">
      <c r="A284" s="136">
        <v>44996</v>
      </c>
      <c r="B284" s="120">
        <v>2.4299999999999999E-2</v>
      </c>
      <c r="C284" s="120">
        <v>1.1999999999999999E-3</v>
      </c>
      <c r="E284" s="25"/>
      <c r="L284" s="120"/>
    </row>
    <row r="285" spans="1:12" x14ac:dyDescent="0.35">
      <c r="A285" s="136">
        <v>44968</v>
      </c>
      <c r="B285" s="120">
        <v>6.93E-2</v>
      </c>
      <c r="C285" s="120">
        <v>3.44E-2</v>
      </c>
      <c r="E285" s="25"/>
      <c r="G285" s="25"/>
      <c r="L285" s="120"/>
    </row>
    <row r="286" spans="1:12" x14ac:dyDescent="0.35">
      <c r="A286" s="136">
        <v>44937</v>
      </c>
      <c r="B286" s="120">
        <v>1.5800000000000002E-2</v>
      </c>
      <c r="C286" s="120">
        <v>1.12E-2</v>
      </c>
      <c r="E286" s="25"/>
      <c r="L286" s="120"/>
    </row>
    <row r="287" spans="1:12" x14ac:dyDescent="0.35">
      <c r="A287" s="136" t="s">
        <v>478</v>
      </c>
      <c r="B287" s="120">
        <v>-6.8900000000000003E-2</v>
      </c>
      <c r="C287" s="120">
        <v>-1.3599999999999999E-2</v>
      </c>
      <c r="E287" s="25"/>
      <c r="G287" s="25"/>
      <c r="L287" s="120"/>
    </row>
    <row r="288" spans="1:12" x14ac:dyDescent="0.35">
      <c r="A288" s="136" t="s">
        <v>479</v>
      </c>
      <c r="B288" s="120">
        <v>-4.3900000000000002E-2</v>
      </c>
      <c r="C288" s="120">
        <v>-1.72E-2</v>
      </c>
      <c r="E288" s="25"/>
      <c r="L288" s="120"/>
    </row>
    <row r="289" spans="1:12" x14ac:dyDescent="0.35">
      <c r="A289" s="136" t="s">
        <v>480</v>
      </c>
      <c r="B289" s="120">
        <v>9.4999999999999998E-3</v>
      </c>
      <c r="C289" s="120">
        <v>4.8999999999999998E-3</v>
      </c>
      <c r="E289" s="25"/>
      <c r="G289" s="25"/>
      <c r="L289" s="120"/>
    </row>
    <row r="290" spans="1:12" x14ac:dyDescent="0.35">
      <c r="A290" s="136" t="s">
        <v>481</v>
      </c>
      <c r="B290" s="120">
        <v>-6.2300000000000001E-2</v>
      </c>
      <c r="C290" s="120">
        <v>-4.19E-2</v>
      </c>
      <c r="E290" s="25"/>
      <c r="G290" s="25"/>
      <c r="L290" s="120"/>
    </row>
    <row r="291" spans="1:12" x14ac:dyDescent="0.35">
      <c r="A291" s="136" t="s">
        <v>482</v>
      </c>
      <c r="B291" s="120">
        <v>-3.1600000000000003E-2</v>
      </c>
      <c r="C291" s="120">
        <v>-3.8E-3</v>
      </c>
      <c r="E291" s="25"/>
      <c r="G291" s="25"/>
      <c r="L291" s="120"/>
    </row>
    <row r="292" spans="1:12" x14ac:dyDescent="0.35">
      <c r="A292" s="136" t="s">
        <v>483</v>
      </c>
      <c r="B292" s="120">
        <v>-1.2800000000000001E-2</v>
      </c>
      <c r="C292" s="120">
        <v>1.1299999999999999E-2</v>
      </c>
      <c r="E292" s="25"/>
      <c r="L292" s="120"/>
    </row>
    <row r="293" spans="1:12" x14ac:dyDescent="0.35">
      <c r="A293" s="136" t="s">
        <v>484</v>
      </c>
      <c r="B293" s="120">
        <v>-2.8899999999999999E-2</v>
      </c>
      <c r="C293" s="120">
        <v>-1.3100000000000001E-2</v>
      </c>
      <c r="E293" s="25"/>
      <c r="L293" s="120"/>
    </row>
    <row r="294" spans="1:12" x14ac:dyDescent="0.35">
      <c r="A294" s="136" t="s">
        <v>485</v>
      </c>
      <c r="B294" s="120">
        <v>1.6799999999999999E-2</v>
      </c>
      <c r="C294" s="120">
        <v>1.8599999999999998E-2</v>
      </c>
      <c r="E294" s="25"/>
      <c r="L294" s="120"/>
    </row>
    <row r="295" spans="1:12" x14ac:dyDescent="0.35">
      <c r="A295" s="136" t="s">
        <v>486</v>
      </c>
      <c r="B295" s="120">
        <v>-8.3000000000000001E-3</v>
      </c>
      <c r="C295" s="120">
        <v>-1.41E-2</v>
      </c>
      <c r="E295" s="25"/>
      <c r="L295" s="120"/>
    </row>
    <row r="296" spans="1:12" x14ac:dyDescent="0.35">
      <c r="A296" s="136" t="s">
        <v>487</v>
      </c>
      <c r="B296" s="120">
        <v>-5.7599999999999998E-2</v>
      </c>
      <c r="C296" s="120">
        <v>-1.6299999999999999E-2</v>
      </c>
      <c r="E296" s="25"/>
      <c r="L296" s="120"/>
    </row>
    <row r="297" spans="1:12" x14ac:dyDescent="0.35">
      <c r="A297" s="136" t="s">
        <v>488</v>
      </c>
      <c r="B297" s="120">
        <v>-5.21E-2</v>
      </c>
      <c r="C297" s="120">
        <v>-1.7299999999999999E-2</v>
      </c>
      <c r="E297" s="25"/>
      <c r="L297" s="120"/>
    </row>
    <row r="298" spans="1:12" x14ac:dyDescent="0.35">
      <c r="A298" s="136" t="s">
        <v>489</v>
      </c>
      <c r="B298" s="120">
        <v>1.77E-2</v>
      </c>
      <c r="C298" s="120">
        <v>-1.15E-2</v>
      </c>
      <c r="E298" s="25"/>
      <c r="L298" s="120"/>
    </row>
    <row r="299" spans="1:12" x14ac:dyDescent="0.35">
      <c r="A299" s="136" t="s">
        <v>490</v>
      </c>
      <c r="B299" s="120">
        <v>1.67E-2</v>
      </c>
      <c r="C299" s="120">
        <v>2.7000000000000001E-3</v>
      </c>
      <c r="E299" s="25"/>
      <c r="L299" s="120"/>
    </row>
    <row r="300" spans="1:12" x14ac:dyDescent="0.35">
      <c r="A300" s="136">
        <v>45270</v>
      </c>
      <c r="B300" s="120">
        <v>-8.8999999999999999E-3</v>
      </c>
      <c r="C300" s="120">
        <v>6.9999999999999999E-4</v>
      </c>
      <c r="E300" s="25"/>
      <c r="L300" s="120"/>
    </row>
    <row r="301" spans="1:12" x14ac:dyDescent="0.35">
      <c r="A301" s="136">
        <v>45240</v>
      </c>
      <c r="B301" s="120">
        <v>1.55E-2</v>
      </c>
      <c r="C301" s="120">
        <v>6.1999999999999998E-3</v>
      </c>
      <c r="E301" s="25"/>
      <c r="L301" s="120"/>
    </row>
    <row r="302" spans="1:12" x14ac:dyDescent="0.35">
      <c r="A302" s="136">
        <v>45209</v>
      </c>
      <c r="B302" s="120">
        <v>-2.0299999999999999E-2</v>
      </c>
      <c r="C302" s="120">
        <v>5.5999999999999999E-3</v>
      </c>
      <c r="E302" s="25"/>
      <c r="L302" s="120"/>
    </row>
    <row r="303" spans="1:12" x14ac:dyDescent="0.35">
      <c r="A303" s="136">
        <v>45179</v>
      </c>
      <c r="B303" s="120">
        <v>3.8100000000000002E-2</v>
      </c>
      <c r="C303" s="120">
        <v>7.7999999999999996E-3</v>
      </c>
      <c r="E303" s="25"/>
      <c r="L303" s="120"/>
    </row>
    <row r="304" spans="1:12" x14ac:dyDescent="0.35">
      <c r="A304" s="136">
        <v>45087</v>
      </c>
      <c r="B304" s="120">
        <v>-1.4200000000000001E-2</v>
      </c>
      <c r="C304" s="120">
        <v>1.32E-2</v>
      </c>
      <c r="E304" s="25"/>
      <c r="L304" s="120"/>
    </row>
    <row r="305" spans="1:12" x14ac:dyDescent="0.35">
      <c r="A305" s="136">
        <v>45056</v>
      </c>
      <c r="B305" s="120">
        <v>-1.78E-2</v>
      </c>
      <c r="C305" s="120">
        <v>-1.3100000000000001E-2</v>
      </c>
      <c r="E305" s="25"/>
      <c r="G305" s="25"/>
      <c r="L305" s="120"/>
    </row>
    <row r="306" spans="1:12" x14ac:dyDescent="0.35">
      <c r="A306" s="136">
        <v>45026</v>
      </c>
      <c r="B306" s="120">
        <v>3.4200000000000001E-2</v>
      </c>
      <c r="C306" s="120">
        <v>9.4999999999999998E-3</v>
      </c>
      <c r="E306" s="25"/>
      <c r="L306" s="120"/>
    </row>
    <row r="307" spans="1:12" x14ac:dyDescent="0.35">
      <c r="A307" s="136">
        <v>44995</v>
      </c>
      <c r="B307" s="120">
        <v>5.3E-3</v>
      </c>
      <c r="C307" s="120">
        <v>-3.2199999999999999E-2</v>
      </c>
      <c r="E307" s="25"/>
      <c r="G307" s="25"/>
      <c r="L307" s="120"/>
    </row>
    <row r="308" spans="1:12" x14ac:dyDescent="0.35">
      <c r="A308" s="136">
        <v>44967</v>
      </c>
      <c r="B308" s="120">
        <v>2.4400000000000002E-2</v>
      </c>
      <c r="C308" s="120">
        <v>1E-3</v>
      </c>
      <c r="E308" s="25"/>
      <c r="L308" s="120"/>
    </row>
    <row r="309" spans="1:12" x14ac:dyDescent="0.35">
      <c r="A309" s="136" t="s">
        <v>491</v>
      </c>
      <c r="B309" s="120">
        <v>-2.7000000000000001E-3</v>
      </c>
      <c r="C309" s="120">
        <v>1.5E-3</v>
      </c>
      <c r="E309" s="25"/>
      <c r="G309" s="25"/>
      <c r="L309" s="120"/>
    </row>
    <row r="310" spans="1:12" x14ac:dyDescent="0.35">
      <c r="A310" s="136" t="s">
        <v>492</v>
      </c>
      <c r="B310" s="120">
        <v>5.4000000000000003E-3</v>
      </c>
      <c r="C310" s="120">
        <v>-1.1999999999999999E-3</v>
      </c>
      <c r="E310" s="25"/>
      <c r="L310" s="120"/>
    </row>
    <row r="311" spans="1:12" x14ac:dyDescent="0.35">
      <c r="A311" s="136" t="s">
        <v>493</v>
      </c>
      <c r="B311" s="120">
        <v>2.2200000000000001E-2</v>
      </c>
      <c r="C311" s="120">
        <v>1.4E-2</v>
      </c>
      <c r="E311" s="25"/>
      <c r="L311" s="120"/>
    </row>
    <row r="312" spans="1:12" x14ac:dyDescent="0.35">
      <c r="A312" s="136" t="s">
        <v>494</v>
      </c>
      <c r="B312" s="120">
        <v>1.4E-3</v>
      </c>
      <c r="C312" s="120">
        <v>-1.32E-2</v>
      </c>
      <c r="E312" s="25"/>
      <c r="G312" s="25"/>
      <c r="L312" s="120"/>
    </row>
    <row r="313" spans="1:12" x14ac:dyDescent="0.35">
      <c r="A313" s="136" t="s">
        <v>495</v>
      </c>
      <c r="B313" s="120">
        <v>-4.0099999999999997E-2</v>
      </c>
      <c r="C313" s="120">
        <v>-3.3399999999999999E-2</v>
      </c>
      <c r="E313" s="25"/>
      <c r="L313" s="120"/>
    </row>
    <row r="314" spans="1:12" x14ac:dyDescent="0.35">
      <c r="A314" s="136" t="s">
        <v>496</v>
      </c>
      <c r="B314" s="120">
        <v>-3.3500000000000002E-2</v>
      </c>
      <c r="C314" s="120">
        <v>-1.6199999999999999E-2</v>
      </c>
      <c r="E314" s="25"/>
      <c r="L314" s="120"/>
    </row>
    <row r="315" spans="1:12" x14ac:dyDescent="0.35">
      <c r="A315" s="136" t="s">
        <v>497</v>
      </c>
      <c r="B315" s="120">
        <v>-1.9E-2</v>
      </c>
      <c r="C315" s="120">
        <v>-1.09E-2</v>
      </c>
      <c r="E315" s="25"/>
      <c r="G315" s="25"/>
      <c r="L315" s="120"/>
    </row>
    <row r="316" spans="1:12" x14ac:dyDescent="0.35">
      <c r="A316" s="136" t="s">
        <v>498</v>
      </c>
      <c r="B316" s="120">
        <v>1.0200000000000001E-2</v>
      </c>
      <c r="C316" s="120">
        <v>1.21E-2</v>
      </c>
      <c r="E316" s="25"/>
      <c r="L316" s="120"/>
    </row>
    <row r="317" spans="1:12" x14ac:dyDescent="0.35">
      <c r="A317" s="136" t="s">
        <v>499</v>
      </c>
      <c r="B317" s="120">
        <v>1.6899999999999998E-2</v>
      </c>
      <c r="C317" s="120">
        <v>-2.9999999999999997E-4</v>
      </c>
      <c r="E317" s="25"/>
      <c r="G317" s="25"/>
      <c r="L317" s="120"/>
    </row>
    <row r="318" spans="1:12" x14ac:dyDescent="0.35">
      <c r="A318" s="136" t="s">
        <v>500</v>
      </c>
      <c r="B318" s="120">
        <v>-1.7899999999999999E-2</v>
      </c>
      <c r="C318" s="120">
        <v>-1.2699999999999999E-2</v>
      </c>
      <c r="E318" s="25"/>
      <c r="L318" s="120"/>
    </row>
    <row r="319" spans="1:12" x14ac:dyDescent="0.35">
      <c r="A319" s="136" t="s">
        <v>501</v>
      </c>
      <c r="B319" s="120">
        <v>-2.5000000000000001E-3</v>
      </c>
      <c r="C319" s="120">
        <v>2.8999999999999998E-3</v>
      </c>
      <c r="E319" s="25"/>
      <c r="L319" s="120"/>
    </row>
    <row r="320" spans="1:12" x14ac:dyDescent="0.35">
      <c r="A320" s="136" t="s">
        <v>502</v>
      </c>
      <c r="B320" s="120">
        <v>0</v>
      </c>
      <c r="C320" s="120">
        <v>-1.18E-2</v>
      </c>
      <c r="E320" s="25"/>
      <c r="L320" s="120"/>
    </row>
    <row r="321" spans="1:12" x14ac:dyDescent="0.35">
      <c r="A321" s="136" t="s">
        <v>503</v>
      </c>
      <c r="B321" s="120">
        <v>-2.3599999999999999E-2</v>
      </c>
      <c r="C321" s="120">
        <v>-5.7000000000000002E-3</v>
      </c>
      <c r="E321" s="25"/>
      <c r="G321" s="25"/>
      <c r="L321" s="120"/>
    </row>
    <row r="322" spans="1:12" x14ac:dyDescent="0.35">
      <c r="A322" s="136">
        <v>45269</v>
      </c>
      <c r="B322" s="120">
        <v>-6.1999999999999998E-3</v>
      </c>
      <c r="C322" s="120">
        <v>1.78E-2</v>
      </c>
      <c r="E322" s="25"/>
      <c r="L322" s="120"/>
    </row>
    <row r="323" spans="1:12" x14ac:dyDescent="0.35">
      <c r="A323" s="136">
        <v>45239</v>
      </c>
      <c r="B323" s="120">
        <v>0</v>
      </c>
      <c r="C323" s="120">
        <v>-1.44E-2</v>
      </c>
      <c r="E323" s="25"/>
      <c r="G323" s="25"/>
      <c r="L323" s="120"/>
    </row>
    <row r="324" spans="1:12" x14ac:dyDescent="0.35">
      <c r="A324" s="136">
        <v>45147</v>
      </c>
      <c r="B324" s="120">
        <v>6.8699999999999997E-2</v>
      </c>
      <c r="C324" s="120">
        <v>-1.2999999999999999E-3</v>
      </c>
      <c r="E324" s="25"/>
      <c r="L324" s="120"/>
    </row>
    <row r="325" spans="1:12" x14ac:dyDescent="0.35">
      <c r="A325" s="136">
        <v>45116</v>
      </c>
      <c r="B325" s="120">
        <v>0</v>
      </c>
      <c r="C325" s="120">
        <v>-1.9E-3</v>
      </c>
      <c r="E325" s="25"/>
      <c r="G325" s="25"/>
      <c r="L325" s="120"/>
    </row>
    <row r="326" spans="1:12" x14ac:dyDescent="0.35">
      <c r="A326" s="136">
        <v>45086</v>
      </c>
      <c r="B326" s="120">
        <v>1.34E-2</v>
      </c>
      <c r="C326" s="120">
        <v>8.5000000000000006E-3</v>
      </c>
      <c r="E326" s="25"/>
      <c r="G326" s="25"/>
      <c r="L326" s="120"/>
    </row>
    <row r="327" spans="1:12" x14ac:dyDescent="0.35">
      <c r="A327" s="136">
        <v>45055</v>
      </c>
      <c r="B327" s="120">
        <v>1.0800000000000001E-2</v>
      </c>
      <c r="C327" s="120">
        <v>8.8999999999999999E-3</v>
      </c>
      <c r="E327" s="25"/>
      <c r="G327" s="25"/>
      <c r="L327" s="120"/>
    </row>
    <row r="328" spans="1:12" x14ac:dyDescent="0.35">
      <c r="A328" s="136" t="s">
        <v>504</v>
      </c>
      <c r="B328" s="120">
        <v>2.2100000000000002E-2</v>
      </c>
      <c r="C328" s="120">
        <v>8.9999999999999993E-3</v>
      </c>
      <c r="E328" s="25"/>
      <c r="L328" s="120"/>
    </row>
    <row r="329" spans="1:12" x14ac:dyDescent="0.35">
      <c r="A329" s="136" t="s">
        <v>505</v>
      </c>
      <c r="B329" s="120">
        <v>5.5999999999999999E-3</v>
      </c>
      <c r="C329" s="120">
        <v>7.1999999999999998E-3</v>
      </c>
      <c r="E329" s="25"/>
      <c r="L329" s="120"/>
    </row>
    <row r="330" spans="1:12" x14ac:dyDescent="0.35">
      <c r="A330" s="136" t="s">
        <v>506</v>
      </c>
      <c r="B330" s="120">
        <v>-8.3000000000000001E-3</v>
      </c>
      <c r="C330" s="120">
        <v>2.3E-3</v>
      </c>
      <c r="E330" s="25"/>
      <c r="L330" s="120"/>
    </row>
    <row r="331" spans="1:12" x14ac:dyDescent="0.35">
      <c r="A331" s="136" t="s">
        <v>507</v>
      </c>
      <c r="B331" s="120">
        <v>3.2800000000000003E-2</v>
      </c>
      <c r="C331" s="120">
        <v>1.55E-2</v>
      </c>
      <c r="E331" s="25"/>
      <c r="L331" s="120"/>
    </row>
    <row r="332" spans="1:12" x14ac:dyDescent="0.35">
      <c r="A332" s="136" t="s">
        <v>508</v>
      </c>
      <c r="B332" s="120">
        <v>-1.4E-2</v>
      </c>
      <c r="C332" s="120">
        <v>-5.1000000000000004E-3</v>
      </c>
      <c r="E332" s="25"/>
      <c r="L332" s="120"/>
    </row>
    <row r="333" spans="1:12" x14ac:dyDescent="0.35">
      <c r="A333" s="136" t="s">
        <v>509</v>
      </c>
      <c r="B333" s="120">
        <v>1.14E-2</v>
      </c>
      <c r="C333" s="120">
        <v>1.44E-2</v>
      </c>
      <c r="E333" s="25"/>
      <c r="L333" s="120"/>
    </row>
    <row r="334" spans="1:12" x14ac:dyDescent="0.35">
      <c r="A334" s="136" t="s">
        <v>510</v>
      </c>
      <c r="B334" s="120">
        <v>-3.1600000000000003E-2</v>
      </c>
      <c r="C334" s="120">
        <v>-6.7000000000000002E-3</v>
      </c>
      <c r="E334" s="25"/>
      <c r="L334" s="120"/>
    </row>
    <row r="335" spans="1:12" x14ac:dyDescent="0.35">
      <c r="A335" s="136" t="s">
        <v>511</v>
      </c>
      <c r="B335" s="120">
        <v>-1.6199999999999999E-2</v>
      </c>
      <c r="C335" s="120">
        <v>5.9999999999999995E-4</v>
      </c>
      <c r="E335" s="25"/>
      <c r="L335" s="120"/>
    </row>
    <row r="336" spans="1:12" x14ac:dyDescent="0.35">
      <c r="A336" s="136" t="s">
        <v>512</v>
      </c>
      <c r="B336" s="120">
        <v>2.3E-2</v>
      </c>
      <c r="C336" s="120">
        <v>1.5E-3</v>
      </c>
      <c r="E336" s="25"/>
      <c r="L336" s="120"/>
    </row>
    <row r="337" spans="1:12" x14ac:dyDescent="0.35">
      <c r="A337" s="136" t="s">
        <v>513</v>
      </c>
      <c r="B337" s="120">
        <v>-4.7500000000000001E-2</v>
      </c>
      <c r="C337" s="120">
        <v>-4.4999999999999998E-2</v>
      </c>
      <c r="E337" s="25"/>
      <c r="L337" s="120"/>
    </row>
    <row r="338" spans="1:12" x14ac:dyDescent="0.35">
      <c r="A338" s="136" t="s">
        <v>514</v>
      </c>
      <c r="B338" s="120">
        <v>-1.21E-2</v>
      </c>
      <c r="C338" s="120">
        <v>-7.9000000000000008E-3</v>
      </c>
      <c r="E338" s="25"/>
      <c r="L338" s="120"/>
    </row>
    <row r="339" spans="1:12" x14ac:dyDescent="0.35">
      <c r="A339" s="136" t="s">
        <v>515</v>
      </c>
      <c r="B339" s="120">
        <v>0</v>
      </c>
      <c r="C339" s="120">
        <v>7.4999999999999997E-3</v>
      </c>
      <c r="E339" s="25"/>
      <c r="L339" s="120"/>
    </row>
    <row r="340" spans="1:12" x14ac:dyDescent="0.35">
      <c r="A340" s="136" t="s">
        <v>516</v>
      </c>
      <c r="B340" s="120">
        <v>1.2200000000000001E-2</v>
      </c>
      <c r="C340" s="120">
        <v>-2.3E-3</v>
      </c>
      <c r="E340" s="25"/>
      <c r="L340" s="120"/>
    </row>
    <row r="341" spans="1:12" x14ac:dyDescent="0.35">
      <c r="A341" s="136" t="s">
        <v>517</v>
      </c>
      <c r="B341" s="120">
        <v>2.76E-2</v>
      </c>
      <c r="C341" s="120">
        <v>3.8E-3</v>
      </c>
      <c r="E341" s="25"/>
      <c r="G341" s="25"/>
      <c r="L341" s="120"/>
    </row>
    <row r="342" spans="1:12" x14ac:dyDescent="0.35">
      <c r="A342" s="136">
        <v>45238</v>
      </c>
      <c r="B342" s="120">
        <v>2.18E-2</v>
      </c>
      <c r="C342" s="120">
        <v>9.4999999999999998E-3</v>
      </c>
      <c r="E342" s="25"/>
      <c r="L342" s="120"/>
    </row>
    <row r="343" spans="1:12" x14ac:dyDescent="0.35">
      <c r="A343" s="136">
        <v>45207</v>
      </c>
      <c r="B343" s="120">
        <v>1.2999999999999999E-3</v>
      </c>
      <c r="C343" s="120">
        <v>-1.0800000000000001E-2</v>
      </c>
      <c r="E343" s="25"/>
      <c r="G343" s="25"/>
      <c r="L343" s="120"/>
    </row>
    <row r="344" spans="1:12" x14ac:dyDescent="0.35">
      <c r="A344" s="136">
        <v>45177</v>
      </c>
      <c r="B344" s="120">
        <v>-1.3899999999999999E-2</v>
      </c>
      <c r="C344" s="120">
        <v>-6.6E-3</v>
      </c>
      <c r="E344" s="25"/>
      <c r="L344" s="120"/>
    </row>
    <row r="345" spans="1:12" x14ac:dyDescent="0.35">
      <c r="A345" s="136">
        <v>45146</v>
      </c>
      <c r="B345" s="120">
        <v>1.41E-2</v>
      </c>
      <c r="C345" s="120">
        <v>6.9999999999999999E-4</v>
      </c>
      <c r="E345" s="25"/>
      <c r="G345" s="25"/>
      <c r="L345" s="120"/>
    </row>
    <row r="346" spans="1:12" x14ac:dyDescent="0.35">
      <c r="A346" s="136">
        <v>45115</v>
      </c>
      <c r="B346" s="120">
        <v>-7.6E-3</v>
      </c>
      <c r="C346" s="120">
        <v>1.26E-2</v>
      </c>
      <c r="E346" s="25"/>
      <c r="L346" s="120"/>
    </row>
    <row r="347" spans="1:12" x14ac:dyDescent="0.35">
      <c r="A347" s="136">
        <v>45024</v>
      </c>
      <c r="B347" s="120">
        <v>1.8200000000000001E-2</v>
      </c>
      <c r="C347" s="120">
        <v>1.24E-2</v>
      </c>
      <c r="E347" s="25"/>
      <c r="L347" s="120"/>
    </row>
    <row r="348" spans="1:12" x14ac:dyDescent="0.35">
      <c r="A348" s="136">
        <v>44993</v>
      </c>
      <c r="B348" s="120">
        <v>-1.41E-2</v>
      </c>
      <c r="C348" s="120">
        <v>-7.7999999999999996E-3</v>
      </c>
      <c r="E348" s="25"/>
      <c r="G348" s="25"/>
      <c r="L348" s="120"/>
    </row>
    <row r="349" spans="1:12" x14ac:dyDescent="0.35">
      <c r="A349" s="136">
        <v>44965</v>
      </c>
      <c r="B349" s="120">
        <v>0</v>
      </c>
      <c r="C349" s="120">
        <v>2.3999999999999998E-3</v>
      </c>
      <c r="E349" s="25"/>
      <c r="L349" s="120"/>
    </row>
    <row r="350" spans="1:12" x14ac:dyDescent="0.35">
      <c r="A350" s="136">
        <v>44934</v>
      </c>
      <c r="B350" s="120">
        <v>-8.8999999999999999E-3</v>
      </c>
      <c r="C350" s="120">
        <v>-4.4000000000000003E-3</v>
      </c>
      <c r="E350" s="25"/>
      <c r="L350" s="120"/>
    </row>
    <row r="351" spans="1:12" x14ac:dyDescent="0.35">
      <c r="A351" s="136" t="s">
        <v>518</v>
      </c>
      <c r="B351" s="120">
        <v>2.3300000000000001E-2</v>
      </c>
      <c r="C351" s="120">
        <v>1.26E-2</v>
      </c>
      <c r="E351" s="25"/>
      <c r="G351" s="25"/>
      <c r="L351" s="120"/>
    </row>
    <row r="352" spans="1:12" x14ac:dyDescent="0.35">
      <c r="A352" s="136" t="s">
        <v>519</v>
      </c>
      <c r="B352" s="120">
        <v>2.6599999999999999E-2</v>
      </c>
      <c r="C352" s="120">
        <v>8.6E-3</v>
      </c>
      <c r="E352" s="25"/>
      <c r="L352" s="120"/>
    </row>
    <row r="353" spans="1:12" x14ac:dyDescent="0.35">
      <c r="A353" s="136" t="s">
        <v>520</v>
      </c>
      <c r="B353" s="120">
        <v>-9.1999999999999998E-3</v>
      </c>
      <c r="C353" s="120">
        <v>-2.8999999999999998E-3</v>
      </c>
      <c r="E353" s="25"/>
      <c r="G353" s="25"/>
      <c r="L353" s="120"/>
    </row>
    <row r="354" spans="1:12" x14ac:dyDescent="0.35">
      <c r="A354" s="136" t="s">
        <v>521</v>
      </c>
      <c r="B354" s="120">
        <v>2.5999999999999999E-3</v>
      </c>
      <c r="C354" s="120">
        <v>4.1000000000000003E-3</v>
      </c>
      <c r="E354" s="25"/>
      <c r="L354" s="120"/>
    </row>
    <row r="355" spans="1:12" x14ac:dyDescent="0.35">
      <c r="A355" s="136" t="s">
        <v>522</v>
      </c>
      <c r="B355" s="120">
        <v>1.21E-2</v>
      </c>
      <c r="C355" s="120">
        <v>4.4000000000000003E-3</v>
      </c>
      <c r="E355" s="25"/>
      <c r="L355" s="120"/>
    </row>
    <row r="356" spans="1:12" x14ac:dyDescent="0.35">
      <c r="A356" s="136" t="s">
        <v>523</v>
      </c>
      <c r="B356" s="120">
        <v>0</v>
      </c>
      <c r="C356" s="120">
        <v>4.1000000000000003E-3</v>
      </c>
      <c r="E356" s="25"/>
      <c r="L356" s="120"/>
    </row>
    <row r="357" spans="1:12" x14ac:dyDescent="0.35">
      <c r="A357" s="136" t="s">
        <v>524</v>
      </c>
      <c r="B357" s="120">
        <v>1.9099999999999999E-2</v>
      </c>
      <c r="C357" s="120">
        <v>1.12E-2</v>
      </c>
      <c r="E357" s="25"/>
      <c r="G357" s="25"/>
      <c r="L357" s="120"/>
    </row>
    <row r="358" spans="1:12" x14ac:dyDescent="0.35">
      <c r="A358" s="136" t="s">
        <v>525</v>
      </c>
      <c r="B358" s="120">
        <v>0</v>
      </c>
      <c r="C358" s="120">
        <v>-1E-4</v>
      </c>
      <c r="E358" s="25"/>
      <c r="L358" s="120"/>
    </row>
    <row r="359" spans="1:12" x14ac:dyDescent="0.35">
      <c r="A359" s="136" t="s">
        <v>526</v>
      </c>
      <c r="B359" s="120">
        <v>-9.4999999999999998E-3</v>
      </c>
      <c r="C359" s="120">
        <v>-8.9999999999999998E-4</v>
      </c>
      <c r="E359" s="25"/>
      <c r="G359" s="25"/>
      <c r="L359" s="120"/>
    </row>
    <row r="360" spans="1:12" x14ac:dyDescent="0.35">
      <c r="A360" s="136" t="s">
        <v>527</v>
      </c>
      <c r="B360" s="120">
        <v>1.09E-2</v>
      </c>
      <c r="C360" s="120">
        <v>8.0000000000000004E-4</v>
      </c>
      <c r="E360" s="25"/>
      <c r="L360" s="120"/>
    </row>
    <row r="361" spans="1:12" x14ac:dyDescent="0.35">
      <c r="A361" s="136" t="s">
        <v>528</v>
      </c>
      <c r="B361" s="120">
        <v>-6.7999999999999996E-3</v>
      </c>
      <c r="C361" s="120">
        <v>4.0000000000000001E-3</v>
      </c>
      <c r="E361" s="25"/>
      <c r="G361" s="25"/>
      <c r="L361" s="120"/>
    </row>
    <row r="362" spans="1:12" x14ac:dyDescent="0.35">
      <c r="A362" s="136" t="s">
        <v>529</v>
      </c>
      <c r="B362" s="120">
        <v>-5.4000000000000003E-3</v>
      </c>
      <c r="C362" s="120">
        <v>2.5999999999999999E-3</v>
      </c>
      <c r="E362" s="25"/>
      <c r="G362" s="25"/>
      <c r="L362" s="120"/>
    </row>
    <row r="363" spans="1:12" x14ac:dyDescent="0.35">
      <c r="A363" s="136" t="s">
        <v>530</v>
      </c>
      <c r="B363" s="120">
        <v>4.1000000000000003E-3</v>
      </c>
      <c r="C363" s="120">
        <v>9.7000000000000003E-3</v>
      </c>
      <c r="E363" s="25"/>
      <c r="G363" s="25"/>
      <c r="L363" s="120"/>
    </row>
    <row r="364" spans="1:12" x14ac:dyDescent="0.35">
      <c r="A364" s="136">
        <v>45267</v>
      </c>
      <c r="B364" s="120">
        <v>1.23E-2</v>
      </c>
      <c r="C364" s="120">
        <v>2.0999999999999999E-3</v>
      </c>
      <c r="E364" s="25"/>
      <c r="L364" s="120"/>
    </row>
    <row r="365" spans="1:12" x14ac:dyDescent="0.35">
      <c r="A365" s="136">
        <v>45237</v>
      </c>
      <c r="B365" s="120">
        <v>2.7000000000000001E-3</v>
      </c>
      <c r="C365" s="120">
        <v>2.3999999999999998E-3</v>
      </c>
      <c r="E365" s="25"/>
      <c r="L365" s="120"/>
    </row>
    <row r="366" spans="1:12" x14ac:dyDescent="0.35">
      <c r="A366" s="136">
        <v>45206</v>
      </c>
      <c r="B366" s="120">
        <v>2.5399999999999999E-2</v>
      </c>
      <c r="C366" s="120">
        <v>9.5999999999999992E-3</v>
      </c>
      <c r="E366" s="25"/>
      <c r="L366" s="120"/>
    </row>
    <row r="367" spans="1:12" x14ac:dyDescent="0.35">
      <c r="A367" s="136">
        <v>45114</v>
      </c>
      <c r="B367" s="120">
        <v>1.2800000000000001E-2</v>
      </c>
      <c r="C367" s="120">
        <v>1.0500000000000001E-2</v>
      </c>
      <c r="E367" s="25"/>
      <c r="L367" s="120"/>
    </row>
    <row r="368" spans="1:12" x14ac:dyDescent="0.35">
      <c r="A368" s="136">
        <v>45084</v>
      </c>
      <c r="B368" s="120">
        <v>-1.55E-2</v>
      </c>
      <c r="C368" s="120">
        <v>-7.4000000000000003E-3</v>
      </c>
      <c r="E368" s="25"/>
      <c r="L368" s="120"/>
    </row>
    <row r="369" spans="1:12" x14ac:dyDescent="0.35">
      <c r="A369" s="136">
        <v>45053</v>
      </c>
      <c r="B369" s="120">
        <v>7.1000000000000004E-3</v>
      </c>
      <c r="C369" s="120">
        <v>2.3E-3</v>
      </c>
      <c r="E369" s="25"/>
      <c r="L369" s="120"/>
    </row>
    <row r="370" spans="1:12" x14ac:dyDescent="0.35">
      <c r="A370" s="136">
        <v>45023</v>
      </c>
      <c r="B370" s="120">
        <v>-8.3999999999999995E-3</v>
      </c>
      <c r="C370" s="120">
        <v>5.7999999999999996E-3</v>
      </c>
      <c r="E370" s="25"/>
      <c r="L370" s="120"/>
    </row>
    <row r="371" spans="1:12" x14ac:dyDescent="0.35">
      <c r="A371" s="136">
        <v>44992</v>
      </c>
      <c r="B371" s="120">
        <v>2.5899999999999999E-2</v>
      </c>
      <c r="C371" s="120">
        <v>4.7000000000000002E-3</v>
      </c>
      <c r="E371" s="25"/>
      <c r="L371" s="120"/>
    </row>
    <row r="372" spans="1:12" x14ac:dyDescent="0.35">
      <c r="A372" s="136" t="s">
        <v>531</v>
      </c>
      <c r="B372" s="120">
        <v>-2.8999999999999998E-3</v>
      </c>
      <c r="C372" s="120">
        <v>-4.5999999999999999E-3</v>
      </c>
      <c r="E372" s="25"/>
      <c r="L372" s="120"/>
    </row>
    <row r="373" spans="1:12" x14ac:dyDescent="0.35">
      <c r="A373" s="136" t="s">
        <v>532</v>
      </c>
      <c r="B373" s="120">
        <v>-2.1100000000000001E-2</v>
      </c>
      <c r="C373" s="120">
        <v>-1.14E-2</v>
      </c>
      <c r="E373" s="25"/>
      <c r="L373" s="120"/>
    </row>
    <row r="374" spans="1:12" x14ac:dyDescent="0.35">
      <c r="A374" s="136" t="s">
        <v>533</v>
      </c>
      <c r="B374" s="120">
        <v>1.43E-2</v>
      </c>
      <c r="C374" s="120">
        <v>3.5000000000000001E-3</v>
      </c>
      <c r="E374" s="25"/>
      <c r="L374" s="120"/>
    </row>
    <row r="375" spans="1:12" x14ac:dyDescent="0.35">
      <c r="A375" s="136" t="s">
        <v>534</v>
      </c>
      <c r="B375" s="120">
        <v>0</v>
      </c>
      <c r="C375" s="120">
        <v>2E-3</v>
      </c>
      <c r="E375" s="25"/>
      <c r="L375" s="120"/>
    </row>
    <row r="376" spans="1:12" x14ac:dyDescent="0.35">
      <c r="A376" s="136" t="s">
        <v>535</v>
      </c>
      <c r="B376" s="120">
        <v>2.18E-2</v>
      </c>
      <c r="C376" s="120">
        <v>2.3E-3</v>
      </c>
      <c r="E376" s="25"/>
      <c r="L376" s="120"/>
    </row>
    <row r="377" spans="1:12" x14ac:dyDescent="0.35">
      <c r="A377" s="136" t="s">
        <v>536</v>
      </c>
      <c r="B377" s="120">
        <v>0</v>
      </c>
      <c r="C377" s="120">
        <v>3.5999999999999999E-3</v>
      </c>
      <c r="E377" s="25"/>
      <c r="G377" s="25"/>
      <c r="L377" s="120"/>
    </row>
    <row r="378" spans="1:12" x14ac:dyDescent="0.35">
      <c r="A378" s="136" t="s">
        <v>537</v>
      </c>
      <c r="B378" s="120">
        <v>3.4700000000000002E-2</v>
      </c>
      <c r="C378" s="120">
        <v>6.1000000000000004E-3</v>
      </c>
      <c r="E378" s="25"/>
      <c r="L378" s="120"/>
    </row>
    <row r="379" spans="1:12" x14ac:dyDescent="0.35">
      <c r="A379" s="136" t="s">
        <v>538</v>
      </c>
      <c r="B379" s="120">
        <v>7.6E-3</v>
      </c>
      <c r="C379" s="120">
        <v>6.1000000000000004E-3</v>
      </c>
      <c r="E379" s="25"/>
      <c r="G379" s="25"/>
      <c r="L379" s="120"/>
    </row>
    <row r="380" spans="1:12" x14ac:dyDescent="0.35">
      <c r="A380" s="136" t="s">
        <v>539</v>
      </c>
      <c r="B380" s="120">
        <v>7.7000000000000002E-3</v>
      </c>
      <c r="C380" s="120">
        <v>5.7000000000000002E-3</v>
      </c>
      <c r="E380" s="25"/>
      <c r="L380" s="120"/>
    </row>
    <row r="381" spans="1:12" x14ac:dyDescent="0.35">
      <c r="A381" s="136" t="s">
        <v>540</v>
      </c>
      <c r="B381" s="120">
        <v>3.0999999999999999E-3</v>
      </c>
      <c r="C381" s="120">
        <v>-8.8000000000000005E-3</v>
      </c>
      <c r="E381" s="25"/>
      <c r="G381" s="25"/>
      <c r="L381" s="120"/>
    </row>
    <row r="382" spans="1:12" x14ac:dyDescent="0.35">
      <c r="A382" s="136" t="s">
        <v>541</v>
      </c>
      <c r="B382" s="120">
        <v>0</v>
      </c>
      <c r="C382" s="120">
        <v>-1.6000000000000001E-3</v>
      </c>
      <c r="E382" s="25"/>
      <c r="L382" s="120"/>
    </row>
    <row r="383" spans="1:12" x14ac:dyDescent="0.35">
      <c r="A383" s="136" t="s">
        <v>542</v>
      </c>
      <c r="B383" s="120">
        <v>-1.21E-2</v>
      </c>
      <c r="C383" s="120">
        <v>-4.0000000000000002E-4</v>
      </c>
      <c r="E383" s="25"/>
      <c r="L383" s="120"/>
    </row>
    <row r="384" spans="1:12" x14ac:dyDescent="0.35">
      <c r="A384" s="136" t="s">
        <v>543</v>
      </c>
      <c r="B384" s="120">
        <v>-8.9999999999999993E-3</v>
      </c>
      <c r="C384" s="120">
        <v>-4.4999999999999997E-3</v>
      </c>
      <c r="E384" s="25"/>
      <c r="G384" s="25"/>
      <c r="L384" s="120"/>
    </row>
    <row r="385" spans="1:12" x14ac:dyDescent="0.35">
      <c r="A385" s="136" t="s">
        <v>544</v>
      </c>
      <c r="B385" s="120">
        <v>-3.0000000000000001E-3</v>
      </c>
      <c r="C385" s="120">
        <v>5.7999999999999996E-3</v>
      </c>
      <c r="E385" s="25"/>
      <c r="L385" s="120"/>
    </row>
    <row r="386" spans="1:12" x14ac:dyDescent="0.35">
      <c r="A386" s="136">
        <v>45266</v>
      </c>
      <c r="B386" s="120">
        <v>3.0000000000000001E-3</v>
      </c>
      <c r="C386" s="120">
        <v>7.7000000000000002E-3</v>
      </c>
      <c r="E386" s="25"/>
      <c r="L386" s="120"/>
    </row>
    <row r="387" spans="1:12" x14ac:dyDescent="0.35">
      <c r="A387" s="136">
        <v>45175</v>
      </c>
      <c r="B387" s="120">
        <v>1.2200000000000001E-2</v>
      </c>
      <c r="C387" s="120">
        <v>5.5999999999999999E-3</v>
      </c>
      <c r="E387" s="25"/>
      <c r="G387" s="25"/>
      <c r="L387" s="120"/>
    </row>
    <row r="388" spans="1:12" x14ac:dyDescent="0.35">
      <c r="A388" s="136">
        <v>45144</v>
      </c>
      <c r="B388" s="120">
        <v>-9.1000000000000004E-3</v>
      </c>
      <c r="C388" s="120">
        <v>-7.4000000000000003E-3</v>
      </c>
      <c r="E388" s="25"/>
      <c r="L388" s="120"/>
    </row>
    <row r="389" spans="1:12" x14ac:dyDescent="0.35">
      <c r="A389" s="136">
        <v>45113</v>
      </c>
      <c r="B389" s="120">
        <v>1.2200000000000001E-2</v>
      </c>
      <c r="C389" s="120">
        <v>1.1000000000000001E-3</v>
      </c>
      <c r="E389" s="25"/>
      <c r="G389" s="25"/>
      <c r="L389" s="120"/>
    </row>
    <row r="390" spans="1:12" x14ac:dyDescent="0.35">
      <c r="A390" s="136">
        <v>45083</v>
      </c>
      <c r="B390" s="120">
        <v>-8.9999999999999993E-3</v>
      </c>
      <c r="C390" s="120">
        <v>9.5999999999999992E-3</v>
      </c>
      <c r="E390" s="25"/>
      <c r="L390" s="120"/>
    </row>
    <row r="391" spans="1:12" x14ac:dyDescent="0.35">
      <c r="A391" s="136">
        <v>45052</v>
      </c>
      <c r="B391" s="120">
        <v>2.64E-2</v>
      </c>
      <c r="C391" s="120">
        <v>6.4000000000000003E-3</v>
      </c>
      <c r="E391" s="25"/>
      <c r="L391" s="120"/>
    </row>
    <row r="392" spans="1:12" x14ac:dyDescent="0.35">
      <c r="A392" s="136">
        <v>44963</v>
      </c>
      <c r="B392" s="120">
        <v>2.06E-2</v>
      </c>
      <c r="C392" s="120">
        <v>1.15E-2</v>
      </c>
      <c r="E392" s="25"/>
      <c r="L392" s="120"/>
    </row>
    <row r="393" spans="1:12" x14ac:dyDescent="0.35">
      <c r="A393" s="136">
        <v>44932</v>
      </c>
      <c r="B393" s="120">
        <v>-9.4000000000000004E-3</v>
      </c>
      <c r="C393" s="120">
        <v>3.0000000000000001E-3</v>
      </c>
      <c r="E393" s="25"/>
      <c r="G393" s="25"/>
      <c r="L393" s="120"/>
    </row>
    <row r="394" spans="1:12" x14ac:dyDescent="0.35">
      <c r="A394" s="136" t="s">
        <v>545</v>
      </c>
      <c r="B394" s="120">
        <v>-3.0999999999999999E-3</v>
      </c>
      <c r="C394" s="120">
        <v>-2.7000000000000001E-3</v>
      </c>
      <c r="E394" s="25"/>
      <c r="L394" s="120"/>
    </row>
    <row r="395" spans="1:12" x14ac:dyDescent="0.35">
      <c r="A395" s="136" t="s">
        <v>546</v>
      </c>
      <c r="B395" s="120">
        <v>2.07E-2</v>
      </c>
      <c r="C395" s="120">
        <v>2.8999999999999998E-3</v>
      </c>
      <c r="E395" s="25"/>
      <c r="G395" s="25"/>
      <c r="L395" s="120"/>
    </row>
    <row r="396" spans="1:12" x14ac:dyDescent="0.35">
      <c r="A396" s="136" t="s">
        <v>547</v>
      </c>
      <c r="B396" s="120">
        <v>-4.7999999999999996E-3</v>
      </c>
      <c r="C396" s="120">
        <v>1.0500000000000001E-2</v>
      </c>
      <c r="E396" s="25"/>
      <c r="L396" s="120"/>
    </row>
    <row r="397" spans="1:12" x14ac:dyDescent="0.35">
      <c r="A397" s="136" t="s">
        <v>548</v>
      </c>
      <c r="B397" s="120">
        <v>9.5999999999999992E-3</v>
      </c>
      <c r="C397" s="120">
        <v>-8.0000000000000004E-4</v>
      </c>
      <c r="E397" s="25"/>
      <c r="G397" s="25"/>
      <c r="L397" s="120"/>
    </row>
    <row r="398" spans="1:12" x14ac:dyDescent="0.35">
      <c r="A398" s="136" t="s">
        <v>549</v>
      </c>
      <c r="B398" s="120">
        <v>-3.2000000000000002E-3</v>
      </c>
      <c r="C398" s="120">
        <v>2.7000000000000001E-3</v>
      </c>
      <c r="E398" s="25"/>
      <c r="G398" s="25"/>
      <c r="L398" s="120"/>
    </row>
    <row r="399" spans="1:12" x14ac:dyDescent="0.35">
      <c r="A399" s="136" t="s">
        <v>550</v>
      </c>
      <c r="B399" s="120">
        <v>-1.72E-2</v>
      </c>
      <c r="C399" s="120">
        <v>-3.8E-3</v>
      </c>
      <c r="E399" s="25"/>
      <c r="G399" s="25"/>
      <c r="L399" s="120"/>
    </row>
    <row r="400" spans="1:12" x14ac:dyDescent="0.35">
      <c r="A400" s="136" t="s">
        <v>551</v>
      </c>
      <c r="B400" s="120">
        <v>1.7500000000000002E-2</v>
      </c>
      <c r="C400" s="120">
        <v>-4.4999999999999997E-3</v>
      </c>
      <c r="E400" s="25"/>
      <c r="L400" s="120"/>
    </row>
    <row r="401" spans="1:12" x14ac:dyDescent="0.35">
      <c r="A401" s="136" t="s">
        <v>552</v>
      </c>
      <c r="B401" s="120">
        <v>-2.64E-2</v>
      </c>
      <c r="C401" s="120">
        <v>3.3E-3</v>
      </c>
      <c r="E401" s="25"/>
      <c r="L401" s="120"/>
    </row>
    <row r="402" spans="1:12" x14ac:dyDescent="0.35">
      <c r="A402" s="136" t="s">
        <v>553</v>
      </c>
      <c r="B402" s="120">
        <v>-1.9800000000000002E-2</v>
      </c>
      <c r="C402" s="120">
        <v>-1.1999999999999999E-3</v>
      </c>
      <c r="E402" s="25"/>
      <c r="L402" s="120"/>
    </row>
    <row r="403" spans="1:12" x14ac:dyDescent="0.35">
      <c r="A403" s="136" t="s">
        <v>554</v>
      </c>
      <c r="B403" s="120">
        <v>-6.1000000000000004E-3</v>
      </c>
      <c r="C403" s="120">
        <v>7.4000000000000003E-3</v>
      </c>
      <c r="E403" s="25"/>
      <c r="L403" s="120"/>
    </row>
    <row r="404" spans="1:12" x14ac:dyDescent="0.35">
      <c r="A404" s="136" t="s">
        <v>555</v>
      </c>
      <c r="B404" s="120">
        <v>9.1999999999999998E-3</v>
      </c>
      <c r="C404" s="120">
        <v>-5.1000000000000004E-3</v>
      </c>
      <c r="E404" s="25"/>
      <c r="L404" s="120"/>
    </row>
    <row r="405" spans="1:12" x14ac:dyDescent="0.35">
      <c r="A405" s="136" t="s">
        <v>556</v>
      </c>
      <c r="B405" s="120">
        <v>-1.21E-2</v>
      </c>
      <c r="C405" s="120">
        <v>2.0000000000000001E-4</v>
      </c>
      <c r="E405" s="25"/>
      <c r="L405" s="120"/>
    </row>
    <row r="406" spans="1:12" x14ac:dyDescent="0.35">
      <c r="A406" s="136" t="s">
        <v>557</v>
      </c>
      <c r="B406" s="120">
        <v>-6.0000000000000001E-3</v>
      </c>
      <c r="C406" s="120">
        <v>-1.1000000000000001E-3</v>
      </c>
      <c r="E406" s="25"/>
      <c r="L406" s="120"/>
    </row>
    <row r="407" spans="1:12" x14ac:dyDescent="0.35">
      <c r="A407" s="136">
        <v>45265</v>
      </c>
      <c r="B407" s="120">
        <v>-3.0000000000000001E-3</v>
      </c>
      <c r="C407" s="120">
        <v>9.2999999999999992E-3</v>
      </c>
      <c r="E407" s="25"/>
      <c r="L407" s="120"/>
    </row>
    <row r="408" spans="1:12" x14ac:dyDescent="0.35">
      <c r="A408" s="136">
        <v>45235</v>
      </c>
      <c r="B408" s="120">
        <v>1.37E-2</v>
      </c>
      <c r="C408" s="120">
        <v>-1.1000000000000001E-3</v>
      </c>
      <c r="E408" s="25"/>
      <c r="L408" s="120"/>
    </row>
    <row r="409" spans="1:12" x14ac:dyDescent="0.35">
      <c r="A409" s="136">
        <v>45204</v>
      </c>
      <c r="B409" s="120">
        <v>-1.5E-3</v>
      </c>
      <c r="C409" s="120">
        <v>4.3E-3</v>
      </c>
      <c r="E409" s="25"/>
      <c r="L409" s="120"/>
    </row>
    <row r="410" spans="1:12" x14ac:dyDescent="0.35">
      <c r="A410" s="136">
        <v>45174</v>
      </c>
      <c r="B410" s="120">
        <v>1.5E-3</v>
      </c>
      <c r="C410" s="120">
        <v>2.9999999999999997E-4</v>
      </c>
      <c r="E410" s="25"/>
      <c r="L410" s="120"/>
    </row>
    <row r="411" spans="1:12" x14ac:dyDescent="0.35">
      <c r="A411" s="136">
        <v>45143</v>
      </c>
      <c r="B411" s="120">
        <v>7.7000000000000002E-3</v>
      </c>
      <c r="C411" s="120">
        <v>1.26E-2</v>
      </c>
      <c r="E411" s="25"/>
      <c r="L411" s="120"/>
    </row>
    <row r="412" spans="1:12" x14ac:dyDescent="0.35">
      <c r="A412" s="136">
        <v>45051</v>
      </c>
      <c r="B412" s="120">
        <v>-3.0999999999999999E-3</v>
      </c>
      <c r="C412" s="120">
        <v>-2.9999999999999997E-4</v>
      </c>
      <c r="E412" s="25"/>
      <c r="L412" s="120"/>
    </row>
    <row r="413" spans="1:12" x14ac:dyDescent="0.35">
      <c r="A413" s="136">
        <v>45021</v>
      </c>
      <c r="B413" s="120">
        <v>-2.3800000000000002E-2</v>
      </c>
      <c r="C413" s="120">
        <v>-8.0999999999999996E-3</v>
      </c>
      <c r="E413" s="25"/>
      <c r="G413" s="25"/>
      <c r="L413" s="120"/>
    </row>
    <row r="414" spans="1:12" x14ac:dyDescent="0.35">
      <c r="A414" s="136" t="s">
        <v>558</v>
      </c>
      <c r="B414" s="120">
        <v>-1.5E-3</v>
      </c>
      <c r="C414" s="120">
        <v>9.1000000000000004E-3</v>
      </c>
      <c r="E414" s="25"/>
      <c r="L414" s="120"/>
    </row>
    <row r="415" spans="1:12" x14ac:dyDescent="0.35">
      <c r="A415" s="136" t="s">
        <v>559</v>
      </c>
      <c r="B415" s="120">
        <v>3.5400000000000001E-2</v>
      </c>
      <c r="C415" s="120">
        <v>-1.1000000000000001E-3</v>
      </c>
      <c r="E415" s="25"/>
      <c r="G415" s="25"/>
      <c r="L415" s="120"/>
    </row>
    <row r="416" spans="1:12" x14ac:dyDescent="0.35">
      <c r="A416" s="136" t="s">
        <v>560</v>
      </c>
      <c r="B416" s="120">
        <v>-1.8100000000000002E-2</v>
      </c>
      <c r="C416" s="120">
        <v>5.7000000000000002E-3</v>
      </c>
      <c r="E416" s="25"/>
      <c r="L416" s="120"/>
    </row>
    <row r="417" spans="1:12" x14ac:dyDescent="0.35">
      <c r="A417" s="136" t="s">
        <v>561</v>
      </c>
      <c r="B417" s="120">
        <v>-1.5E-3</v>
      </c>
      <c r="C417" s="120">
        <v>-6.3E-3</v>
      </c>
      <c r="E417" s="25"/>
      <c r="G417" s="25"/>
      <c r="L417" s="120"/>
    </row>
    <row r="418" spans="1:12" x14ac:dyDescent="0.35">
      <c r="A418" s="136" t="s">
        <v>562</v>
      </c>
      <c r="B418" s="120">
        <v>-1.6299999999999999E-2</v>
      </c>
      <c r="C418" s="120">
        <v>-1.5E-3</v>
      </c>
      <c r="E418" s="25"/>
      <c r="L418" s="120"/>
    </row>
    <row r="419" spans="1:12" x14ac:dyDescent="0.35">
      <c r="A419" s="136" t="s">
        <v>563</v>
      </c>
      <c r="B419" s="120">
        <v>-1.17E-2</v>
      </c>
      <c r="C419" s="120">
        <v>-6.0000000000000001E-3</v>
      </c>
      <c r="E419" s="25"/>
      <c r="L419" s="120"/>
    </row>
    <row r="420" spans="1:12" x14ac:dyDescent="0.35">
      <c r="A420" s="136" t="s">
        <v>564</v>
      </c>
      <c r="B420" s="120">
        <v>-5.7999999999999996E-3</v>
      </c>
      <c r="C420" s="120">
        <v>2.9999999999999997E-4</v>
      </c>
      <c r="E420" s="25"/>
      <c r="G420" s="25"/>
      <c r="L420" s="120"/>
    </row>
    <row r="421" spans="1:12" x14ac:dyDescent="0.35">
      <c r="A421" s="136" t="s">
        <v>565</v>
      </c>
      <c r="B421" s="120">
        <v>0</v>
      </c>
      <c r="C421" s="120">
        <v>-5.7000000000000002E-3</v>
      </c>
      <c r="E421" s="25"/>
      <c r="L421" s="120"/>
    </row>
    <row r="422" spans="1:12" x14ac:dyDescent="0.35">
      <c r="A422" s="136" t="s">
        <v>566</v>
      </c>
      <c r="B422" s="120">
        <v>2.8999999999999998E-3</v>
      </c>
      <c r="C422" s="120">
        <v>1.1000000000000001E-3</v>
      </c>
      <c r="E422" s="25"/>
      <c r="L422" s="120"/>
    </row>
    <row r="423" spans="1:12" x14ac:dyDescent="0.35">
      <c r="A423" s="136" t="s">
        <v>567</v>
      </c>
      <c r="B423" s="120">
        <v>-2.8999999999999998E-3</v>
      </c>
      <c r="C423" s="120">
        <v>8.9999999999999998E-4</v>
      </c>
      <c r="E423" s="25"/>
      <c r="G423" s="25"/>
      <c r="L423" s="120"/>
    </row>
    <row r="424" spans="1:12" x14ac:dyDescent="0.35">
      <c r="A424" s="136" t="s">
        <v>568</v>
      </c>
      <c r="B424" s="120">
        <v>-2.4199999999999999E-2</v>
      </c>
      <c r="C424" s="120">
        <v>-1.0699999999999999E-2</v>
      </c>
      <c r="E424" s="25"/>
      <c r="L424" s="120"/>
    </row>
    <row r="425" spans="1:12" x14ac:dyDescent="0.35">
      <c r="A425" s="136" t="s">
        <v>569</v>
      </c>
      <c r="B425" s="120">
        <v>1.15E-2</v>
      </c>
      <c r="C425" s="120">
        <v>-4.7999999999999996E-3</v>
      </c>
      <c r="E425" s="25"/>
      <c r="G425" s="25"/>
      <c r="L425" s="120"/>
    </row>
    <row r="426" spans="1:12" x14ac:dyDescent="0.35">
      <c r="A426" s="136">
        <v>45264</v>
      </c>
      <c r="B426" s="120">
        <v>1.4E-3</v>
      </c>
      <c r="C426" s="120">
        <v>0</v>
      </c>
      <c r="E426" s="25"/>
      <c r="L426" s="120"/>
    </row>
    <row r="427" spans="1:12" x14ac:dyDescent="0.35">
      <c r="A427" s="136">
        <v>45234</v>
      </c>
      <c r="B427" s="120">
        <v>1.4E-3</v>
      </c>
      <c r="C427" s="120">
        <v>3.8999999999999998E-3</v>
      </c>
      <c r="E427" s="25"/>
      <c r="L427" s="120"/>
    </row>
    <row r="428" spans="1:12" x14ac:dyDescent="0.35">
      <c r="A428" s="136">
        <v>45203</v>
      </c>
      <c r="B428" s="120">
        <v>-3.4799999999999998E-2</v>
      </c>
      <c r="C428" s="120">
        <v>-4.1000000000000003E-3</v>
      </c>
      <c r="E428" s="25"/>
      <c r="L428" s="120"/>
    </row>
    <row r="429" spans="1:12" x14ac:dyDescent="0.35">
      <c r="A429" s="136">
        <v>45111</v>
      </c>
      <c r="B429" s="120">
        <v>-2.9700000000000001E-2</v>
      </c>
      <c r="C429" s="120">
        <v>-1.1000000000000001E-3</v>
      </c>
      <c r="E429" s="25"/>
      <c r="G429" s="25"/>
      <c r="L429" s="120"/>
    </row>
    <row r="430" spans="1:12" x14ac:dyDescent="0.35">
      <c r="A430" s="136">
        <v>45081</v>
      </c>
      <c r="B430" s="120">
        <v>5.4199999999999998E-2</v>
      </c>
      <c r="C430" s="120">
        <v>-9.1999999999999998E-3</v>
      </c>
      <c r="E430" s="25"/>
      <c r="L430" s="120"/>
    </row>
    <row r="431" spans="1:12" x14ac:dyDescent="0.35">
      <c r="A431" s="136">
        <v>45050</v>
      </c>
      <c r="B431" s="120">
        <v>1.01E-2</v>
      </c>
      <c r="C431" s="120">
        <v>2.2000000000000001E-3</v>
      </c>
      <c r="E431" s="25"/>
      <c r="G431" s="25"/>
      <c r="L431" s="120"/>
    </row>
    <row r="432" spans="1:12" x14ac:dyDescent="0.35">
      <c r="A432" s="136">
        <v>45020</v>
      </c>
      <c r="B432" s="120">
        <v>1.46E-2</v>
      </c>
      <c r="C432" s="120">
        <v>-8.0000000000000004E-4</v>
      </c>
      <c r="E432" s="25"/>
      <c r="L432" s="120"/>
    </row>
    <row r="433" spans="1:12" x14ac:dyDescent="0.35">
      <c r="A433" s="136">
        <v>44989</v>
      </c>
      <c r="B433" s="120">
        <v>2.8500000000000001E-2</v>
      </c>
      <c r="C433" s="120">
        <v>1.38E-2</v>
      </c>
      <c r="E433" s="25"/>
      <c r="G433" s="25"/>
      <c r="L433" s="120"/>
    </row>
    <row r="434" spans="1:12" x14ac:dyDescent="0.35">
      <c r="A434" s="136" t="s">
        <v>570</v>
      </c>
      <c r="B434" s="120">
        <v>-1.04E-2</v>
      </c>
      <c r="C434" s="120">
        <v>4.8999999999999998E-3</v>
      </c>
      <c r="E434" s="25"/>
      <c r="G434" s="25"/>
      <c r="L434" s="120"/>
    </row>
    <row r="435" spans="1:12" x14ac:dyDescent="0.35">
      <c r="A435" s="136" t="s">
        <v>571</v>
      </c>
      <c r="B435" s="120">
        <v>0</v>
      </c>
      <c r="C435" s="120">
        <v>2.8999999999999998E-3</v>
      </c>
      <c r="E435" s="25"/>
      <c r="G435" s="25"/>
      <c r="L435" s="120"/>
    </row>
    <row r="436" spans="1:12" x14ac:dyDescent="0.35">
      <c r="A436" s="136" t="s">
        <v>572</v>
      </c>
      <c r="B436" s="120">
        <v>1.5E-3</v>
      </c>
      <c r="C436" s="120">
        <v>1.9E-3</v>
      </c>
      <c r="E436" s="25"/>
      <c r="L436" s="120"/>
    </row>
    <row r="437" spans="1:12" x14ac:dyDescent="0.35">
      <c r="A437" s="136" t="s">
        <v>573</v>
      </c>
      <c r="B437" s="120">
        <v>-5.8999999999999999E-3</v>
      </c>
      <c r="C437" s="120">
        <v>1.9E-3</v>
      </c>
      <c r="E437" s="25"/>
      <c r="L437" s="120"/>
    </row>
    <row r="438" spans="1:12" x14ac:dyDescent="0.35">
      <c r="A438" s="136" t="s">
        <v>574</v>
      </c>
      <c r="B438" s="120">
        <v>3.0000000000000001E-3</v>
      </c>
      <c r="C438" s="120">
        <v>5.1999999999999998E-3</v>
      </c>
      <c r="E438" s="25"/>
      <c r="L438" s="120"/>
    </row>
    <row r="439" spans="1:12" x14ac:dyDescent="0.35">
      <c r="A439" s="136" t="s">
        <v>575</v>
      </c>
      <c r="B439" s="120">
        <v>-7.4000000000000003E-3</v>
      </c>
      <c r="C439" s="120">
        <v>1.6000000000000001E-3</v>
      </c>
      <c r="E439" s="25"/>
      <c r="L439" s="120"/>
    </row>
    <row r="440" spans="1:12" x14ac:dyDescent="0.35">
      <c r="A440" s="136" t="s">
        <v>576</v>
      </c>
      <c r="B440" s="120">
        <v>8.8999999999999999E-3</v>
      </c>
      <c r="C440" s="120">
        <v>4.4000000000000003E-3</v>
      </c>
      <c r="E440" s="25"/>
      <c r="L440" s="120"/>
    </row>
    <row r="441" spans="1:12" x14ac:dyDescent="0.35">
      <c r="A441" s="136" t="s">
        <v>577</v>
      </c>
      <c r="B441" s="120">
        <v>1.5E-3</v>
      </c>
      <c r="C441" s="120">
        <v>7.9000000000000008E-3</v>
      </c>
      <c r="E441" s="25"/>
      <c r="L441" s="120"/>
    </row>
    <row r="442" spans="1:12" x14ac:dyDescent="0.35">
      <c r="A442" s="136" t="s">
        <v>578</v>
      </c>
      <c r="B442" s="120">
        <v>3.0000000000000001E-3</v>
      </c>
      <c r="C442" s="120">
        <v>9.1000000000000004E-3</v>
      </c>
      <c r="E442" s="25"/>
      <c r="L442" s="120"/>
    </row>
    <row r="443" spans="1:12" x14ac:dyDescent="0.35">
      <c r="A443" s="136" t="s">
        <v>579</v>
      </c>
      <c r="B443" s="120">
        <v>-1.18E-2</v>
      </c>
      <c r="C443" s="120">
        <v>-2.1100000000000001E-2</v>
      </c>
      <c r="E443" s="25"/>
      <c r="L443" s="120"/>
    </row>
    <row r="444" spans="1:12" x14ac:dyDescent="0.35">
      <c r="A444" s="136" t="s">
        <v>580</v>
      </c>
      <c r="B444" s="120">
        <v>2.4199999999999999E-2</v>
      </c>
      <c r="C444" s="120">
        <v>-2.2000000000000001E-3</v>
      </c>
      <c r="E444" s="25"/>
      <c r="L444" s="120"/>
    </row>
    <row r="445" spans="1:12" x14ac:dyDescent="0.35">
      <c r="A445" s="136" t="s">
        <v>581</v>
      </c>
      <c r="B445" s="120">
        <v>-2.07E-2</v>
      </c>
      <c r="C445" s="120">
        <v>-1.3899999999999999E-2</v>
      </c>
      <c r="E445" s="25"/>
      <c r="L445" s="120"/>
    </row>
    <row r="446" spans="1:12" x14ac:dyDescent="0.35">
      <c r="A446" s="136" t="s">
        <v>582</v>
      </c>
      <c r="B446" s="120">
        <v>1.8100000000000002E-2</v>
      </c>
      <c r="C446" s="120">
        <v>2.12E-2</v>
      </c>
      <c r="E446" s="25"/>
      <c r="L446" s="120"/>
    </row>
    <row r="447" spans="1:12" x14ac:dyDescent="0.35">
      <c r="A447" s="136" t="s">
        <v>583</v>
      </c>
      <c r="B447" s="120">
        <v>-2.7799999999999998E-2</v>
      </c>
      <c r="C447" s="120">
        <v>-1.2E-2</v>
      </c>
      <c r="E447" s="25"/>
      <c r="L447" s="120"/>
    </row>
    <row r="448" spans="1:12" x14ac:dyDescent="0.35">
      <c r="A448" s="136" t="s">
        <v>584</v>
      </c>
      <c r="B448" s="120">
        <v>-1.01E-2</v>
      </c>
      <c r="C448" s="120">
        <v>-2.0000000000000001E-4</v>
      </c>
      <c r="E448" s="25"/>
      <c r="L448" s="120"/>
    </row>
    <row r="449" spans="1:12" x14ac:dyDescent="0.35">
      <c r="A449" s="136">
        <v>45202</v>
      </c>
      <c r="B449" s="120">
        <v>1.0200000000000001E-2</v>
      </c>
      <c r="C449" s="120">
        <v>-2.8E-3</v>
      </c>
      <c r="E449" s="25"/>
      <c r="G449" s="25"/>
      <c r="L449" s="120"/>
    </row>
    <row r="450" spans="1:12" x14ac:dyDescent="0.35">
      <c r="A450" s="136">
        <v>45172</v>
      </c>
      <c r="B450" s="120">
        <v>4.4000000000000003E-3</v>
      </c>
      <c r="C450" s="120">
        <v>6.4999999999999997E-3</v>
      </c>
      <c r="E450" s="25"/>
      <c r="L450" s="120"/>
    </row>
    <row r="451" spans="1:12" x14ac:dyDescent="0.35">
      <c r="A451" s="136">
        <v>45141</v>
      </c>
      <c r="B451" s="120">
        <v>0</v>
      </c>
      <c r="C451" s="120">
        <v>1.09E-2</v>
      </c>
      <c r="E451" s="25"/>
      <c r="G451" s="25"/>
      <c r="L451" s="120"/>
    </row>
    <row r="452" spans="1:12" x14ac:dyDescent="0.35">
      <c r="A452" s="136">
        <v>45110</v>
      </c>
      <c r="B452" s="120">
        <v>-8.6999999999999994E-3</v>
      </c>
      <c r="C452" s="120">
        <v>1.04E-2</v>
      </c>
      <c r="E452" s="25"/>
      <c r="L452" s="120"/>
    </row>
    <row r="453" spans="1:12" x14ac:dyDescent="0.35">
      <c r="A453" s="136">
        <v>45080</v>
      </c>
      <c r="B453" s="120">
        <v>-1.15E-2</v>
      </c>
      <c r="C453" s="120">
        <v>2.3999999999999998E-3</v>
      </c>
      <c r="E453" s="25"/>
      <c r="G453" s="25"/>
      <c r="L453" s="120"/>
    </row>
    <row r="454" spans="1:12" x14ac:dyDescent="0.35">
      <c r="A454" s="136">
        <v>44988</v>
      </c>
      <c r="B454" s="120">
        <v>-4.3E-3</v>
      </c>
      <c r="C454" s="120">
        <v>-1.24E-2</v>
      </c>
      <c r="E454" s="25"/>
      <c r="L454" s="120"/>
    </row>
    <row r="455" spans="1:12" x14ac:dyDescent="0.35">
      <c r="A455" s="136">
        <v>44960</v>
      </c>
      <c r="B455" s="120">
        <v>0</v>
      </c>
      <c r="C455" s="120">
        <v>-2.8E-3</v>
      </c>
      <c r="E455" s="25"/>
      <c r="L455" s="120"/>
    </row>
    <row r="456" spans="1:12" x14ac:dyDescent="0.35">
      <c r="A456" s="136">
        <v>44929</v>
      </c>
      <c r="B456" s="120">
        <v>-4.3E-3</v>
      </c>
      <c r="C456" s="120">
        <v>1.55E-2</v>
      </c>
      <c r="E456" s="25"/>
      <c r="G456" s="25"/>
      <c r="L456" s="120"/>
    </row>
    <row r="457" spans="1:12" x14ac:dyDescent="0.35">
      <c r="A457" s="136" t="s">
        <v>585</v>
      </c>
      <c r="B457" s="120">
        <v>4.3E-3</v>
      </c>
      <c r="C457" s="120">
        <v>3.3999999999999998E-3</v>
      </c>
      <c r="E457" s="25"/>
      <c r="L457" s="120"/>
    </row>
    <row r="458" spans="1:12" x14ac:dyDescent="0.35">
      <c r="A458" s="136" t="s">
        <v>586</v>
      </c>
      <c r="B458" s="120">
        <v>-2.6499999999999999E-2</v>
      </c>
      <c r="C458" s="120">
        <v>-1.7600000000000001E-2</v>
      </c>
      <c r="E458" s="25"/>
      <c r="L458" s="120"/>
    </row>
    <row r="459" spans="1:12" x14ac:dyDescent="0.35">
      <c r="A459" s="136" t="s">
        <v>587</v>
      </c>
      <c r="B459" s="120">
        <v>2.29E-2</v>
      </c>
      <c r="C459" s="120">
        <v>-1.34E-2</v>
      </c>
      <c r="E459" s="25"/>
      <c r="G459" s="25"/>
      <c r="L459" s="120"/>
    </row>
    <row r="460" spans="1:12" x14ac:dyDescent="0.35">
      <c r="A460" s="136" t="s">
        <v>588</v>
      </c>
      <c r="B460" s="120">
        <v>-3.0499999999999999E-2</v>
      </c>
      <c r="C460" s="120">
        <v>-5.9999999999999995E-4</v>
      </c>
      <c r="E460" s="25"/>
      <c r="L460" s="120"/>
    </row>
    <row r="461" spans="1:12" x14ac:dyDescent="0.35">
      <c r="A461" s="136" t="s">
        <v>589</v>
      </c>
      <c r="B461" s="120">
        <v>-3.73E-2</v>
      </c>
      <c r="C461" s="120">
        <v>-2.58E-2</v>
      </c>
      <c r="E461" s="25"/>
      <c r="G461" s="25"/>
      <c r="L461" s="120"/>
    </row>
    <row r="462" spans="1:12" x14ac:dyDescent="0.35">
      <c r="A462" s="136" t="s">
        <v>590</v>
      </c>
      <c r="B462" s="120">
        <v>-2.3400000000000001E-2</v>
      </c>
      <c r="C462" s="120">
        <v>-4.1000000000000003E-3</v>
      </c>
      <c r="E462" s="25"/>
      <c r="L462" s="120"/>
    </row>
    <row r="463" spans="1:12" x14ac:dyDescent="0.35">
      <c r="A463" s="136" t="s">
        <v>591</v>
      </c>
      <c r="B463" s="120">
        <v>9.1999999999999998E-3</v>
      </c>
      <c r="C463" s="120">
        <v>2.58E-2</v>
      </c>
      <c r="E463" s="25"/>
      <c r="L463" s="120"/>
    </row>
    <row r="464" spans="1:12" x14ac:dyDescent="0.35">
      <c r="A464" s="136" t="s">
        <v>592</v>
      </c>
      <c r="B464" s="120">
        <v>-2.4299999999999999E-2</v>
      </c>
      <c r="C464" s="120">
        <v>1E-3</v>
      </c>
      <c r="E464" s="25"/>
      <c r="L464" s="120"/>
    </row>
    <row r="465" spans="1:12" x14ac:dyDescent="0.35">
      <c r="A465" s="136" t="s">
        <v>593</v>
      </c>
      <c r="B465" s="120">
        <v>-3.8E-3</v>
      </c>
      <c r="C465" s="120">
        <v>9.5999999999999992E-3</v>
      </c>
      <c r="E465" s="25"/>
      <c r="G465" s="25"/>
      <c r="L465" s="120"/>
    </row>
    <row r="466" spans="1:12" x14ac:dyDescent="0.35">
      <c r="A466" s="136" t="s">
        <v>594</v>
      </c>
      <c r="B466" s="120">
        <v>1.29E-2</v>
      </c>
      <c r="C466" s="120">
        <v>9.1999999999999998E-3</v>
      </c>
      <c r="E466" s="25"/>
      <c r="L466" s="120"/>
    </row>
    <row r="467" spans="1:12" x14ac:dyDescent="0.35">
      <c r="A467" s="136" t="s">
        <v>595</v>
      </c>
      <c r="B467" s="120">
        <v>1.1999999999999999E-3</v>
      </c>
      <c r="C467" s="120">
        <v>-4.7999999999999996E-3</v>
      </c>
      <c r="E467" s="25"/>
      <c r="G467" s="25"/>
      <c r="L467" s="120"/>
    </row>
    <row r="468" spans="1:12" x14ac:dyDescent="0.35">
      <c r="A468" s="136" t="s">
        <v>596</v>
      </c>
      <c r="B468" s="120">
        <v>1.55E-2</v>
      </c>
      <c r="C468" s="120">
        <v>-1.0999999999999999E-2</v>
      </c>
      <c r="E468" s="25"/>
      <c r="L468" s="120"/>
    </row>
    <row r="469" spans="1:12" x14ac:dyDescent="0.35">
      <c r="A469" s="136">
        <v>45201</v>
      </c>
      <c r="B469" s="120">
        <v>-1.6400000000000001E-2</v>
      </c>
      <c r="C469" s="120">
        <v>-8.2000000000000007E-3</v>
      </c>
      <c r="E469" s="25"/>
      <c r="G469" s="25"/>
      <c r="L469" s="120"/>
    </row>
    <row r="470" spans="1:12" x14ac:dyDescent="0.35">
      <c r="A470" s="136">
        <v>45171</v>
      </c>
      <c r="B470" s="120">
        <v>-1.3899999999999999E-2</v>
      </c>
      <c r="C470" s="120">
        <v>-7.6E-3</v>
      </c>
      <c r="E470" s="25"/>
      <c r="G470" s="25"/>
      <c r="L470" s="120"/>
    </row>
    <row r="471" spans="1:12" x14ac:dyDescent="0.35">
      <c r="A471" s="136">
        <v>45140</v>
      </c>
      <c r="B471" s="120">
        <v>1.29E-2</v>
      </c>
      <c r="C471" s="120">
        <v>6.0000000000000001E-3</v>
      </c>
      <c r="E471" s="25"/>
      <c r="G471" s="25"/>
      <c r="L471" s="120"/>
    </row>
    <row r="472" spans="1:12" x14ac:dyDescent="0.35">
      <c r="A472" s="136">
        <v>45109</v>
      </c>
      <c r="B472" s="120">
        <v>-1.0500000000000001E-2</v>
      </c>
      <c r="C472" s="120">
        <v>-2.1499999999999998E-2</v>
      </c>
      <c r="E472" s="25"/>
      <c r="L472" s="120"/>
    </row>
    <row r="473" spans="1:12" x14ac:dyDescent="0.35">
      <c r="A473" s="136">
        <v>45079</v>
      </c>
      <c r="B473" s="120">
        <v>7.0000000000000001E-3</v>
      </c>
      <c r="C473" s="120">
        <v>1.1299999999999999E-2</v>
      </c>
      <c r="E473" s="25"/>
      <c r="L473" s="120"/>
    </row>
    <row r="474" spans="1:12" x14ac:dyDescent="0.35">
      <c r="A474" s="136">
        <v>44987</v>
      </c>
      <c r="B474" s="120">
        <v>4.7000000000000002E-3</v>
      </c>
      <c r="C474" s="120">
        <v>-4.0000000000000002E-4</v>
      </c>
      <c r="E474" s="25"/>
      <c r="L474" s="120"/>
    </row>
    <row r="475" spans="1:12" x14ac:dyDescent="0.35">
      <c r="A475" s="136">
        <v>44959</v>
      </c>
      <c r="B475" s="120">
        <v>1.0699999999999999E-2</v>
      </c>
      <c r="C475" s="120">
        <v>1.5E-3</v>
      </c>
      <c r="E475" s="25"/>
      <c r="L475" s="120"/>
    </row>
    <row r="476" spans="1:12" x14ac:dyDescent="0.35">
      <c r="A476" s="136">
        <v>44928</v>
      </c>
      <c r="B476" s="120">
        <v>-3.5499999999999997E-2</v>
      </c>
      <c r="C476" s="120">
        <v>-3.1699999999999999E-2</v>
      </c>
      <c r="E476" s="25"/>
      <c r="L476" s="120"/>
    </row>
    <row r="477" spans="1:12" x14ac:dyDescent="0.35">
      <c r="A477" s="136" t="s">
        <v>597</v>
      </c>
      <c r="B477" s="120">
        <v>1.04E-2</v>
      </c>
      <c r="C477" s="120">
        <v>7.7999999999999996E-3</v>
      </c>
      <c r="E477" s="25"/>
      <c r="L477" s="120"/>
    </row>
    <row r="478" spans="1:12" x14ac:dyDescent="0.35">
      <c r="A478" s="136" t="s">
        <v>598</v>
      </c>
      <c r="B478" s="120">
        <v>2.2499999999999999E-2</v>
      </c>
      <c r="C478" s="120">
        <v>-1.2999999999999999E-2</v>
      </c>
      <c r="E478" s="25"/>
      <c r="L478" s="120"/>
    </row>
    <row r="479" spans="1:12" x14ac:dyDescent="0.35">
      <c r="A479" s="136" t="s">
        <v>599</v>
      </c>
      <c r="B479" s="120">
        <v>1.1999999999999999E-3</v>
      </c>
      <c r="C479" s="120">
        <v>8.0999999999999996E-3</v>
      </c>
      <c r="E479" s="25"/>
      <c r="L479" s="120"/>
    </row>
    <row r="480" spans="1:12" x14ac:dyDescent="0.35">
      <c r="A480" s="136" t="s">
        <v>600</v>
      </c>
      <c r="B480" s="120">
        <v>1.1999999999999999E-3</v>
      </c>
      <c r="C480" s="120">
        <v>8.8999999999999999E-3</v>
      </c>
      <c r="E480" s="25"/>
      <c r="L480" s="120"/>
    </row>
    <row r="481" spans="1:12" x14ac:dyDescent="0.35">
      <c r="A481" s="136" t="s">
        <v>601</v>
      </c>
      <c r="B481" s="120">
        <v>4.7999999999999996E-3</v>
      </c>
      <c r="C481" s="120">
        <v>9.1999999999999998E-3</v>
      </c>
      <c r="E481" s="25"/>
      <c r="L481" s="120"/>
    </row>
    <row r="482" spans="1:12" x14ac:dyDescent="0.35">
      <c r="A482" s="136" t="s">
        <v>602</v>
      </c>
      <c r="B482" s="120">
        <v>2.4400000000000002E-2</v>
      </c>
      <c r="C482" s="120">
        <v>2.0299999999999999E-2</v>
      </c>
      <c r="E482" s="25"/>
      <c r="L482" s="120"/>
    </row>
    <row r="483" spans="1:12" x14ac:dyDescent="0.35">
      <c r="A483" s="136" t="s">
        <v>603</v>
      </c>
      <c r="B483" s="120">
        <v>-2.3999999999999998E-3</v>
      </c>
      <c r="C483" s="120">
        <v>6.1000000000000004E-3</v>
      </c>
      <c r="E483" s="25"/>
      <c r="L483" s="120"/>
    </row>
    <row r="484" spans="1:12" x14ac:dyDescent="0.35">
      <c r="A484" s="136" t="s">
        <v>604</v>
      </c>
      <c r="B484" s="120">
        <v>6.1000000000000004E-3</v>
      </c>
      <c r="C484" s="120">
        <v>3.5999999999999999E-3</v>
      </c>
      <c r="E484" s="25"/>
      <c r="L484" s="120"/>
    </row>
    <row r="485" spans="1:12" x14ac:dyDescent="0.35">
      <c r="A485" s="136">
        <v>45261</v>
      </c>
      <c r="B485" s="120">
        <v>-1.9199999999999998E-2</v>
      </c>
      <c r="C485" s="120">
        <v>5.9999999999999995E-4</v>
      </c>
      <c r="E485" s="25"/>
      <c r="G485" s="25"/>
      <c r="L485" s="120"/>
    </row>
    <row r="486" spans="1:12" x14ac:dyDescent="0.35">
      <c r="A486" s="136">
        <v>45231</v>
      </c>
      <c r="B486" s="120">
        <v>-1.0699999999999999E-2</v>
      </c>
      <c r="C486" s="120">
        <v>2.3E-3</v>
      </c>
      <c r="E486" s="25"/>
      <c r="L486" s="120"/>
    </row>
    <row r="487" spans="1:12" x14ac:dyDescent="0.35">
      <c r="A487" s="136">
        <v>45200</v>
      </c>
      <c r="B487" s="120">
        <v>0</v>
      </c>
      <c r="C487" s="120">
        <v>-8.0000000000000004E-4</v>
      </c>
      <c r="E487" s="25"/>
      <c r="G487" s="25"/>
      <c r="L487" s="120"/>
    </row>
    <row r="488" spans="1:12" x14ac:dyDescent="0.35">
      <c r="A488" s="136">
        <v>45170</v>
      </c>
      <c r="B488" s="120">
        <v>-7.1000000000000004E-3</v>
      </c>
      <c r="C488" s="120">
        <v>2.5999999999999999E-3</v>
      </c>
      <c r="E488" s="25"/>
      <c r="L488" s="120"/>
    </row>
    <row r="489" spans="1:12" x14ac:dyDescent="0.35">
      <c r="A489" s="136">
        <v>45078</v>
      </c>
      <c r="B489" s="120">
        <v>-4.9299999999999997E-2</v>
      </c>
      <c r="C489" s="120">
        <v>-4.1000000000000003E-3</v>
      </c>
      <c r="E489" s="25"/>
      <c r="G489" s="25"/>
      <c r="L489" s="120"/>
    </row>
    <row r="490" spans="1:12" x14ac:dyDescent="0.35">
      <c r="A490" s="136">
        <v>45047</v>
      </c>
      <c r="B490" s="120">
        <v>-8.8999999999999999E-3</v>
      </c>
      <c r="C490" s="120">
        <v>9.1000000000000004E-3</v>
      </c>
      <c r="E490" s="25"/>
      <c r="L490" s="120"/>
    </row>
    <row r="491" spans="1:12" x14ac:dyDescent="0.35">
      <c r="A491" s="136">
        <v>45017</v>
      </c>
      <c r="B491" s="120">
        <v>3.3300000000000003E-2</v>
      </c>
      <c r="C491" s="120">
        <v>2.3E-3</v>
      </c>
      <c r="E491" s="25"/>
      <c r="L491" s="120"/>
    </row>
    <row r="492" spans="1:12" x14ac:dyDescent="0.35">
      <c r="A492" s="136">
        <v>44986</v>
      </c>
      <c r="B492" s="120">
        <v>1.4E-2</v>
      </c>
      <c r="C492" s="120">
        <v>3.6600000000000001E-2</v>
      </c>
      <c r="E492" s="25"/>
      <c r="G492" s="25"/>
      <c r="L492" s="120"/>
    </row>
    <row r="493" spans="1:12" x14ac:dyDescent="0.35">
      <c r="A493" s="136" t="s">
        <v>605</v>
      </c>
      <c r="B493" s="120">
        <v>-1.1999999999999999E-3</v>
      </c>
      <c r="C493" s="120">
        <v>-2.2000000000000001E-3</v>
      </c>
      <c r="E493" s="25"/>
      <c r="L493" s="120"/>
    </row>
    <row r="494" spans="1:12" x14ac:dyDescent="0.35">
      <c r="A494" s="136" t="s">
        <v>606</v>
      </c>
      <c r="B494" s="120">
        <v>-5.7999999999999996E-3</v>
      </c>
      <c r="C494" s="120">
        <v>-6.3E-3</v>
      </c>
      <c r="E494" s="25"/>
      <c r="L494" s="120"/>
    </row>
    <row r="495" spans="1:12" x14ac:dyDescent="0.35">
      <c r="A495" s="136" t="s">
        <v>607</v>
      </c>
      <c r="B495" s="120">
        <v>5.7999999999999996E-3</v>
      </c>
      <c r="C495" s="120">
        <v>1.0999999999999999E-2</v>
      </c>
      <c r="E495" s="25"/>
      <c r="G495" s="25"/>
      <c r="L495" s="120"/>
    </row>
    <row r="496" spans="1:12" x14ac:dyDescent="0.35">
      <c r="A496" s="136" t="s">
        <v>608</v>
      </c>
      <c r="B496" s="120">
        <v>2.75E-2</v>
      </c>
      <c r="C496" s="120">
        <v>1.9699999999999999E-2</v>
      </c>
      <c r="E496" s="25"/>
      <c r="L496" s="120"/>
    </row>
    <row r="497" spans="1:12" x14ac:dyDescent="0.35">
      <c r="A497" s="136" t="s">
        <v>609</v>
      </c>
      <c r="B497" s="120">
        <v>-3.1300000000000001E-2</v>
      </c>
      <c r="C497" s="120">
        <v>-3.44E-2</v>
      </c>
      <c r="E497" s="25"/>
      <c r="G497" s="25"/>
      <c r="L497" s="120"/>
    </row>
    <row r="498" spans="1:12" x14ac:dyDescent="0.35">
      <c r="A498" s="136" t="s">
        <v>610</v>
      </c>
      <c r="B498" s="120">
        <v>-1.15E-2</v>
      </c>
      <c r="C498" s="120">
        <v>-2.2000000000000001E-3</v>
      </c>
      <c r="E498" s="25"/>
      <c r="L498" s="120"/>
    </row>
    <row r="499" spans="1:12" x14ac:dyDescent="0.35">
      <c r="A499" s="136" t="s">
        <v>611</v>
      </c>
      <c r="B499" s="120">
        <v>-4.4999999999999997E-3</v>
      </c>
      <c r="C499" s="120">
        <v>3.7000000000000002E-3</v>
      </c>
      <c r="E499" s="25"/>
      <c r="L499" s="120"/>
    </row>
    <row r="500" spans="1:12" x14ac:dyDescent="0.35">
      <c r="A500" s="136" t="s">
        <v>612</v>
      </c>
      <c r="B500" s="120">
        <v>-1.35E-2</v>
      </c>
      <c r="C500" s="120">
        <v>-4.1999999999999997E-3</v>
      </c>
      <c r="E500" s="25"/>
      <c r="L500" s="120"/>
    </row>
    <row r="501" spans="1:12" x14ac:dyDescent="0.35">
      <c r="A501" s="136" t="s">
        <v>613</v>
      </c>
      <c r="B501" s="120">
        <v>2.7699999999999999E-2</v>
      </c>
      <c r="C501" s="120">
        <v>-1.47E-2</v>
      </c>
      <c r="E501" s="25"/>
      <c r="G501" s="25"/>
      <c r="L501" s="120"/>
    </row>
    <row r="502" spans="1:12" x14ac:dyDescent="0.35">
      <c r="A502" s="136" t="s">
        <v>614</v>
      </c>
      <c r="B502" s="120">
        <v>0</v>
      </c>
      <c r="C502" s="120">
        <v>-1.34E-2</v>
      </c>
      <c r="E502" s="25"/>
      <c r="L502" s="120"/>
    </row>
    <row r="503" spans="1:12" x14ac:dyDescent="0.35">
      <c r="A503" s="136" t="s">
        <v>615</v>
      </c>
      <c r="B503" s="120">
        <v>-1.5900000000000001E-2</v>
      </c>
      <c r="C503" s="120">
        <v>-2.7000000000000001E-3</v>
      </c>
      <c r="E503" s="25"/>
      <c r="G503" s="25"/>
      <c r="L503" s="120"/>
    </row>
    <row r="504" spans="1:12" x14ac:dyDescent="0.35">
      <c r="A504" s="136" t="s">
        <v>616</v>
      </c>
      <c r="B504" s="120">
        <v>0</v>
      </c>
      <c r="C504" s="120">
        <v>4.7000000000000002E-3</v>
      </c>
      <c r="E504" s="25"/>
      <c r="L504" s="120"/>
    </row>
    <row r="505" spans="1:12" x14ac:dyDescent="0.35">
      <c r="A505" s="136" t="s">
        <v>617</v>
      </c>
      <c r="B505" s="120">
        <v>1.15E-2</v>
      </c>
      <c r="C505" s="120">
        <v>2.8E-3</v>
      </c>
      <c r="E505" s="25"/>
      <c r="G505" s="25"/>
      <c r="L505" s="120"/>
    </row>
    <row r="506" spans="1:12" x14ac:dyDescent="0.35">
      <c r="A506" s="136" t="s">
        <v>618</v>
      </c>
      <c r="B506" s="120">
        <v>1.1599999999999999E-2</v>
      </c>
      <c r="C506" s="120">
        <v>1.49E-2</v>
      </c>
      <c r="E506" s="25"/>
      <c r="G506" s="25"/>
      <c r="L506" s="120"/>
    </row>
    <row r="507" spans="1:12" x14ac:dyDescent="0.35">
      <c r="A507" s="136">
        <v>44907</v>
      </c>
      <c r="B507" s="120">
        <v>1.1999999999999999E-3</v>
      </c>
      <c r="C507" s="120">
        <v>-1.8800000000000001E-2</v>
      </c>
      <c r="E507" s="25"/>
      <c r="G507" s="25"/>
      <c r="L507" s="120"/>
    </row>
    <row r="508" spans="1:12" x14ac:dyDescent="0.35">
      <c r="A508" s="136">
        <v>44816</v>
      </c>
      <c r="B508" s="120">
        <v>-2.3E-3</v>
      </c>
      <c r="C508" s="120">
        <v>1.1999999999999999E-3</v>
      </c>
      <c r="E508" s="25"/>
      <c r="L508" s="120"/>
    </row>
    <row r="509" spans="1:12" x14ac:dyDescent="0.35">
      <c r="A509" s="136">
        <v>44785</v>
      </c>
      <c r="B509" s="120">
        <v>1.29E-2</v>
      </c>
      <c r="C509" s="120">
        <v>9.1000000000000004E-3</v>
      </c>
      <c r="E509" s="25"/>
      <c r="L509" s="120"/>
    </row>
    <row r="510" spans="1:12" x14ac:dyDescent="0.35">
      <c r="A510" s="136">
        <v>44754</v>
      </c>
      <c r="B510" s="120">
        <v>4.7000000000000002E-3</v>
      </c>
      <c r="C510" s="120">
        <v>-7.3000000000000001E-3</v>
      </c>
      <c r="E510" s="25"/>
      <c r="L510" s="120"/>
    </row>
    <row r="511" spans="1:12" x14ac:dyDescent="0.35">
      <c r="A511" s="136">
        <v>44724</v>
      </c>
      <c r="B511" s="120">
        <v>3.0499999999999999E-2</v>
      </c>
      <c r="C511" s="120">
        <v>-4.1099999999999998E-2</v>
      </c>
      <c r="E511" s="25"/>
      <c r="L511" s="120"/>
    </row>
    <row r="512" spans="1:12" x14ac:dyDescent="0.35">
      <c r="A512" s="136">
        <v>44693</v>
      </c>
      <c r="B512" s="120">
        <v>-6.1000000000000004E-3</v>
      </c>
      <c r="C512" s="120">
        <v>1.26E-2</v>
      </c>
      <c r="E512" s="25"/>
      <c r="L512" s="120"/>
    </row>
    <row r="513" spans="1:12" x14ac:dyDescent="0.35">
      <c r="A513" s="136">
        <v>44604</v>
      </c>
      <c r="B513" s="120">
        <v>5.0900000000000001E-2</v>
      </c>
      <c r="C513" s="120">
        <v>4.2200000000000001E-2</v>
      </c>
      <c r="E513" s="25"/>
      <c r="L513" s="120"/>
    </row>
    <row r="514" spans="1:12" x14ac:dyDescent="0.35">
      <c r="A514" s="136">
        <v>44573</v>
      </c>
      <c r="B514" s="120">
        <v>-3.9100000000000003E-2</v>
      </c>
      <c r="C514" s="120">
        <v>-1.1599999999999999E-2</v>
      </c>
      <c r="E514" s="25"/>
      <c r="L514" s="120"/>
    </row>
    <row r="515" spans="1:12" x14ac:dyDescent="0.35">
      <c r="A515" s="136" t="s">
        <v>619</v>
      </c>
      <c r="B515" s="120">
        <v>9.9000000000000008E-3</v>
      </c>
      <c r="C515" s="120">
        <v>1.5800000000000002E-2</v>
      </c>
      <c r="E515" s="25"/>
      <c r="L515" s="120"/>
    </row>
    <row r="516" spans="1:12" x14ac:dyDescent="0.35">
      <c r="A516" s="136" t="s">
        <v>620</v>
      </c>
      <c r="B516" s="120">
        <v>3.7100000000000001E-2</v>
      </c>
      <c r="C516" s="120">
        <v>2.63E-2</v>
      </c>
      <c r="E516" s="25"/>
      <c r="L516" s="120"/>
    </row>
    <row r="517" spans="1:12" x14ac:dyDescent="0.35">
      <c r="A517" s="136" t="s">
        <v>621</v>
      </c>
      <c r="B517" s="120">
        <v>3.85E-2</v>
      </c>
      <c r="C517" s="120">
        <v>3.5200000000000002E-2</v>
      </c>
      <c r="E517" s="25"/>
      <c r="L517" s="120"/>
    </row>
    <row r="518" spans="1:12" x14ac:dyDescent="0.35">
      <c r="A518" s="136" t="s">
        <v>622</v>
      </c>
      <c r="B518" s="120">
        <v>3.0099999999999998E-2</v>
      </c>
      <c r="C518" s="120">
        <v>2.5100000000000001E-2</v>
      </c>
      <c r="E518" s="25"/>
      <c r="L518" s="120"/>
    </row>
    <row r="519" spans="1:12" x14ac:dyDescent="0.35">
      <c r="A519" s="136" t="s">
        <v>623</v>
      </c>
      <c r="B519" s="120">
        <v>6.8999999999999999E-3</v>
      </c>
      <c r="C519" s="120">
        <v>1.8E-3</v>
      </c>
      <c r="E519" s="25"/>
      <c r="L519" s="120"/>
    </row>
    <row r="520" spans="1:12" x14ac:dyDescent="0.35">
      <c r="A520" s="136" t="s">
        <v>624</v>
      </c>
      <c r="B520" s="120">
        <v>7.0000000000000001E-3</v>
      </c>
      <c r="C520" s="120">
        <v>-6.4000000000000003E-3</v>
      </c>
      <c r="E520" s="25"/>
      <c r="L520" s="120"/>
    </row>
    <row r="521" spans="1:12" x14ac:dyDescent="0.35">
      <c r="A521" s="136" t="s">
        <v>625</v>
      </c>
      <c r="B521" s="120">
        <v>0</v>
      </c>
      <c r="C521" s="120">
        <v>-8.8999999999999999E-3</v>
      </c>
      <c r="E521" s="25"/>
      <c r="G521" s="25"/>
      <c r="L521" s="120"/>
    </row>
    <row r="522" spans="1:12" x14ac:dyDescent="0.35">
      <c r="A522" s="136" t="s">
        <v>626</v>
      </c>
      <c r="B522" s="120">
        <v>-2.7E-2</v>
      </c>
      <c r="C522" s="120">
        <v>-8.9999999999999993E-3</v>
      </c>
      <c r="E522" s="25"/>
      <c r="L522" s="120"/>
    </row>
    <row r="523" spans="1:12" x14ac:dyDescent="0.35">
      <c r="A523" s="136" t="s">
        <v>627</v>
      </c>
      <c r="B523" s="120">
        <v>-1.8599999999999998E-2</v>
      </c>
      <c r="C523" s="120">
        <v>1E-4</v>
      </c>
      <c r="E523" s="25"/>
      <c r="G523" s="25"/>
      <c r="L523" s="120"/>
    </row>
    <row r="524" spans="1:12" x14ac:dyDescent="0.35">
      <c r="A524" s="136" t="s">
        <v>628</v>
      </c>
      <c r="B524" s="120">
        <v>2.0299999999999999E-2</v>
      </c>
      <c r="C524" s="120">
        <v>2.8000000000000001E-2</v>
      </c>
      <c r="E524" s="25"/>
      <c r="L524" s="120"/>
    </row>
    <row r="525" spans="1:12" x14ac:dyDescent="0.35">
      <c r="A525" s="136" t="s">
        <v>629</v>
      </c>
      <c r="B525" s="120">
        <v>6.9500000000000006E-2</v>
      </c>
      <c r="C525" s="120">
        <v>3.4000000000000002E-2</v>
      </c>
      <c r="E525" s="25"/>
      <c r="G525" s="25"/>
      <c r="L525" s="120"/>
    </row>
    <row r="526" spans="1:12" x14ac:dyDescent="0.35">
      <c r="A526" s="136" t="s">
        <v>630</v>
      </c>
      <c r="B526" s="120">
        <v>-6.8699999999999997E-2</v>
      </c>
      <c r="C526" s="120">
        <v>-3.1E-2</v>
      </c>
      <c r="E526" s="25"/>
      <c r="L526" s="120"/>
    </row>
    <row r="527" spans="1:12" x14ac:dyDescent="0.35">
      <c r="A527" s="136" t="s">
        <v>631</v>
      </c>
      <c r="B527" s="120">
        <v>-6.7799999999999999E-2</v>
      </c>
      <c r="C527" s="120">
        <v>-1.41E-2</v>
      </c>
      <c r="E527" s="25"/>
      <c r="L527" s="120"/>
    </row>
    <row r="528" spans="1:12" x14ac:dyDescent="0.35">
      <c r="A528" s="136">
        <v>44876</v>
      </c>
      <c r="B528" s="120">
        <v>1.7899999999999999E-2</v>
      </c>
      <c r="C528" s="120">
        <v>7.7000000000000002E-3</v>
      </c>
      <c r="E528" s="25"/>
      <c r="G528" s="25"/>
      <c r="L528" s="120"/>
    </row>
    <row r="529" spans="1:12" x14ac:dyDescent="0.35">
      <c r="A529" s="136">
        <v>44845</v>
      </c>
      <c r="B529" s="120">
        <v>-6.9099999999999995E-2</v>
      </c>
      <c r="C529" s="120">
        <v>-3.8899999999999997E-2</v>
      </c>
      <c r="E529" s="25"/>
      <c r="L529" s="120"/>
    </row>
    <row r="530" spans="1:12" x14ac:dyDescent="0.35">
      <c r="A530" s="136">
        <v>44815</v>
      </c>
      <c r="B530" s="120">
        <v>8.3999999999999995E-3</v>
      </c>
      <c r="C530" s="120">
        <v>4.0000000000000001E-3</v>
      </c>
      <c r="E530" s="25"/>
      <c r="L530" s="120"/>
    </row>
    <row r="531" spans="1:12" x14ac:dyDescent="0.35">
      <c r="A531" s="136">
        <v>44784</v>
      </c>
      <c r="B531" s="120">
        <v>1.83E-2</v>
      </c>
      <c r="C531" s="120">
        <v>6.6E-3</v>
      </c>
      <c r="E531" s="25"/>
      <c r="G531" s="25"/>
      <c r="L531" s="120"/>
    </row>
    <row r="532" spans="1:12" x14ac:dyDescent="0.35">
      <c r="A532" s="136">
        <v>44753</v>
      </c>
      <c r="B532" s="120">
        <v>0</v>
      </c>
      <c r="C532" s="120">
        <v>-2.1999999999999999E-2</v>
      </c>
      <c r="E532" s="25"/>
      <c r="L532" s="120"/>
    </row>
    <row r="533" spans="1:12" x14ac:dyDescent="0.35">
      <c r="A533" s="136">
        <v>44662</v>
      </c>
      <c r="B533" s="120">
        <v>-2.6200000000000001E-2</v>
      </c>
      <c r="C533" s="120">
        <v>-2.2200000000000001E-2</v>
      </c>
      <c r="E533" s="25"/>
      <c r="G533" s="25"/>
      <c r="L533" s="120"/>
    </row>
    <row r="534" spans="1:12" x14ac:dyDescent="0.35">
      <c r="A534" s="136">
        <v>44631</v>
      </c>
      <c r="B534" s="120">
        <v>1.8200000000000001E-2</v>
      </c>
      <c r="C534" s="120">
        <v>-3.3E-3</v>
      </c>
      <c r="E534" s="25"/>
      <c r="L534" s="120"/>
    </row>
    <row r="535" spans="1:12" x14ac:dyDescent="0.35">
      <c r="A535" s="136">
        <v>44603</v>
      </c>
      <c r="B535" s="120">
        <v>-5.5E-2</v>
      </c>
      <c r="C535" s="120">
        <v>-1.0200000000000001E-2</v>
      </c>
      <c r="E535" s="25"/>
      <c r="L535" s="120"/>
    </row>
    <row r="536" spans="1:12" x14ac:dyDescent="0.35">
      <c r="A536" s="136">
        <v>44572</v>
      </c>
      <c r="B536" s="120">
        <v>8.0999999999999996E-3</v>
      </c>
      <c r="C536" s="120">
        <v>5.7000000000000002E-3</v>
      </c>
      <c r="E536" s="25"/>
      <c r="L536" s="120"/>
    </row>
    <row r="537" spans="1:12" x14ac:dyDescent="0.35">
      <c r="A537" s="136" t="s">
        <v>632</v>
      </c>
      <c r="B537" s="120">
        <v>-2.7E-2</v>
      </c>
      <c r="C537" s="120">
        <v>5.9999999999999995E-4</v>
      </c>
      <c r="E537" s="25"/>
      <c r="G537" s="25"/>
      <c r="L537" s="120"/>
    </row>
    <row r="538" spans="1:12" x14ac:dyDescent="0.35">
      <c r="A538" s="136" t="s">
        <v>633</v>
      </c>
      <c r="B538" s="120">
        <v>-3.2599999999999997E-2</v>
      </c>
      <c r="C538" s="120">
        <v>-5.9999999999999995E-4</v>
      </c>
      <c r="E538" s="25"/>
      <c r="L538" s="120"/>
    </row>
    <row r="539" spans="1:12" x14ac:dyDescent="0.35">
      <c r="A539" s="136" t="s">
        <v>634</v>
      </c>
      <c r="B539" s="120">
        <v>3.3700000000000001E-2</v>
      </c>
      <c r="C539" s="120">
        <v>3.49E-2</v>
      </c>
      <c r="E539" s="25"/>
      <c r="G539" s="25"/>
      <c r="L539" s="120"/>
    </row>
    <row r="540" spans="1:12" x14ac:dyDescent="0.35">
      <c r="A540" s="136" t="s">
        <v>635</v>
      </c>
      <c r="B540" s="120">
        <v>-8.8999999999999999E-3</v>
      </c>
      <c r="C540" s="120">
        <v>-4.4000000000000003E-3</v>
      </c>
      <c r="E540" s="25"/>
      <c r="L540" s="120"/>
    </row>
    <row r="541" spans="1:12" x14ac:dyDescent="0.35">
      <c r="A541" s="136" t="s">
        <v>636</v>
      </c>
      <c r="B541" s="120">
        <v>6.9099999999999995E-2</v>
      </c>
      <c r="C541" s="120">
        <v>1.17E-2</v>
      </c>
      <c r="E541" s="25"/>
      <c r="G541" s="25"/>
      <c r="L541" s="120"/>
    </row>
    <row r="542" spans="1:12" x14ac:dyDescent="0.35">
      <c r="A542" s="136" t="s">
        <v>637</v>
      </c>
      <c r="B542" s="120">
        <v>-4.3299999999999998E-2</v>
      </c>
      <c r="C542" s="120">
        <v>-3.3000000000000002E-2</v>
      </c>
      <c r="E542" s="25"/>
      <c r="G542" s="25"/>
      <c r="L542" s="120"/>
    </row>
    <row r="543" spans="1:12" x14ac:dyDescent="0.35">
      <c r="A543" s="136" t="s">
        <v>638</v>
      </c>
      <c r="B543" s="120">
        <v>-6.6000000000000003E-2</v>
      </c>
      <c r="C543" s="120">
        <v>-3.6499999999999998E-2</v>
      </c>
      <c r="E543" s="25"/>
      <c r="G543" s="25"/>
      <c r="L543" s="120"/>
    </row>
    <row r="544" spans="1:12" x14ac:dyDescent="0.35">
      <c r="A544" s="136" t="s">
        <v>639</v>
      </c>
      <c r="B544" s="120">
        <v>-2.0799999999999999E-2</v>
      </c>
      <c r="C544" s="120">
        <v>-1.5E-3</v>
      </c>
      <c r="E544" s="25"/>
      <c r="L544" s="120"/>
    </row>
    <row r="545" spans="1:12" x14ac:dyDescent="0.35">
      <c r="A545" s="136" t="s">
        <v>640</v>
      </c>
      <c r="B545" s="120">
        <v>-3.0999999999999999E-3</v>
      </c>
      <c r="C545" s="120">
        <v>-3.3999999999999998E-3</v>
      </c>
      <c r="E545" s="25"/>
      <c r="L545" s="120"/>
    </row>
    <row r="546" spans="1:12" x14ac:dyDescent="0.35">
      <c r="A546" s="136" t="s">
        <v>641</v>
      </c>
      <c r="B546" s="120">
        <v>-1.7299999999999999E-2</v>
      </c>
      <c r="C546" s="120">
        <v>1.15E-2</v>
      </c>
      <c r="E546" s="25"/>
      <c r="L546" s="120"/>
    </row>
    <row r="547" spans="1:12" x14ac:dyDescent="0.35">
      <c r="A547" s="136" t="s">
        <v>642</v>
      </c>
      <c r="B547" s="120">
        <v>3.1600000000000003E-2</v>
      </c>
      <c r="C547" s="120">
        <v>-9.7000000000000003E-3</v>
      </c>
      <c r="E547" s="25"/>
      <c r="L547" s="120"/>
    </row>
    <row r="548" spans="1:12" x14ac:dyDescent="0.35">
      <c r="A548" s="136" t="s">
        <v>643</v>
      </c>
      <c r="B548" s="120">
        <v>1.9300000000000001E-2</v>
      </c>
      <c r="C548" s="120">
        <v>1.03E-2</v>
      </c>
      <c r="E548" s="25"/>
      <c r="L548" s="120"/>
    </row>
    <row r="549" spans="1:12" x14ac:dyDescent="0.35">
      <c r="A549" s="136" t="s">
        <v>644</v>
      </c>
      <c r="B549" s="120">
        <v>2.2000000000000001E-3</v>
      </c>
      <c r="C549" s="120">
        <v>1.5599999999999999E-2</v>
      </c>
      <c r="E549" s="25"/>
      <c r="L549" s="120"/>
    </row>
    <row r="550" spans="1:12" x14ac:dyDescent="0.35">
      <c r="A550" s="136">
        <v>44905</v>
      </c>
      <c r="B550" s="120">
        <v>6.9000000000000006E-2</v>
      </c>
      <c r="C550" s="120">
        <v>2.8400000000000002E-2</v>
      </c>
      <c r="E550" s="25"/>
      <c r="L550" s="120"/>
    </row>
    <row r="551" spans="1:12" x14ac:dyDescent="0.35">
      <c r="A551" s="136">
        <v>44875</v>
      </c>
      <c r="B551" s="120">
        <v>-8.0000000000000002E-3</v>
      </c>
      <c r="C551" s="120">
        <v>-3.4799999999999998E-2</v>
      </c>
      <c r="E551" s="25"/>
      <c r="L551" s="120"/>
    </row>
    <row r="552" spans="1:12" x14ac:dyDescent="0.35">
      <c r="A552" s="136">
        <v>44844</v>
      </c>
      <c r="B552" s="120">
        <v>6.9500000000000006E-2</v>
      </c>
      <c r="C552" s="120">
        <v>6.3E-3</v>
      </c>
      <c r="E552" s="25"/>
      <c r="L552" s="120"/>
    </row>
    <row r="553" spans="1:12" x14ac:dyDescent="0.35">
      <c r="A553" s="136">
        <v>44752</v>
      </c>
      <c r="B553" s="120">
        <v>-3.9800000000000002E-2</v>
      </c>
      <c r="C553" s="120">
        <v>-3.5900000000000001E-2</v>
      </c>
      <c r="E553" s="25"/>
      <c r="L553" s="120"/>
    </row>
    <row r="554" spans="1:12" x14ac:dyDescent="0.35">
      <c r="A554" s="136">
        <v>44722</v>
      </c>
      <c r="B554" s="120">
        <v>-1.4999999999999999E-2</v>
      </c>
      <c r="C554" s="120">
        <v>-2.69E-2</v>
      </c>
      <c r="E554" s="25"/>
      <c r="L554" s="120"/>
    </row>
    <row r="555" spans="1:12" x14ac:dyDescent="0.35">
      <c r="A555" s="136">
        <v>44691</v>
      </c>
      <c r="B555" s="120">
        <v>4.4600000000000001E-2</v>
      </c>
      <c r="C555" s="120">
        <v>2.4199999999999999E-2</v>
      </c>
      <c r="E555" s="25"/>
      <c r="L555" s="120"/>
    </row>
    <row r="556" spans="1:12" x14ac:dyDescent="0.35">
      <c r="A556" s="136">
        <v>44661</v>
      </c>
      <c r="B556" s="120">
        <v>-4.82E-2</v>
      </c>
      <c r="C556" s="120">
        <v>-7.6E-3</v>
      </c>
      <c r="E556" s="25"/>
      <c r="L556" s="120"/>
    </row>
    <row r="557" spans="1:12" x14ac:dyDescent="0.35">
      <c r="A557" s="136">
        <v>44630</v>
      </c>
      <c r="B557" s="120">
        <v>-6.9400000000000003E-2</v>
      </c>
      <c r="C557" s="120">
        <v>-4.0300000000000002E-2</v>
      </c>
      <c r="E557" s="25"/>
      <c r="G557" s="25"/>
      <c r="L557" s="120"/>
    </row>
    <row r="558" spans="1:12" x14ac:dyDescent="0.35">
      <c r="A558" s="136" t="s">
        <v>645</v>
      </c>
      <c r="B558" s="120">
        <v>0.04</v>
      </c>
      <c r="C558" s="120">
        <v>5.4000000000000003E-3</v>
      </c>
      <c r="E558" s="25"/>
      <c r="L558" s="120"/>
    </row>
    <row r="559" spans="1:12" x14ac:dyDescent="0.35">
      <c r="A559" s="136" t="s">
        <v>646</v>
      </c>
      <c r="B559" s="120">
        <v>-4.7600000000000003E-2</v>
      </c>
      <c r="C559" s="120">
        <v>-1.5299999999999999E-2</v>
      </c>
      <c r="E559" s="25"/>
      <c r="G559" s="25"/>
      <c r="L559" s="120"/>
    </row>
    <row r="560" spans="1:12" x14ac:dyDescent="0.35">
      <c r="A560" s="136" t="s">
        <v>647</v>
      </c>
      <c r="B560" s="120">
        <v>8.5000000000000006E-3</v>
      </c>
      <c r="C560" s="120">
        <v>-1.9599999999999999E-2</v>
      </c>
      <c r="E560" s="25"/>
      <c r="L560" s="120"/>
    </row>
    <row r="561" spans="1:12" x14ac:dyDescent="0.35">
      <c r="A561" s="136" t="s">
        <v>648</v>
      </c>
      <c r="B561" s="120">
        <v>8.6E-3</v>
      </c>
      <c r="C561" s="120">
        <v>-6.7000000000000002E-3</v>
      </c>
      <c r="E561" s="25"/>
      <c r="G561" s="25"/>
      <c r="L561" s="120"/>
    </row>
    <row r="562" spans="1:12" x14ac:dyDescent="0.35">
      <c r="A562" s="136" t="s">
        <v>649</v>
      </c>
      <c r="B562" s="120">
        <v>-6.0600000000000001E-2</v>
      </c>
      <c r="C562" s="120">
        <v>-2.4E-2</v>
      </c>
      <c r="E562" s="25"/>
      <c r="L562" s="120"/>
    </row>
    <row r="563" spans="1:12" x14ac:dyDescent="0.35">
      <c r="A563" s="136" t="s">
        <v>650</v>
      </c>
      <c r="B563" s="120">
        <v>-1.3899999999999999E-2</v>
      </c>
      <c r="C563" s="120">
        <v>-9.4000000000000004E-3</v>
      </c>
      <c r="E563" s="25"/>
      <c r="L563" s="120"/>
    </row>
    <row r="564" spans="1:12" x14ac:dyDescent="0.35">
      <c r="A564" s="136" t="s">
        <v>651</v>
      </c>
      <c r="B564" s="120">
        <v>1.72E-2</v>
      </c>
      <c r="C564" s="120">
        <v>3.3999999999999998E-3</v>
      </c>
      <c r="E564" s="25"/>
      <c r="G564" s="25"/>
      <c r="L564" s="120"/>
    </row>
    <row r="565" spans="1:12" x14ac:dyDescent="0.35">
      <c r="A565" s="136" t="s">
        <v>652</v>
      </c>
      <c r="B565" s="120">
        <v>-1.6899999999999998E-2</v>
      </c>
      <c r="C565" s="120">
        <v>-6.8999999999999999E-3</v>
      </c>
      <c r="E565" s="25"/>
      <c r="L565" s="120"/>
    </row>
    <row r="566" spans="1:12" x14ac:dyDescent="0.35">
      <c r="A566" s="136" t="s">
        <v>653</v>
      </c>
      <c r="B566" s="120">
        <v>3.5000000000000003E-2</v>
      </c>
      <c r="C566" s="120">
        <v>1.12E-2</v>
      </c>
      <c r="E566" s="25"/>
      <c r="L566" s="120"/>
    </row>
    <row r="567" spans="1:12" x14ac:dyDescent="0.35">
      <c r="A567" s="136" t="s">
        <v>654</v>
      </c>
      <c r="B567" s="120">
        <v>-6.9099999999999995E-2</v>
      </c>
      <c r="C567" s="120">
        <v>-2.3199999999999998E-2</v>
      </c>
      <c r="E567" s="25"/>
      <c r="G567" s="25"/>
      <c r="L567" s="120"/>
    </row>
    <row r="568" spans="1:12" x14ac:dyDescent="0.35">
      <c r="A568" s="136" t="s">
        <v>655</v>
      </c>
      <c r="B568" s="120">
        <v>-1.14E-2</v>
      </c>
      <c r="C568" s="120">
        <v>-9.2999999999999992E-3</v>
      </c>
      <c r="E568" s="25"/>
      <c r="L568" s="120"/>
    </row>
    <row r="569" spans="1:12" x14ac:dyDescent="0.35">
      <c r="A569" s="136" t="s">
        <v>656</v>
      </c>
      <c r="B569" s="120">
        <v>1.7399999999999999E-2</v>
      </c>
      <c r="C569" s="120">
        <v>3.8999999999999998E-3</v>
      </c>
      <c r="E569" s="25"/>
      <c r="G569" s="25"/>
      <c r="L569" s="120"/>
    </row>
    <row r="570" spans="1:12" x14ac:dyDescent="0.35">
      <c r="A570" s="136" t="s">
        <v>657</v>
      </c>
      <c r="B570" s="120">
        <v>-1.52E-2</v>
      </c>
      <c r="C570" s="120">
        <v>-6.1000000000000004E-3</v>
      </c>
      <c r="E570" s="25"/>
      <c r="L570" s="120"/>
    </row>
    <row r="571" spans="1:12" x14ac:dyDescent="0.35">
      <c r="A571" s="136" t="s">
        <v>658</v>
      </c>
      <c r="B571" s="120">
        <v>1.9E-3</v>
      </c>
      <c r="C571" s="120">
        <v>-1E-3</v>
      </c>
      <c r="E571" s="25"/>
      <c r="L571" s="120"/>
    </row>
    <row r="572" spans="1:12" x14ac:dyDescent="0.35">
      <c r="A572" s="136">
        <v>44904</v>
      </c>
      <c r="B572" s="120">
        <v>-2.23E-2</v>
      </c>
      <c r="C572" s="120">
        <v>6.9999999999999999E-4</v>
      </c>
      <c r="E572" s="25"/>
      <c r="L572" s="120"/>
    </row>
    <row r="573" spans="1:12" x14ac:dyDescent="0.35">
      <c r="A573" s="136">
        <v>44813</v>
      </c>
      <c r="B573" s="120">
        <v>3.27E-2</v>
      </c>
      <c r="C573" s="120">
        <v>1.15E-2</v>
      </c>
      <c r="E573" s="25"/>
      <c r="G573" s="25"/>
      <c r="L573" s="120"/>
    </row>
    <row r="574" spans="1:12" x14ac:dyDescent="0.35">
      <c r="A574" s="136">
        <v>44782</v>
      </c>
      <c r="B574" s="120">
        <v>1.5599999999999999E-2</v>
      </c>
      <c r="C574" s="120">
        <v>-6.8999999999999999E-3</v>
      </c>
      <c r="E574" s="25"/>
      <c r="L574" s="120"/>
    </row>
    <row r="575" spans="1:12" x14ac:dyDescent="0.35">
      <c r="A575" s="136">
        <v>44751</v>
      </c>
      <c r="B575" s="120">
        <v>-3.4000000000000002E-2</v>
      </c>
      <c r="C575" s="120">
        <v>-2.6800000000000001E-2</v>
      </c>
      <c r="E575" s="25"/>
      <c r="G575" s="25"/>
      <c r="L575" s="120"/>
    </row>
    <row r="576" spans="1:12" x14ac:dyDescent="0.35">
      <c r="A576" s="136">
        <v>44721</v>
      </c>
      <c r="B576" s="120">
        <v>-3.6400000000000002E-2</v>
      </c>
      <c r="C576" s="120">
        <v>0</v>
      </c>
      <c r="E576" s="25"/>
      <c r="L576" s="120"/>
    </row>
    <row r="577" spans="1:12" x14ac:dyDescent="0.35">
      <c r="A577" s="136">
        <v>44690</v>
      </c>
      <c r="B577" s="120">
        <v>9.1999999999999998E-3</v>
      </c>
      <c r="C577" s="120">
        <v>-2.5000000000000001E-3</v>
      </c>
      <c r="E577" s="25"/>
      <c r="G577" s="25"/>
      <c r="L577" s="120"/>
    </row>
    <row r="578" spans="1:12" x14ac:dyDescent="0.35">
      <c r="A578" s="136" t="s">
        <v>659</v>
      </c>
      <c r="B578" s="120">
        <v>-3.5999999999999999E-3</v>
      </c>
      <c r="C578" s="120">
        <v>8.9999999999999998E-4</v>
      </c>
      <c r="E578" s="25"/>
      <c r="G578" s="25"/>
      <c r="L578" s="120"/>
    </row>
    <row r="579" spans="1:12" x14ac:dyDescent="0.35">
      <c r="A579" s="136" t="s">
        <v>660</v>
      </c>
      <c r="B579" s="120">
        <v>-5.4999999999999997E-3</v>
      </c>
      <c r="C579" s="120">
        <v>6.7999999999999996E-3</v>
      </c>
      <c r="E579" s="25"/>
      <c r="G579" s="25"/>
      <c r="L579" s="120"/>
    </row>
    <row r="580" spans="1:12" x14ac:dyDescent="0.35">
      <c r="A580" s="136" t="s">
        <v>661</v>
      </c>
      <c r="B580" s="120">
        <v>6.8000000000000005E-2</v>
      </c>
      <c r="C580" s="120">
        <v>-9.1999999999999998E-3</v>
      </c>
      <c r="E580" s="25"/>
      <c r="L580" s="120"/>
    </row>
    <row r="581" spans="1:12" x14ac:dyDescent="0.35">
      <c r="A581" s="136" t="s">
        <v>662</v>
      </c>
      <c r="B581" s="120">
        <v>7.7999999999999996E-3</v>
      </c>
      <c r="C581" s="120">
        <v>-4.8999999999999998E-3</v>
      </c>
      <c r="E581" s="25"/>
      <c r="L581" s="120"/>
    </row>
    <row r="582" spans="1:12" x14ac:dyDescent="0.35">
      <c r="A582" s="136" t="s">
        <v>663</v>
      </c>
      <c r="B582" s="120">
        <v>6.9000000000000006E-2</v>
      </c>
      <c r="C582" s="120">
        <v>9.1999999999999998E-3</v>
      </c>
      <c r="E582" s="25"/>
      <c r="L582" s="120"/>
    </row>
    <row r="583" spans="1:12" x14ac:dyDescent="0.35">
      <c r="A583" s="136" t="s">
        <v>664</v>
      </c>
      <c r="B583" s="120">
        <v>3.3500000000000002E-2</v>
      </c>
      <c r="C583" s="120">
        <v>5.0000000000000001E-3</v>
      </c>
      <c r="E583" s="25"/>
      <c r="L583" s="120"/>
    </row>
    <row r="584" spans="1:12" x14ac:dyDescent="0.35">
      <c r="A584" s="136" t="s">
        <v>665</v>
      </c>
      <c r="B584" s="120">
        <v>9.7999999999999997E-3</v>
      </c>
      <c r="C584" s="120">
        <v>8.2000000000000007E-3</v>
      </c>
      <c r="E584" s="25"/>
      <c r="L584" s="120"/>
    </row>
    <row r="585" spans="1:12" x14ac:dyDescent="0.35">
      <c r="A585" s="136" t="s">
        <v>666</v>
      </c>
      <c r="B585" s="120">
        <v>-2.35E-2</v>
      </c>
      <c r="C585" s="120">
        <v>-6.8999999999999999E-3</v>
      </c>
      <c r="E585" s="25"/>
      <c r="L585" s="120"/>
    </row>
    <row r="586" spans="1:12" x14ac:dyDescent="0.35">
      <c r="A586" s="136" t="s">
        <v>667</v>
      </c>
      <c r="B586" s="120">
        <v>-1.06E-2</v>
      </c>
      <c r="C586" s="120">
        <v>-3.5000000000000001E-3</v>
      </c>
      <c r="E586" s="25"/>
      <c r="L586" s="120"/>
    </row>
    <row r="587" spans="1:12" x14ac:dyDescent="0.35">
      <c r="A587" s="136" t="s">
        <v>668</v>
      </c>
      <c r="B587" s="120">
        <v>4.1999999999999997E-3</v>
      </c>
      <c r="C587" s="120">
        <v>-1.2999999999999999E-3</v>
      </c>
      <c r="E587" s="25"/>
      <c r="L587" s="120"/>
    </row>
    <row r="588" spans="1:12" x14ac:dyDescent="0.35">
      <c r="A588" s="136" t="s">
        <v>669</v>
      </c>
      <c r="B588" s="120">
        <v>-1.2500000000000001E-2</v>
      </c>
      <c r="C588" s="120">
        <v>5.0000000000000001E-4</v>
      </c>
      <c r="E588" s="25"/>
      <c r="L588" s="120"/>
    </row>
    <row r="589" spans="1:12" x14ac:dyDescent="0.35">
      <c r="A589" s="136" t="s">
        <v>670</v>
      </c>
      <c r="B589" s="120">
        <v>-2.0999999999999999E-3</v>
      </c>
      <c r="C589" s="120">
        <v>4.0000000000000002E-4</v>
      </c>
      <c r="E589" s="25"/>
      <c r="L589" s="120"/>
    </row>
    <row r="590" spans="1:12" x14ac:dyDescent="0.35">
      <c r="A590" s="136" t="s">
        <v>671</v>
      </c>
      <c r="B590" s="120">
        <v>2.1299999999999999E-2</v>
      </c>
      <c r="C590" s="120">
        <v>9.4000000000000004E-3</v>
      </c>
      <c r="E590" s="25"/>
      <c r="L590" s="120"/>
    </row>
    <row r="591" spans="1:12" x14ac:dyDescent="0.35">
      <c r="A591" s="136">
        <v>44903</v>
      </c>
      <c r="B591" s="120">
        <v>6.4000000000000003E-3</v>
      </c>
      <c r="C591" s="120">
        <v>8.2000000000000007E-3</v>
      </c>
      <c r="E591" s="25"/>
      <c r="L591" s="120"/>
    </row>
    <row r="592" spans="1:12" x14ac:dyDescent="0.35">
      <c r="A592" s="136">
        <v>44873</v>
      </c>
      <c r="B592" s="120">
        <v>-1.89E-2</v>
      </c>
      <c r="C592" s="120">
        <v>-3.5000000000000001E-3</v>
      </c>
      <c r="E592" s="25"/>
      <c r="L592" s="120"/>
    </row>
    <row r="593" spans="1:12" x14ac:dyDescent="0.35">
      <c r="A593" s="136">
        <v>44842</v>
      </c>
      <c r="B593" s="120">
        <v>-2.46E-2</v>
      </c>
      <c r="C593" s="120">
        <v>-1.9E-3</v>
      </c>
      <c r="E593" s="25"/>
      <c r="G593" s="25"/>
      <c r="L593" s="120"/>
    </row>
    <row r="594" spans="1:12" x14ac:dyDescent="0.35">
      <c r="A594" s="136">
        <v>44812</v>
      </c>
      <c r="B594" s="120">
        <v>2E-3</v>
      </c>
      <c r="C594" s="120">
        <v>1.6999999999999999E-3</v>
      </c>
      <c r="E594" s="25"/>
      <c r="L594" s="120"/>
    </row>
    <row r="595" spans="1:12" x14ac:dyDescent="0.35">
      <c r="A595" s="136">
        <v>44781</v>
      </c>
      <c r="B595" s="120">
        <v>2.3199999999999998E-2</v>
      </c>
      <c r="C595" s="120">
        <v>3.2000000000000002E-3</v>
      </c>
      <c r="E595" s="25"/>
      <c r="G595" s="25"/>
      <c r="L595" s="120"/>
    </row>
    <row r="596" spans="1:12" x14ac:dyDescent="0.35">
      <c r="A596" s="136">
        <v>44689</v>
      </c>
      <c r="B596" s="120">
        <v>0</v>
      </c>
      <c r="C596" s="120">
        <v>-1.1000000000000001E-3</v>
      </c>
      <c r="E596" s="25"/>
      <c r="L596" s="120"/>
    </row>
    <row r="597" spans="1:12" x14ac:dyDescent="0.35">
      <c r="A597" s="136">
        <v>44659</v>
      </c>
      <c r="B597" s="120">
        <v>-1.7600000000000001E-2</v>
      </c>
      <c r="C597" s="120">
        <v>3.5000000000000001E-3</v>
      </c>
      <c r="E597" s="25"/>
      <c r="G597" s="25"/>
      <c r="L597" s="120"/>
    </row>
    <row r="598" spans="1:12" x14ac:dyDescent="0.35">
      <c r="A598" s="136">
        <v>44628</v>
      </c>
      <c r="B598" s="120">
        <v>3.9800000000000002E-2</v>
      </c>
      <c r="C598" s="120">
        <v>6.6E-3</v>
      </c>
      <c r="E598" s="25"/>
      <c r="L598" s="120"/>
    </row>
    <row r="599" spans="1:12" x14ac:dyDescent="0.35">
      <c r="A599" s="136">
        <v>44600</v>
      </c>
      <c r="B599" s="120">
        <v>2.3099999999999999E-2</v>
      </c>
      <c r="C599" s="120">
        <v>8.3000000000000001E-3</v>
      </c>
      <c r="E599" s="25"/>
      <c r="L599" s="120"/>
    </row>
    <row r="600" spans="1:12" x14ac:dyDescent="0.35">
      <c r="A600" s="136">
        <v>44569</v>
      </c>
      <c r="B600" s="120">
        <v>1.9099999999999999E-2</v>
      </c>
      <c r="C600" s="120">
        <v>2.07E-2</v>
      </c>
      <c r="E600" s="25"/>
      <c r="G600" s="25"/>
      <c r="L600" s="120"/>
    </row>
    <row r="601" spans="1:12" x14ac:dyDescent="0.35">
      <c r="A601" s="136" t="s">
        <v>672</v>
      </c>
      <c r="B601" s="120">
        <v>-5.0099999999999999E-2</v>
      </c>
      <c r="C601" s="120">
        <v>-1.5E-3</v>
      </c>
      <c r="E601" s="25"/>
      <c r="L601" s="120"/>
    </row>
    <row r="602" spans="1:12" x14ac:dyDescent="0.35">
      <c r="A602" s="136" t="s">
        <v>673</v>
      </c>
      <c r="B602" s="120">
        <v>1.1900000000000001E-2</v>
      </c>
      <c r="C602" s="120">
        <v>1.43E-2</v>
      </c>
      <c r="E602" s="25"/>
      <c r="L602" s="120"/>
    </row>
    <row r="603" spans="1:12" x14ac:dyDescent="0.35">
      <c r="A603" s="136" t="s">
        <v>674</v>
      </c>
      <c r="B603" s="120">
        <v>0.03</v>
      </c>
      <c r="C603" s="120">
        <v>5.0000000000000001E-3</v>
      </c>
      <c r="E603" s="25"/>
      <c r="G603" s="25"/>
      <c r="L603" s="120"/>
    </row>
    <row r="604" spans="1:12" x14ac:dyDescent="0.35">
      <c r="A604" s="136" t="s">
        <v>675</v>
      </c>
      <c r="B604" s="120">
        <v>2.3900000000000001E-2</v>
      </c>
      <c r="C604" s="120">
        <v>-2.8999999999999998E-3</v>
      </c>
      <c r="E604" s="25"/>
      <c r="L604" s="120"/>
    </row>
    <row r="605" spans="1:12" x14ac:dyDescent="0.35">
      <c r="A605" s="136" t="s">
        <v>676</v>
      </c>
      <c r="B605" s="120">
        <v>-4.3499999999999997E-2</v>
      </c>
      <c r="C605" s="120">
        <v>-5.1999999999999998E-3</v>
      </c>
      <c r="E605" s="25"/>
      <c r="G605" s="25"/>
      <c r="L605" s="120"/>
    </row>
    <row r="606" spans="1:12" x14ac:dyDescent="0.35">
      <c r="A606" s="136" t="s">
        <v>677</v>
      </c>
      <c r="B606" s="120">
        <v>-4.1700000000000001E-2</v>
      </c>
      <c r="C606" s="120">
        <v>-3.0999999999999999E-3</v>
      </c>
      <c r="E606" s="25"/>
      <c r="L606" s="120"/>
    </row>
    <row r="607" spans="1:12" x14ac:dyDescent="0.35">
      <c r="A607" s="136" t="s">
        <v>678</v>
      </c>
      <c r="B607" s="120">
        <v>-1.03E-2</v>
      </c>
      <c r="C607" s="120">
        <v>3.5999999999999999E-3</v>
      </c>
      <c r="E607" s="25"/>
      <c r="L607" s="120"/>
    </row>
    <row r="608" spans="1:12" x14ac:dyDescent="0.35">
      <c r="A608" s="136" t="s">
        <v>679</v>
      </c>
      <c r="B608" s="120">
        <v>3.8600000000000002E-2</v>
      </c>
      <c r="C608" s="120">
        <v>1.34E-2</v>
      </c>
      <c r="E608" s="25"/>
      <c r="L608" s="120"/>
    </row>
    <row r="609" spans="1:12" x14ac:dyDescent="0.35">
      <c r="A609" s="136" t="s">
        <v>680</v>
      </c>
      <c r="B609" s="120">
        <v>-2E-3</v>
      </c>
      <c r="C609" s="120">
        <v>1.6000000000000001E-3</v>
      </c>
      <c r="E609" s="25"/>
      <c r="G609" s="25"/>
      <c r="L609" s="120"/>
    </row>
    <row r="610" spans="1:12" x14ac:dyDescent="0.35">
      <c r="A610" s="136" t="s">
        <v>681</v>
      </c>
      <c r="B610" s="120">
        <v>7.9000000000000008E-3</v>
      </c>
      <c r="C610" s="120">
        <v>-2.3E-3</v>
      </c>
      <c r="E610" s="25"/>
      <c r="L610" s="120"/>
    </row>
    <row r="611" spans="1:12" x14ac:dyDescent="0.35">
      <c r="A611" s="136" t="s">
        <v>682</v>
      </c>
      <c r="B611" s="120">
        <v>-2E-3</v>
      </c>
      <c r="C611" s="120">
        <v>-2.5000000000000001E-3</v>
      </c>
      <c r="E611" s="25"/>
      <c r="G611" s="25"/>
      <c r="L611" s="120"/>
    </row>
    <row r="612" spans="1:12" x14ac:dyDescent="0.35">
      <c r="A612" s="136" t="s">
        <v>683</v>
      </c>
      <c r="B612" s="120">
        <v>6.4299999999999996E-2</v>
      </c>
      <c r="C612" s="120">
        <v>7.0000000000000001E-3</v>
      </c>
      <c r="E612" s="25"/>
      <c r="L612" s="120"/>
    </row>
    <row r="613" spans="1:12" x14ac:dyDescent="0.35">
      <c r="A613" s="136" t="s">
        <v>684</v>
      </c>
      <c r="B613" s="120">
        <v>-1.1000000000000001E-3</v>
      </c>
      <c r="C613" s="120">
        <v>-8.0000000000000004E-4</v>
      </c>
      <c r="E613" s="25"/>
      <c r="G613" s="25"/>
      <c r="L613" s="120"/>
    </row>
    <row r="614" spans="1:12" x14ac:dyDescent="0.35">
      <c r="A614" s="136">
        <v>44902</v>
      </c>
      <c r="B614" s="120">
        <v>2.4799999999999999E-2</v>
      </c>
      <c r="C614" s="120">
        <v>1.6899999999999998E-2</v>
      </c>
      <c r="E614" s="25"/>
      <c r="G614" s="25"/>
      <c r="L614" s="120"/>
    </row>
    <row r="615" spans="1:12" x14ac:dyDescent="0.35">
      <c r="A615" s="136">
        <v>44872</v>
      </c>
      <c r="B615" s="120">
        <v>-1.1000000000000001E-3</v>
      </c>
      <c r="C615" s="120">
        <v>-1.37E-2</v>
      </c>
      <c r="E615" s="25"/>
      <c r="G615" s="25"/>
      <c r="L615" s="120"/>
    </row>
    <row r="616" spans="1:12" x14ac:dyDescent="0.35">
      <c r="A616" s="136">
        <v>44780</v>
      </c>
      <c r="B616" s="120">
        <v>5.45E-2</v>
      </c>
      <c r="C616" s="120">
        <v>4.1000000000000003E-3</v>
      </c>
      <c r="E616" s="25"/>
      <c r="L616" s="120"/>
    </row>
    <row r="617" spans="1:12" x14ac:dyDescent="0.35">
      <c r="A617" s="136">
        <v>44749</v>
      </c>
      <c r="B617" s="120">
        <v>1.8499999999999999E-2</v>
      </c>
      <c r="C617" s="120">
        <v>1.47E-2</v>
      </c>
      <c r="E617" s="25"/>
      <c r="L617" s="120"/>
    </row>
    <row r="618" spans="1:12" x14ac:dyDescent="0.35">
      <c r="A618" s="136">
        <v>44719</v>
      </c>
      <c r="B618" s="120">
        <v>-6.8000000000000005E-2</v>
      </c>
      <c r="C618" s="120">
        <v>-2.6800000000000001E-2</v>
      </c>
      <c r="E618" s="25"/>
      <c r="L618" s="120"/>
    </row>
    <row r="619" spans="1:12" x14ac:dyDescent="0.35">
      <c r="A619" s="136">
        <v>44688</v>
      </c>
      <c r="B619" s="120">
        <v>-6.93E-2</v>
      </c>
      <c r="C619" s="120">
        <v>-1.1900000000000001E-2</v>
      </c>
      <c r="E619" s="25"/>
      <c r="L619" s="120"/>
    </row>
    <row r="620" spans="1:12" x14ac:dyDescent="0.35">
      <c r="A620" s="136">
        <v>44658</v>
      </c>
      <c r="B620" s="120">
        <v>7.1000000000000004E-3</v>
      </c>
      <c r="C620" s="120">
        <v>-2.8E-3</v>
      </c>
      <c r="E620" s="25"/>
      <c r="L620" s="120"/>
    </row>
    <row r="621" spans="1:12" x14ac:dyDescent="0.35">
      <c r="A621" s="136">
        <v>44568</v>
      </c>
      <c r="B621" s="120">
        <v>-3.04E-2</v>
      </c>
      <c r="C621" s="120">
        <v>1.1000000000000001E-3</v>
      </c>
      <c r="E621" s="25"/>
      <c r="L621" s="120"/>
    </row>
    <row r="622" spans="1:12" x14ac:dyDescent="0.35">
      <c r="A622" s="136" t="s">
        <v>685</v>
      </c>
      <c r="B622" s="120">
        <v>0.02</v>
      </c>
      <c r="C622" s="120">
        <v>-1.6799999999999999E-2</v>
      </c>
      <c r="E622" s="25"/>
      <c r="L622" s="120"/>
    </row>
    <row r="623" spans="1:12" x14ac:dyDescent="0.35">
      <c r="A623" s="136" t="s">
        <v>686</v>
      </c>
      <c r="B623" s="120">
        <v>2.2499999999999999E-2</v>
      </c>
      <c r="C623" s="120">
        <v>0</v>
      </c>
      <c r="E623" s="25"/>
      <c r="L623" s="120"/>
    </row>
    <row r="624" spans="1:12" x14ac:dyDescent="0.35">
      <c r="A624" s="136" t="s">
        <v>687</v>
      </c>
      <c r="B624" s="120">
        <v>-5.1000000000000004E-3</v>
      </c>
      <c r="C624" s="120">
        <v>1.2699999999999999E-2</v>
      </c>
      <c r="E624" s="25"/>
      <c r="L624" s="120"/>
    </row>
    <row r="625" spans="1:12" x14ac:dyDescent="0.35">
      <c r="A625" s="136" t="s">
        <v>688</v>
      </c>
      <c r="B625" s="120">
        <v>-6.9099999999999995E-2</v>
      </c>
      <c r="C625" s="120">
        <v>1.46E-2</v>
      </c>
      <c r="E625" s="25"/>
      <c r="L625" s="120"/>
    </row>
    <row r="626" spans="1:12" x14ac:dyDescent="0.35">
      <c r="A626" s="136" t="s">
        <v>689</v>
      </c>
      <c r="B626" s="120">
        <v>-3.8E-3</v>
      </c>
      <c r="C626" s="120">
        <v>-2.8999999999999998E-3</v>
      </c>
      <c r="E626" s="25"/>
      <c r="L626" s="120"/>
    </row>
    <row r="627" spans="1:12" x14ac:dyDescent="0.35">
      <c r="A627" s="136" t="s">
        <v>690</v>
      </c>
      <c r="B627" s="120">
        <v>2.5100000000000001E-2</v>
      </c>
      <c r="C627" s="120">
        <v>1.6799999999999999E-2</v>
      </c>
      <c r="E627" s="25"/>
      <c r="L627" s="120"/>
    </row>
    <row r="628" spans="1:12" x14ac:dyDescent="0.35">
      <c r="A628" s="136" t="s">
        <v>691</v>
      </c>
      <c r="B628" s="120">
        <v>-6.8500000000000005E-2</v>
      </c>
      <c r="C628" s="120">
        <v>-2.7000000000000001E-3</v>
      </c>
      <c r="E628" s="25"/>
      <c r="L628" s="120"/>
    </row>
    <row r="629" spans="1:12" x14ac:dyDescent="0.35">
      <c r="A629" s="136" t="s">
        <v>692</v>
      </c>
      <c r="B629" s="120">
        <v>-6.88E-2</v>
      </c>
      <c r="C629" s="120">
        <v>-6.7000000000000002E-3</v>
      </c>
      <c r="E629" s="25"/>
      <c r="G629" s="25"/>
      <c r="L629" s="120"/>
    </row>
    <row r="630" spans="1:12" x14ac:dyDescent="0.35">
      <c r="A630" s="136" t="s">
        <v>693</v>
      </c>
      <c r="B630" s="120">
        <v>-5.3999999999999999E-2</v>
      </c>
      <c r="C630" s="120">
        <v>-3.0300000000000001E-2</v>
      </c>
      <c r="E630" s="25"/>
      <c r="L630" s="120"/>
    </row>
    <row r="631" spans="1:12" x14ac:dyDescent="0.35">
      <c r="A631" s="136" t="s">
        <v>694</v>
      </c>
      <c r="B631" s="120">
        <v>1.6000000000000001E-3</v>
      </c>
      <c r="C631" s="120">
        <v>-1.5599999999999999E-2</v>
      </c>
      <c r="E631" s="25"/>
      <c r="G631" s="25"/>
      <c r="L631" s="120"/>
    </row>
    <row r="632" spans="1:12" x14ac:dyDescent="0.35">
      <c r="A632" s="136" t="s">
        <v>695</v>
      </c>
      <c r="B632" s="120">
        <v>2.2800000000000001E-2</v>
      </c>
      <c r="C632" s="120">
        <v>1.8700000000000001E-2</v>
      </c>
      <c r="E632" s="25"/>
      <c r="L632" s="120"/>
    </row>
    <row r="633" spans="1:12" x14ac:dyDescent="0.35">
      <c r="A633" s="136" t="s">
        <v>696</v>
      </c>
      <c r="B633" s="120">
        <v>1.8200000000000001E-2</v>
      </c>
      <c r="C633" s="120">
        <v>-1.3299999999999999E-2</v>
      </c>
      <c r="E633" s="25"/>
      <c r="G633" s="25"/>
      <c r="L633" s="120"/>
    </row>
    <row r="634" spans="1:12" x14ac:dyDescent="0.35">
      <c r="A634" s="136" t="s">
        <v>697</v>
      </c>
      <c r="B634" s="120">
        <v>4.1399999999999999E-2</v>
      </c>
      <c r="C634" s="120">
        <v>2.7000000000000001E-3</v>
      </c>
      <c r="E634" s="25"/>
      <c r="L634" s="120"/>
    </row>
    <row r="635" spans="1:12" x14ac:dyDescent="0.35">
      <c r="A635" s="136" t="s">
        <v>698</v>
      </c>
      <c r="B635" s="120">
        <v>-6.9000000000000006E-2</v>
      </c>
      <c r="C635" s="120">
        <v>-4.4400000000000002E-2</v>
      </c>
      <c r="E635" s="25"/>
      <c r="L635" s="120"/>
    </row>
    <row r="636" spans="1:12" x14ac:dyDescent="0.35">
      <c r="A636" s="136">
        <v>44840</v>
      </c>
      <c r="B636" s="120">
        <v>-6.88E-2</v>
      </c>
      <c r="C636" s="120">
        <v>-1.8100000000000002E-2</v>
      </c>
      <c r="E636" s="25"/>
      <c r="G636" s="25"/>
      <c r="L636" s="120"/>
    </row>
    <row r="637" spans="1:12" x14ac:dyDescent="0.35">
      <c r="A637" s="136">
        <v>44810</v>
      </c>
      <c r="B637" s="120">
        <v>1.5E-3</v>
      </c>
      <c r="C637" s="120">
        <v>-1E-4</v>
      </c>
      <c r="E637" s="25"/>
      <c r="L637" s="120"/>
    </row>
    <row r="638" spans="1:12" x14ac:dyDescent="0.35">
      <c r="A638" s="136">
        <v>44779</v>
      </c>
      <c r="B638" s="120">
        <v>-1.04E-2</v>
      </c>
      <c r="C638" s="120">
        <v>1.2800000000000001E-2</v>
      </c>
      <c r="E638" s="25"/>
      <c r="L638" s="120"/>
    </row>
    <row r="639" spans="1:12" x14ac:dyDescent="0.35">
      <c r="A639" s="136">
        <v>44748</v>
      </c>
      <c r="B639" s="120">
        <v>0</v>
      </c>
      <c r="C639" s="120">
        <v>1E-3</v>
      </c>
      <c r="E639" s="25"/>
      <c r="G639" s="25"/>
      <c r="L639" s="120"/>
    </row>
    <row r="640" spans="1:12" x14ac:dyDescent="0.35">
      <c r="A640" s="136">
        <v>44718</v>
      </c>
      <c r="B640" s="120">
        <v>5.6300000000000003E-2</v>
      </c>
      <c r="C640" s="120">
        <v>1.6000000000000001E-3</v>
      </c>
      <c r="E640" s="25"/>
      <c r="L640" s="120"/>
    </row>
    <row r="641" spans="1:12" x14ac:dyDescent="0.35">
      <c r="A641" s="136">
        <v>44626</v>
      </c>
      <c r="B641" s="120">
        <v>3.9E-2</v>
      </c>
      <c r="C641" s="120">
        <v>-5.0000000000000001E-4</v>
      </c>
      <c r="E641" s="25"/>
      <c r="G641" s="25"/>
      <c r="L641" s="120"/>
    </row>
    <row r="642" spans="1:12" x14ac:dyDescent="0.35">
      <c r="A642" s="136">
        <v>44598</v>
      </c>
      <c r="B642" s="120">
        <v>-6.4999999999999997E-3</v>
      </c>
      <c r="C642" s="120">
        <v>-8.3999999999999995E-3</v>
      </c>
      <c r="E642" s="25"/>
      <c r="L642" s="120"/>
    </row>
    <row r="643" spans="1:12" x14ac:dyDescent="0.35">
      <c r="A643" s="136">
        <v>44567</v>
      </c>
      <c r="B643" s="120">
        <v>3.8600000000000002E-2</v>
      </c>
      <c r="C643" s="120">
        <v>5.3E-3</v>
      </c>
      <c r="E643" s="25"/>
      <c r="L643" s="120"/>
    </row>
    <row r="644" spans="1:12" x14ac:dyDescent="0.35">
      <c r="A644" s="136" t="s">
        <v>699</v>
      </c>
      <c r="B644" s="120">
        <v>5.4899999999999997E-2</v>
      </c>
      <c r="C644" s="120">
        <v>-1E-3</v>
      </c>
      <c r="E644" s="25"/>
      <c r="L644" s="120"/>
    </row>
    <row r="645" spans="1:12" x14ac:dyDescent="0.35">
      <c r="A645" s="136" t="s">
        <v>700</v>
      </c>
      <c r="B645" s="120">
        <v>-5.3E-3</v>
      </c>
      <c r="C645" s="120">
        <v>6.6E-3</v>
      </c>
      <c r="E645" s="25"/>
      <c r="G645" s="25"/>
      <c r="L645" s="120"/>
    </row>
    <row r="646" spans="1:12" x14ac:dyDescent="0.35">
      <c r="A646" s="136" t="s">
        <v>701</v>
      </c>
      <c r="B646" s="120">
        <v>5.3E-3</v>
      </c>
      <c r="C646" s="120">
        <v>1.3299999999999999E-2</v>
      </c>
      <c r="E646" s="25"/>
      <c r="L646" s="120"/>
    </row>
    <row r="647" spans="1:12" x14ac:dyDescent="0.35">
      <c r="A647" s="136" t="s">
        <v>702</v>
      </c>
      <c r="B647" s="120">
        <v>-3.9100000000000003E-2</v>
      </c>
      <c r="C647" s="120">
        <v>1E-4</v>
      </c>
      <c r="E647" s="25"/>
      <c r="G647" s="25"/>
      <c r="L647" s="120"/>
    </row>
    <row r="648" spans="1:12" x14ac:dyDescent="0.35">
      <c r="A648" s="136" t="s">
        <v>703</v>
      </c>
      <c r="B648" s="120">
        <v>6.9099999999999995E-2</v>
      </c>
      <c r="C648" s="120">
        <v>2.8400000000000002E-2</v>
      </c>
      <c r="E648" s="25"/>
      <c r="L648" s="120"/>
    </row>
    <row r="649" spans="1:12" x14ac:dyDescent="0.35">
      <c r="A649" s="136" t="s">
        <v>704</v>
      </c>
      <c r="B649" s="120">
        <v>0</v>
      </c>
      <c r="C649" s="120">
        <v>1.2E-2</v>
      </c>
      <c r="E649" s="25"/>
      <c r="G649" s="25"/>
      <c r="L649" s="120"/>
    </row>
    <row r="650" spans="1:12" x14ac:dyDescent="0.35">
      <c r="A650" s="136" t="s">
        <v>705</v>
      </c>
      <c r="B650" s="120">
        <v>-8.9999999999999993E-3</v>
      </c>
      <c r="C650" s="120">
        <v>-1.77E-2</v>
      </c>
      <c r="E650" s="25"/>
      <c r="G650" s="25"/>
      <c r="L650" s="120"/>
    </row>
    <row r="651" spans="1:12" x14ac:dyDescent="0.35">
      <c r="A651" s="136" t="s">
        <v>706</v>
      </c>
      <c r="B651" s="120">
        <v>3.7400000000000003E-2</v>
      </c>
      <c r="C651" s="120">
        <v>-6.9999999999999999E-4</v>
      </c>
      <c r="E651" s="25"/>
      <c r="G651" s="25"/>
      <c r="L651" s="120"/>
    </row>
    <row r="652" spans="1:12" x14ac:dyDescent="0.35">
      <c r="A652" s="136" t="s">
        <v>707</v>
      </c>
      <c r="B652" s="120">
        <v>2.1000000000000001E-2</v>
      </c>
      <c r="C652" s="120">
        <v>6.9999999999999999E-4</v>
      </c>
      <c r="E652" s="25"/>
      <c r="L652" s="120"/>
    </row>
    <row r="653" spans="1:12" x14ac:dyDescent="0.35">
      <c r="A653" s="136" t="s">
        <v>708</v>
      </c>
      <c r="B653" s="120">
        <v>6.4000000000000001E-2</v>
      </c>
      <c r="C653" s="120">
        <v>1.01E-2</v>
      </c>
      <c r="E653" s="25"/>
      <c r="L653" s="120"/>
    </row>
    <row r="654" spans="1:12" x14ac:dyDescent="0.35">
      <c r="A654" s="136" t="s">
        <v>709</v>
      </c>
      <c r="B654" s="120">
        <v>6.9500000000000006E-2</v>
      </c>
      <c r="C654" s="120">
        <v>4.8099999999999997E-2</v>
      </c>
      <c r="E654" s="25"/>
      <c r="L654" s="120"/>
    </row>
    <row r="655" spans="1:12" x14ac:dyDescent="0.35">
      <c r="A655" s="136" t="s">
        <v>710</v>
      </c>
      <c r="B655" s="120">
        <v>-6.9699999999999998E-2</v>
      </c>
      <c r="C655" s="120">
        <v>-9.1000000000000004E-3</v>
      </c>
      <c r="E655" s="25"/>
      <c r="L655" s="120"/>
    </row>
    <row r="656" spans="1:12" x14ac:dyDescent="0.35">
      <c r="A656" s="136" t="s">
        <v>711</v>
      </c>
      <c r="B656" s="120">
        <v>-6.9500000000000006E-2</v>
      </c>
      <c r="C656" s="120">
        <v>-4.53E-2</v>
      </c>
      <c r="E656" s="25"/>
      <c r="L656" s="120"/>
    </row>
    <row r="657" spans="1:12" x14ac:dyDescent="0.35">
      <c r="A657" s="136">
        <v>44900</v>
      </c>
      <c r="B657" s="120">
        <v>-6.9900000000000004E-2</v>
      </c>
      <c r="C657" s="120">
        <v>-4.82E-2</v>
      </c>
      <c r="E657" s="25"/>
      <c r="L657" s="120"/>
    </row>
    <row r="658" spans="1:12" x14ac:dyDescent="0.35">
      <c r="A658" s="136">
        <v>44870</v>
      </c>
      <c r="B658" s="120">
        <v>3.6200000000000003E-2</v>
      </c>
      <c r="C658" s="120">
        <v>6.1999999999999998E-3</v>
      </c>
      <c r="E658" s="25"/>
      <c r="L658" s="120"/>
    </row>
    <row r="659" spans="1:12" x14ac:dyDescent="0.35">
      <c r="A659" s="136">
        <v>44839</v>
      </c>
      <c r="B659" s="120">
        <v>-6.9199999999999998E-2</v>
      </c>
      <c r="C659" s="120">
        <v>1.89E-2</v>
      </c>
      <c r="E659" s="25"/>
      <c r="L659" s="120"/>
    </row>
    <row r="660" spans="1:12" x14ac:dyDescent="0.35">
      <c r="A660" s="136">
        <v>44809</v>
      </c>
      <c r="B660" s="120">
        <v>-6.9099999999999995E-2</v>
      </c>
      <c r="C660" s="120">
        <v>-4.4900000000000002E-2</v>
      </c>
      <c r="E660" s="25"/>
      <c r="L660" s="120"/>
    </row>
    <row r="661" spans="1:12" x14ac:dyDescent="0.35">
      <c r="A661" s="136">
        <v>44717</v>
      </c>
      <c r="B661" s="120">
        <v>9.4999999999999998E-3</v>
      </c>
      <c r="C661" s="120">
        <v>-2.3099999999999999E-2</v>
      </c>
      <c r="E661" s="25"/>
      <c r="L661" s="120"/>
    </row>
    <row r="662" spans="1:12" x14ac:dyDescent="0.35">
      <c r="A662" s="136">
        <v>44686</v>
      </c>
      <c r="B662" s="120">
        <v>6.4000000000000003E-3</v>
      </c>
      <c r="C662" s="120">
        <v>8.8999999999999999E-3</v>
      </c>
      <c r="E662" s="25"/>
      <c r="L662" s="120"/>
    </row>
    <row r="663" spans="1:12" x14ac:dyDescent="0.35">
      <c r="A663" s="136">
        <v>44656</v>
      </c>
      <c r="B663" s="120">
        <v>-6.9699999999999998E-2</v>
      </c>
      <c r="C663" s="120">
        <v>-1.3299999999999999E-2</v>
      </c>
      <c r="E663" s="25"/>
      <c r="L663" s="120"/>
    </row>
    <row r="664" spans="1:12" x14ac:dyDescent="0.35">
      <c r="A664" s="136" t="s">
        <v>712</v>
      </c>
      <c r="B664" s="120">
        <v>1.5100000000000001E-2</v>
      </c>
      <c r="C664" s="120">
        <v>1.17E-2</v>
      </c>
      <c r="E664" s="25"/>
      <c r="L664" s="120"/>
    </row>
    <row r="665" spans="1:12" x14ac:dyDescent="0.35">
      <c r="A665" s="136" t="s">
        <v>713</v>
      </c>
      <c r="B665" s="120">
        <v>-4.7800000000000002E-2</v>
      </c>
      <c r="C665" s="120">
        <v>-2.0999999999999999E-3</v>
      </c>
      <c r="E665" s="25"/>
      <c r="G665" s="25"/>
      <c r="L665" s="120"/>
    </row>
    <row r="666" spans="1:12" x14ac:dyDescent="0.35">
      <c r="A666" s="136" t="s">
        <v>714</v>
      </c>
      <c r="B666" s="120">
        <v>-2.12E-2</v>
      </c>
      <c r="C666" s="120">
        <v>9.2999999999999992E-3</v>
      </c>
      <c r="E666" s="25"/>
      <c r="L666" s="120"/>
    </row>
    <row r="667" spans="1:12" x14ac:dyDescent="0.35">
      <c r="A667" s="136" t="s">
        <v>715</v>
      </c>
      <c r="B667" s="120">
        <v>6.2899999999999998E-2</v>
      </c>
      <c r="C667" s="120">
        <v>2.3199999999999998E-2</v>
      </c>
      <c r="E667" s="25"/>
      <c r="G667" s="25"/>
      <c r="L667" s="120"/>
    </row>
    <row r="668" spans="1:12" x14ac:dyDescent="0.35">
      <c r="A668" s="136" t="s">
        <v>716</v>
      </c>
      <c r="B668" s="120">
        <v>-6.9099999999999995E-2</v>
      </c>
      <c r="C668" s="120">
        <v>-4.9500000000000002E-2</v>
      </c>
      <c r="E668" s="25"/>
      <c r="L668" s="120"/>
    </row>
    <row r="669" spans="1:12" x14ac:dyDescent="0.35">
      <c r="A669" s="136" t="s">
        <v>717</v>
      </c>
      <c r="B669" s="120">
        <v>-6.9800000000000001E-2</v>
      </c>
      <c r="C669" s="120">
        <v>6.6E-3</v>
      </c>
      <c r="E669" s="25"/>
      <c r="G669" s="25"/>
      <c r="L669" s="120"/>
    </row>
    <row r="670" spans="1:12" x14ac:dyDescent="0.35">
      <c r="A670" s="136" t="s">
        <v>718</v>
      </c>
      <c r="B670" s="120">
        <v>2.29E-2</v>
      </c>
      <c r="C670" s="120">
        <v>-1.0500000000000001E-2</v>
      </c>
      <c r="E670" s="25"/>
      <c r="L670" s="120"/>
    </row>
    <row r="671" spans="1:12" x14ac:dyDescent="0.35">
      <c r="A671" s="136" t="s">
        <v>719</v>
      </c>
      <c r="B671" s="120">
        <v>-6.7900000000000002E-2</v>
      </c>
      <c r="C671" s="120">
        <v>-1.55E-2</v>
      </c>
      <c r="E671" s="25"/>
      <c r="L671" s="120"/>
    </row>
    <row r="672" spans="1:12" x14ac:dyDescent="0.35">
      <c r="A672" s="136" t="s">
        <v>720</v>
      </c>
      <c r="B672" s="120">
        <v>4.2999999999999997E-2</v>
      </c>
      <c r="C672" s="120">
        <v>-1.83E-2</v>
      </c>
      <c r="E672" s="25"/>
      <c r="G672" s="25"/>
      <c r="L672" s="120"/>
    </row>
    <row r="673" spans="1:12" x14ac:dyDescent="0.35">
      <c r="A673" s="136" t="s">
        <v>721</v>
      </c>
      <c r="B673" s="120">
        <v>1.84E-2</v>
      </c>
      <c r="C673" s="120">
        <v>-1.78E-2</v>
      </c>
      <c r="E673" s="25"/>
      <c r="L673" s="120"/>
    </row>
    <row r="674" spans="1:12" x14ac:dyDescent="0.35">
      <c r="A674" s="136" t="s">
        <v>722</v>
      </c>
      <c r="B674" s="120">
        <v>-2.0799999999999999E-2</v>
      </c>
      <c r="C674" s="120">
        <v>-9.1999999999999998E-3</v>
      </c>
      <c r="E674" s="25"/>
      <c r="L674" s="120"/>
    </row>
    <row r="675" spans="1:12" x14ac:dyDescent="0.35">
      <c r="A675" s="136" t="s">
        <v>723</v>
      </c>
      <c r="B675" s="120">
        <v>6.1800000000000001E-2</v>
      </c>
      <c r="C675" s="120">
        <v>-3.3999999999999998E-3</v>
      </c>
      <c r="E675" s="25"/>
      <c r="G675" s="25"/>
      <c r="L675" s="120"/>
    </row>
    <row r="676" spans="1:12" x14ac:dyDescent="0.35">
      <c r="A676" s="136" t="s">
        <v>724</v>
      </c>
      <c r="B676" s="120">
        <v>4.2900000000000001E-2</v>
      </c>
      <c r="C676" s="120">
        <v>1.5100000000000001E-2</v>
      </c>
      <c r="E676" s="25"/>
      <c r="L676" s="120"/>
    </row>
    <row r="677" spans="1:12" x14ac:dyDescent="0.35">
      <c r="A677" s="136">
        <v>44899</v>
      </c>
      <c r="B677" s="120">
        <v>2.1899999999999999E-2</v>
      </c>
      <c r="C677" s="120">
        <v>-1.7999999999999999E-2</v>
      </c>
      <c r="E677" s="25"/>
      <c r="G677" s="25"/>
      <c r="L677" s="120"/>
    </row>
    <row r="678" spans="1:12" x14ac:dyDescent="0.35">
      <c r="A678" s="136">
        <v>44777</v>
      </c>
      <c r="B678" s="120">
        <v>-1.3899999999999999E-2</v>
      </c>
      <c r="C678" s="120">
        <v>-1.35E-2</v>
      </c>
      <c r="E678" s="25"/>
      <c r="L678" s="120"/>
    </row>
    <row r="679" spans="1:12" x14ac:dyDescent="0.35">
      <c r="A679" s="136">
        <v>44746</v>
      </c>
      <c r="B679" s="120">
        <v>4.19E-2</v>
      </c>
      <c r="C679" s="120">
        <v>-1.35E-2</v>
      </c>
      <c r="E679" s="25"/>
      <c r="L679" s="120"/>
    </row>
    <row r="680" spans="1:12" x14ac:dyDescent="0.35">
      <c r="A680" s="136">
        <v>44716</v>
      </c>
      <c r="B680" s="120">
        <v>-4.7600000000000003E-2</v>
      </c>
      <c r="C680" s="120">
        <v>1.9E-3</v>
      </c>
      <c r="E680" s="25"/>
      <c r="L680" s="120"/>
    </row>
    <row r="681" spans="1:12" x14ac:dyDescent="0.35">
      <c r="A681" s="136">
        <v>44685</v>
      </c>
      <c r="B681" s="120">
        <v>1.5599999999999999E-2</v>
      </c>
      <c r="C681" s="120">
        <v>-3.0999999999999999E-3</v>
      </c>
      <c r="E681" s="25"/>
      <c r="G681" s="25"/>
      <c r="L681" s="120"/>
    </row>
    <row r="682" spans="1:12" x14ac:dyDescent="0.35">
      <c r="A682" s="136">
        <v>44655</v>
      </c>
      <c r="B682" s="120">
        <v>-6.9599999999999995E-2</v>
      </c>
      <c r="C682" s="120">
        <v>5.4000000000000003E-3</v>
      </c>
      <c r="E682" s="25"/>
      <c r="L682" s="120"/>
    </row>
    <row r="683" spans="1:12" x14ac:dyDescent="0.35">
      <c r="A683" s="136">
        <v>44565</v>
      </c>
      <c r="B683" s="120">
        <v>3.1399999999999997E-2</v>
      </c>
      <c r="C683" s="120">
        <v>1.6299999999999999E-2</v>
      </c>
      <c r="E683" s="25"/>
      <c r="G683" s="25"/>
      <c r="L683" s="120"/>
    </row>
    <row r="684" spans="1:12" x14ac:dyDescent="0.35">
      <c r="A684" s="136" t="s">
        <v>725</v>
      </c>
      <c r="B684" s="120">
        <v>-1.9099999999999999E-2</v>
      </c>
      <c r="C684" s="120">
        <v>1.1000000000000001E-3</v>
      </c>
      <c r="E684" s="25"/>
      <c r="L684" s="120"/>
    </row>
    <row r="685" spans="1:12" x14ac:dyDescent="0.35">
      <c r="A685" s="136" t="s">
        <v>726</v>
      </c>
      <c r="B685" s="120">
        <v>-6.9599999999999995E-2</v>
      </c>
      <c r="C685" s="120">
        <v>-4.7999999999999996E-3</v>
      </c>
      <c r="E685" s="25"/>
      <c r="G685" s="25"/>
      <c r="L685" s="120"/>
    </row>
    <row r="686" spans="1:12" x14ac:dyDescent="0.35">
      <c r="A686" s="136" t="s">
        <v>727</v>
      </c>
      <c r="B686" s="120">
        <v>-8.0999999999999996E-3</v>
      </c>
      <c r="C686" s="120">
        <v>9.7999999999999997E-3</v>
      </c>
      <c r="E686" s="25"/>
      <c r="G686" s="25"/>
      <c r="L686" s="120"/>
    </row>
    <row r="687" spans="1:12" x14ac:dyDescent="0.35">
      <c r="A687" s="136" t="s">
        <v>728</v>
      </c>
      <c r="B687" s="120">
        <v>1.6500000000000001E-2</v>
      </c>
      <c r="C687" s="120">
        <v>-1.0200000000000001E-2</v>
      </c>
      <c r="E687" s="25"/>
      <c r="G687" s="25"/>
      <c r="L687" s="120"/>
    </row>
    <row r="688" spans="1:12" x14ac:dyDescent="0.35">
      <c r="A688" s="136" t="s">
        <v>729</v>
      </c>
      <c r="B688" s="120">
        <v>4.7600000000000003E-2</v>
      </c>
      <c r="C688" s="120">
        <v>2.0000000000000001E-4</v>
      </c>
      <c r="E688" s="25"/>
      <c r="L688" s="120"/>
    </row>
    <row r="689" spans="1:12" x14ac:dyDescent="0.35">
      <c r="A689" s="136" t="s">
        <v>730</v>
      </c>
      <c r="B689" s="120">
        <v>5.7999999999999996E-3</v>
      </c>
      <c r="C689" s="120">
        <v>-2.7000000000000001E-3</v>
      </c>
      <c r="E689" s="25"/>
      <c r="L689" s="120"/>
    </row>
    <row r="690" spans="1:12" x14ac:dyDescent="0.35">
      <c r="A690" s="136" t="s">
        <v>731</v>
      </c>
      <c r="B690" s="120">
        <v>4.5499999999999999E-2</v>
      </c>
      <c r="C690" s="120">
        <v>-1E-3</v>
      </c>
      <c r="E690" s="25"/>
      <c r="L690" s="120"/>
    </row>
    <row r="691" spans="1:12" x14ac:dyDescent="0.35">
      <c r="A691" s="136" t="s">
        <v>732</v>
      </c>
      <c r="B691" s="120">
        <v>5.7700000000000001E-2</v>
      </c>
      <c r="C691" s="120">
        <v>5.8999999999999999E-3</v>
      </c>
      <c r="E691" s="25"/>
      <c r="L691" s="120"/>
    </row>
    <row r="692" spans="1:12" x14ac:dyDescent="0.35">
      <c r="A692" s="136" t="s">
        <v>733</v>
      </c>
      <c r="B692" s="120">
        <v>-1.6000000000000001E-3</v>
      </c>
      <c r="C692" s="120">
        <v>1.7600000000000001E-2</v>
      </c>
      <c r="E692" s="25"/>
      <c r="L692" s="120"/>
    </row>
    <row r="693" spans="1:12" x14ac:dyDescent="0.35">
      <c r="A693" s="136" t="s">
        <v>734</v>
      </c>
      <c r="B693" s="120">
        <v>3.3000000000000002E-2</v>
      </c>
      <c r="C693" s="120">
        <v>5.3E-3</v>
      </c>
      <c r="E693" s="25"/>
      <c r="L693" s="120"/>
    </row>
    <row r="694" spans="1:12" x14ac:dyDescent="0.35">
      <c r="A694" s="136" t="s">
        <v>735</v>
      </c>
      <c r="B694" s="120">
        <v>-4.1200000000000001E-2</v>
      </c>
      <c r="C694" s="120">
        <v>1.4E-3</v>
      </c>
      <c r="E694" s="25"/>
      <c r="L694" s="120"/>
    </row>
    <row r="695" spans="1:12" x14ac:dyDescent="0.35">
      <c r="A695" s="136" t="s">
        <v>736</v>
      </c>
      <c r="B695" s="120">
        <v>1.2800000000000001E-2</v>
      </c>
      <c r="C695" s="120">
        <v>4.4999999999999997E-3</v>
      </c>
      <c r="E695" s="25"/>
      <c r="L695" s="120"/>
    </row>
    <row r="696" spans="1:12" x14ac:dyDescent="0.35">
      <c r="A696" s="136" t="s">
        <v>737</v>
      </c>
      <c r="B696" s="120">
        <v>8.0999999999999996E-3</v>
      </c>
      <c r="C696" s="120">
        <v>4.4999999999999997E-3</v>
      </c>
      <c r="E696" s="25"/>
      <c r="L696" s="120"/>
    </row>
    <row r="697" spans="1:12" x14ac:dyDescent="0.35">
      <c r="A697" s="136" t="s">
        <v>738</v>
      </c>
      <c r="B697" s="120">
        <v>-6.93E-2</v>
      </c>
      <c r="C697" s="120">
        <v>-1.38E-2</v>
      </c>
      <c r="E697" s="25"/>
      <c r="L697" s="120"/>
    </row>
    <row r="698" spans="1:12" x14ac:dyDescent="0.35">
      <c r="A698" s="136">
        <v>44868</v>
      </c>
      <c r="B698" s="120">
        <v>3.9100000000000003E-2</v>
      </c>
      <c r="C698" s="120">
        <v>-8.5000000000000006E-3</v>
      </c>
      <c r="E698" s="25"/>
      <c r="L698" s="120"/>
    </row>
    <row r="699" spans="1:12" x14ac:dyDescent="0.35">
      <c r="A699" s="136">
        <v>44837</v>
      </c>
      <c r="B699" s="120">
        <v>-2.1399999999999999E-2</v>
      </c>
      <c r="C699" s="120">
        <v>3.5999999999999999E-3</v>
      </c>
      <c r="E699" s="25"/>
      <c r="L699" s="120"/>
    </row>
    <row r="700" spans="1:12" x14ac:dyDescent="0.35">
      <c r="A700" s="136">
        <v>44807</v>
      </c>
      <c r="B700" s="120">
        <v>5.3199999999999997E-2</v>
      </c>
      <c r="C700" s="120">
        <v>0</v>
      </c>
      <c r="E700" s="25"/>
      <c r="L700" s="120"/>
    </row>
    <row r="701" spans="1:12" x14ac:dyDescent="0.35">
      <c r="A701" s="136">
        <v>44776</v>
      </c>
      <c r="B701" s="120">
        <v>-3.8800000000000001E-2</v>
      </c>
      <c r="C701" s="120">
        <v>-1.6899999999999998E-2</v>
      </c>
      <c r="E701" s="25"/>
      <c r="G701" s="25"/>
      <c r="L701" s="120"/>
    </row>
    <row r="702" spans="1:12" x14ac:dyDescent="0.35">
      <c r="A702" s="136">
        <v>44745</v>
      </c>
      <c r="B702" s="120">
        <v>6.9699999999999998E-2</v>
      </c>
      <c r="C702" s="120">
        <v>-4.1999999999999997E-3</v>
      </c>
      <c r="E702" s="25"/>
      <c r="L702" s="120"/>
    </row>
    <row r="703" spans="1:12" x14ac:dyDescent="0.35">
      <c r="A703" s="136">
        <v>44654</v>
      </c>
      <c r="B703" s="120">
        <v>1.17E-2</v>
      </c>
      <c r="C703" s="120">
        <v>2.0000000000000001E-4</v>
      </c>
      <c r="E703" s="25"/>
      <c r="G703" s="25"/>
      <c r="L703" s="120"/>
    </row>
    <row r="704" spans="1:12" x14ac:dyDescent="0.35">
      <c r="A704" s="136">
        <v>44623</v>
      </c>
      <c r="B704" s="120">
        <v>-3.3E-3</v>
      </c>
      <c r="C704" s="120">
        <v>1.3100000000000001E-2</v>
      </c>
      <c r="E704" s="25"/>
      <c r="L704" s="120"/>
    </row>
    <row r="705" spans="1:12" x14ac:dyDescent="0.35">
      <c r="A705" s="136">
        <v>44595</v>
      </c>
      <c r="B705" s="120">
        <v>5.28E-2</v>
      </c>
      <c r="C705" s="120">
        <v>-8.8000000000000005E-3</v>
      </c>
      <c r="E705" s="25"/>
      <c r="G705" s="25"/>
      <c r="L705" s="120"/>
    </row>
    <row r="706" spans="1:12" x14ac:dyDescent="0.35">
      <c r="A706" s="136">
        <v>44564</v>
      </c>
      <c r="B706" s="120">
        <v>-1.3899999999999999E-2</v>
      </c>
      <c r="C706" s="120">
        <v>5.7999999999999996E-3</v>
      </c>
      <c r="E706" s="25"/>
      <c r="L706" s="120"/>
    </row>
    <row r="707" spans="1:12" x14ac:dyDescent="0.35">
      <c r="A707" s="136" t="s">
        <v>739</v>
      </c>
      <c r="B707" s="120">
        <v>6.8599999999999994E-2</v>
      </c>
      <c r="C707" s="120">
        <v>-5.7999999999999996E-3</v>
      </c>
      <c r="E707" s="25"/>
      <c r="L707" s="120"/>
    </row>
    <row r="708" spans="1:12" x14ac:dyDescent="0.35">
      <c r="A708" s="136" t="s">
        <v>740</v>
      </c>
      <c r="B708" s="120">
        <v>-5.4999999999999997E-3</v>
      </c>
      <c r="C708" s="120">
        <v>2.7000000000000001E-3</v>
      </c>
      <c r="E708" s="25"/>
      <c r="G708" s="25"/>
      <c r="L708" s="120"/>
    </row>
    <row r="709" spans="1:12" x14ac:dyDescent="0.35">
      <c r="A709" s="136" t="s">
        <v>741</v>
      </c>
      <c r="B709" s="120">
        <v>6.9000000000000006E-2</v>
      </c>
      <c r="C709" s="120">
        <v>-1.15E-2</v>
      </c>
      <c r="E709" s="25"/>
      <c r="L709" s="120"/>
    </row>
    <row r="710" spans="1:12" x14ac:dyDescent="0.35">
      <c r="A710" s="136" t="s">
        <v>742</v>
      </c>
      <c r="B710" s="120">
        <v>6.9599999999999995E-2</v>
      </c>
      <c r="C710" s="120">
        <v>5.8999999999999999E-3</v>
      </c>
      <c r="E710" s="25"/>
      <c r="L710" s="120"/>
    </row>
    <row r="711" spans="1:12" x14ac:dyDescent="0.35">
      <c r="A711" s="136" t="s">
        <v>743</v>
      </c>
      <c r="B711" s="120">
        <v>-2.47E-2</v>
      </c>
      <c r="C711" s="120">
        <v>-4.8999999999999998E-3</v>
      </c>
      <c r="E711" s="25"/>
      <c r="G711" s="25"/>
      <c r="L711" s="120"/>
    </row>
    <row r="712" spans="1:12" x14ac:dyDescent="0.35">
      <c r="A712" s="136" t="s">
        <v>744</v>
      </c>
      <c r="B712" s="120">
        <v>-1.0200000000000001E-2</v>
      </c>
      <c r="C712" s="120">
        <v>4.0000000000000001E-3</v>
      </c>
      <c r="E712" s="25"/>
      <c r="L712" s="120"/>
    </row>
    <row r="713" spans="1:12" x14ac:dyDescent="0.35">
      <c r="A713" s="136" t="s">
        <v>745</v>
      </c>
      <c r="B713" s="120">
        <v>2.29E-2</v>
      </c>
      <c r="C713" s="120">
        <v>-2.0999999999999999E-3</v>
      </c>
      <c r="E713" s="25"/>
      <c r="G713" s="25"/>
      <c r="L713" s="120"/>
    </row>
    <row r="714" spans="1:12" x14ac:dyDescent="0.35">
      <c r="A714" s="136" t="s">
        <v>746</v>
      </c>
      <c r="B714" s="120">
        <v>-8.3000000000000001E-3</v>
      </c>
      <c r="C714" s="120">
        <v>1.06E-2</v>
      </c>
      <c r="E714" s="25"/>
      <c r="L714" s="120"/>
    </row>
    <row r="715" spans="1:12" x14ac:dyDescent="0.35">
      <c r="A715" s="136" t="s">
        <v>747</v>
      </c>
      <c r="B715" s="120">
        <v>3.8600000000000002E-2</v>
      </c>
      <c r="C715" s="120">
        <v>-4.0000000000000002E-4</v>
      </c>
      <c r="E715" s="25"/>
      <c r="L715" s="120"/>
    </row>
    <row r="716" spans="1:12" x14ac:dyDescent="0.35">
      <c r="A716" s="136" t="s">
        <v>748</v>
      </c>
      <c r="B716" s="120">
        <v>1.9699999999999999E-2</v>
      </c>
      <c r="C716" s="120">
        <v>1.41E-2</v>
      </c>
      <c r="E716" s="25"/>
      <c r="L716" s="120"/>
    </row>
    <row r="717" spans="1:12" x14ac:dyDescent="0.35">
      <c r="A717" s="136" t="s">
        <v>749</v>
      </c>
      <c r="B717" s="120">
        <v>-1.6199999999999999E-2</v>
      </c>
      <c r="C717" s="120">
        <v>-1.9800000000000002E-2</v>
      </c>
      <c r="E717" s="25"/>
      <c r="G717" s="25"/>
      <c r="L717" s="120"/>
    </row>
    <row r="718" spans="1:12" x14ac:dyDescent="0.35">
      <c r="A718" s="136">
        <v>44867</v>
      </c>
      <c r="B718" s="120">
        <v>3.2199999999999999E-2</v>
      </c>
      <c r="C718" s="120">
        <v>-3.3999999999999998E-3</v>
      </c>
      <c r="E718" s="25"/>
      <c r="L718" s="120"/>
    </row>
    <row r="719" spans="1:12" x14ac:dyDescent="0.35">
      <c r="A719" s="136">
        <v>44836</v>
      </c>
      <c r="B719" s="120">
        <v>2.7400000000000001E-2</v>
      </c>
      <c r="C719" s="120">
        <v>8.9999999999999998E-4</v>
      </c>
      <c r="E719" s="25"/>
      <c r="G719" s="25"/>
      <c r="L719" s="120"/>
    </row>
    <row r="720" spans="1:12" x14ac:dyDescent="0.35">
      <c r="A720" s="136">
        <v>44806</v>
      </c>
      <c r="B720" s="120">
        <v>-9.1000000000000004E-3</v>
      </c>
      <c r="C720" s="120">
        <v>2.8999999999999998E-3</v>
      </c>
      <c r="E720" s="25"/>
      <c r="L720" s="120"/>
    </row>
    <row r="721" spans="1:12" x14ac:dyDescent="0.35">
      <c r="A721" s="136">
        <v>44775</v>
      </c>
      <c r="B721" s="120">
        <v>3.6400000000000002E-2</v>
      </c>
      <c r="C721" s="120">
        <v>2.2000000000000001E-3</v>
      </c>
      <c r="E721" s="25"/>
      <c r="G721" s="25"/>
      <c r="L721" s="120"/>
    </row>
    <row r="722" spans="1:12" x14ac:dyDescent="0.35">
      <c r="A722" s="136">
        <v>44744</v>
      </c>
      <c r="B722" s="120">
        <v>6.0900000000000003E-2</v>
      </c>
      <c r="C722" s="120">
        <v>1.26E-2</v>
      </c>
      <c r="E722" s="25"/>
      <c r="G722" s="25"/>
      <c r="L722" s="120"/>
    </row>
    <row r="723" spans="1:12" x14ac:dyDescent="0.35">
      <c r="A723" s="136" t="s">
        <v>750</v>
      </c>
      <c r="B723" s="120">
        <v>-2.6599999999999999E-2</v>
      </c>
      <c r="C723" s="120">
        <v>5.5999999999999999E-3</v>
      </c>
      <c r="E723" s="25"/>
      <c r="G723" s="25"/>
      <c r="L723" s="120"/>
    </row>
    <row r="724" spans="1:12" x14ac:dyDescent="0.35">
      <c r="A724" s="136" t="s">
        <v>751</v>
      </c>
      <c r="B724" s="120">
        <v>1.23E-2</v>
      </c>
      <c r="C724" s="120">
        <v>-7.3000000000000001E-3</v>
      </c>
      <c r="E724" s="25"/>
      <c r="L724" s="120"/>
    </row>
    <row r="725" spans="1:12" x14ac:dyDescent="0.35">
      <c r="A725" s="136" t="s">
        <v>752</v>
      </c>
      <c r="B725" s="120">
        <v>-1.4500000000000001E-2</v>
      </c>
      <c r="C725" s="120">
        <v>1.4E-3</v>
      </c>
      <c r="E725" s="25"/>
      <c r="L725" s="120"/>
    </row>
    <row r="726" spans="1:12" x14ac:dyDescent="0.35">
      <c r="A726" s="136" t="s">
        <v>753</v>
      </c>
      <c r="B726" s="120">
        <v>3.8899999999999997E-2</v>
      </c>
      <c r="C726" s="120">
        <v>2.7699999999999999E-2</v>
      </c>
      <c r="E726" s="25"/>
      <c r="L726" s="120"/>
    </row>
    <row r="727" spans="1:12" x14ac:dyDescent="0.35">
      <c r="A727" s="136" t="s">
        <v>754</v>
      </c>
      <c r="B727" s="120">
        <v>-6.8900000000000003E-2</v>
      </c>
      <c r="C727" s="120">
        <v>-2.2499999999999999E-2</v>
      </c>
      <c r="E727" s="25"/>
      <c r="L727" s="120"/>
    </row>
    <row r="728" spans="1:12" x14ac:dyDescent="0.35">
      <c r="A728" s="136" t="s">
        <v>755</v>
      </c>
      <c r="B728" s="120">
        <v>-1.04E-2</v>
      </c>
      <c r="C728" s="120">
        <v>5.1999999999999998E-3</v>
      </c>
      <c r="E728" s="25"/>
      <c r="L728" s="120"/>
    </row>
    <row r="729" spans="1:12" x14ac:dyDescent="0.35">
      <c r="A729" s="136" t="s">
        <v>756</v>
      </c>
      <c r="B729" s="120">
        <v>5.7999999999999996E-3</v>
      </c>
      <c r="C729" s="120">
        <v>1.5599999999999999E-2</v>
      </c>
      <c r="E729" s="25"/>
      <c r="L729" s="120"/>
    </row>
    <row r="730" spans="1:12" x14ac:dyDescent="0.35">
      <c r="A730" s="136" t="s">
        <v>757</v>
      </c>
      <c r="B730" s="120">
        <v>2.6200000000000001E-2</v>
      </c>
      <c r="C730" s="120">
        <v>2.7000000000000001E-3</v>
      </c>
      <c r="E730" s="25"/>
      <c r="L730" s="120"/>
    </row>
    <row r="731" spans="1:12" x14ac:dyDescent="0.35">
      <c r="A731" s="136" t="s">
        <v>758</v>
      </c>
      <c r="B731" s="120">
        <v>6.8900000000000003E-2</v>
      </c>
      <c r="C731" s="120">
        <v>-9.5999999999999992E-3</v>
      </c>
      <c r="E731" s="25"/>
      <c r="L731" s="120"/>
    </row>
    <row r="732" spans="1:12" x14ac:dyDescent="0.35">
      <c r="A732" s="136" t="s">
        <v>759</v>
      </c>
      <c r="B732" s="120">
        <v>-2.4899999999999999E-2</v>
      </c>
      <c r="C732" s="120">
        <v>-2.8899999999999999E-2</v>
      </c>
      <c r="E732" s="25"/>
      <c r="L732" s="120"/>
    </row>
    <row r="733" spans="1:12" x14ac:dyDescent="0.35">
      <c r="A733" s="136" t="s">
        <v>760</v>
      </c>
      <c r="B733" s="120">
        <v>-6.9400000000000003E-2</v>
      </c>
      <c r="C733" s="120">
        <v>0</v>
      </c>
      <c r="E733" s="25"/>
    </row>
    <row r="734" spans="1:12" x14ac:dyDescent="0.35">
      <c r="A734" s="136" t="s">
        <v>761</v>
      </c>
      <c r="B734" s="120">
        <v>-2.92E-2</v>
      </c>
      <c r="C734" s="120">
        <v>-9.5999999999999992E-3</v>
      </c>
      <c r="E734" s="25"/>
    </row>
    <row r="735" spans="1:12" x14ac:dyDescent="0.35">
      <c r="A735" s="136">
        <v>44896</v>
      </c>
      <c r="B735" s="120">
        <v>2.3E-2</v>
      </c>
      <c r="C735" s="120">
        <v>1.2200000000000001E-2</v>
      </c>
      <c r="E735" s="25"/>
    </row>
    <row r="736" spans="1:12" x14ac:dyDescent="0.35">
      <c r="A736" s="136">
        <v>44866</v>
      </c>
      <c r="B736" s="120">
        <v>-3.3999999999999998E-3</v>
      </c>
      <c r="C736" s="120">
        <v>-7.6E-3</v>
      </c>
      <c r="E736" s="25"/>
    </row>
    <row r="737" spans="1:7" x14ac:dyDescent="0.35">
      <c r="A737" s="136">
        <v>44835</v>
      </c>
      <c r="B737" s="120">
        <v>-6.83E-2</v>
      </c>
      <c r="C737" s="120">
        <v>-1.6199999999999999E-2</v>
      </c>
      <c r="E737" s="25"/>
      <c r="G737" s="25"/>
    </row>
    <row r="738" spans="1:7" x14ac:dyDescent="0.35">
      <c r="A738" s="136">
        <v>44743</v>
      </c>
      <c r="B738" s="120">
        <v>-0.04</v>
      </c>
      <c r="C738" s="120">
        <v>-1E-4</v>
      </c>
    </row>
    <row r="739" spans="1:7" x14ac:dyDescent="0.35">
      <c r="A739" s="136">
        <v>44713</v>
      </c>
      <c r="B739" s="120">
        <v>-2.4E-2</v>
      </c>
      <c r="C739" s="120">
        <v>4.0000000000000001E-3</v>
      </c>
    </row>
    <row r="740" spans="1:7" x14ac:dyDescent="0.35">
      <c r="A740" s="136">
        <v>44682</v>
      </c>
      <c r="B740" s="120">
        <v>-1.5800000000000002E-2</v>
      </c>
      <c r="C740" s="120">
        <v>-2E-3</v>
      </c>
    </row>
    <row r="741" spans="1:7" x14ac:dyDescent="0.35">
      <c r="A741" s="136">
        <v>44652</v>
      </c>
      <c r="B741" s="120">
        <v>1.6E-2</v>
      </c>
      <c r="C741" s="120">
        <v>1.8200000000000001E-2</v>
      </c>
    </row>
    <row r="742" spans="1:7" x14ac:dyDescent="0.35">
      <c r="A742" s="136" t="s">
        <v>764</v>
      </c>
      <c r="B742" s="120">
        <v>-7.9000000000000008E-3</v>
      </c>
      <c r="C742" s="120">
        <v>8.3000000000000001E-3</v>
      </c>
    </row>
    <row r="743" spans="1:7" x14ac:dyDescent="0.35">
      <c r="A743" s="136" t="s">
        <v>765</v>
      </c>
      <c r="B743" s="120">
        <v>2.86E-2</v>
      </c>
      <c r="C743" s="120">
        <v>1E-4</v>
      </c>
    </row>
    <row r="744" spans="1:7" x14ac:dyDescent="0.35">
      <c r="A744" s="136" t="s">
        <v>766</v>
      </c>
      <c r="B744" s="120">
        <v>-6.3100000000000003E-2</v>
      </c>
      <c r="C744" s="120">
        <v>-5.7000000000000002E-3</v>
      </c>
    </row>
    <row r="745" spans="1:7" x14ac:dyDescent="0.35">
      <c r="A745" s="136" t="s">
        <v>767</v>
      </c>
      <c r="B745" s="120">
        <v>-5.7000000000000002E-3</v>
      </c>
      <c r="C745" s="120">
        <v>3.7000000000000002E-3</v>
      </c>
    </row>
    <row r="746" spans="1:7" x14ac:dyDescent="0.35">
      <c r="A746" s="136" t="s">
        <v>768</v>
      </c>
      <c r="B746" s="120">
        <v>-4.0099999999999997E-2</v>
      </c>
      <c r="C746" s="120">
        <v>8.0000000000000002E-3</v>
      </c>
    </row>
    <row r="747" spans="1:7" x14ac:dyDescent="0.35">
      <c r="A747" s="136" t="s">
        <v>769</v>
      </c>
      <c r="B747" s="120">
        <v>-1.26E-2</v>
      </c>
      <c r="C747" s="120">
        <v>1.38E-2</v>
      </c>
    </row>
    <row r="748" spans="1:7" x14ac:dyDescent="0.35">
      <c r="A748" s="136" t="s">
        <v>770</v>
      </c>
      <c r="B748" s="120">
        <v>2.7799999999999998E-2</v>
      </c>
      <c r="C748" s="120">
        <v>-1.4E-2</v>
      </c>
    </row>
    <row r="749" spans="1:7" x14ac:dyDescent="0.35">
      <c r="A749" s="136" t="s">
        <v>771</v>
      </c>
      <c r="B749" s="120">
        <v>1.9E-3</v>
      </c>
      <c r="C749" s="120">
        <v>-6.9999999999999999E-4</v>
      </c>
    </row>
    <row r="750" spans="1:7" x14ac:dyDescent="0.35">
      <c r="A750" s="136" t="s">
        <v>772</v>
      </c>
      <c r="B750" s="120">
        <v>6.9400000000000003E-2</v>
      </c>
      <c r="C750" s="120">
        <v>1E-3</v>
      </c>
    </row>
    <row r="751" spans="1:7" x14ac:dyDescent="0.35">
      <c r="A751" s="136" t="s">
        <v>773</v>
      </c>
      <c r="B751" s="120">
        <v>0.01</v>
      </c>
      <c r="C751" s="120">
        <v>-1.6999999999999999E-3</v>
      </c>
    </row>
    <row r="752" spans="1:7" x14ac:dyDescent="0.35">
      <c r="A752" s="136" t="s">
        <v>774</v>
      </c>
      <c r="B752" s="120">
        <v>2E-3</v>
      </c>
      <c r="C752" s="120">
        <v>2.2000000000000001E-3</v>
      </c>
    </row>
    <row r="753" spans="1:3" x14ac:dyDescent="0.35">
      <c r="A753" s="136" t="s">
        <v>775</v>
      </c>
      <c r="B753" s="120">
        <v>-2.35E-2</v>
      </c>
      <c r="C753" s="120">
        <v>8.0000000000000004E-4</v>
      </c>
    </row>
    <row r="754" spans="1:3" x14ac:dyDescent="0.35">
      <c r="A754" s="136" t="s">
        <v>776</v>
      </c>
      <c r="B754" s="120">
        <v>9.9000000000000008E-3</v>
      </c>
      <c r="C754" s="120">
        <v>-4.0000000000000002E-4</v>
      </c>
    </row>
    <row r="755" spans="1:3" x14ac:dyDescent="0.35">
      <c r="A755" s="136" t="s">
        <v>777</v>
      </c>
      <c r="B755" s="120">
        <v>0.01</v>
      </c>
      <c r="C755" s="120">
        <v>-1E-4</v>
      </c>
    </row>
    <row r="756" spans="1:3" x14ac:dyDescent="0.35">
      <c r="A756" s="136" t="s">
        <v>778</v>
      </c>
      <c r="B756" s="120">
        <v>-9.9000000000000008E-3</v>
      </c>
      <c r="C756" s="120">
        <v>8.6999999999999994E-3</v>
      </c>
    </row>
    <row r="757" spans="1:3" x14ac:dyDescent="0.35">
      <c r="A757" s="136">
        <v>44481</v>
      </c>
      <c r="B757" s="120">
        <v>3.0599999999999999E-2</v>
      </c>
      <c r="C757" s="120">
        <v>-3.0000000000000001E-3</v>
      </c>
    </row>
    <row r="758" spans="1:3" x14ac:dyDescent="0.35">
      <c r="A758" s="136">
        <v>44451</v>
      </c>
      <c r="B758" s="120">
        <v>2.5100000000000001E-2</v>
      </c>
      <c r="C758" s="120">
        <v>1.04E-2</v>
      </c>
    </row>
    <row r="759" spans="1:3" x14ac:dyDescent="0.35">
      <c r="A759" s="136">
        <v>44420</v>
      </c>
      <c r="B759" s="120">
        <v>1.06E-2</v>
      </c>
      <c r="C759" s="120">
        <v>4.1999999999999997E-3</v>
      </c>
    </row>
    <row r="760" spans="1:3" x14ac:dyDescent="0.35">
      <c r="A760" s="136">
        <v>44389</v>
      </c>
      <c r="B760" s="120">
        <v>4.53E-2</v>
      </c>
      <c r="C760" s="120">
        <v>2.35E-2</v>
      </c>
    </row>
    <row r="761" spans="1:3" x14ac:dyDescent="0.35">
      <c r="A761" s="136">
        <v>44359</v>
      </c>
      <c r="B761" s="120">
        <v>-5.33E-2</v>
      </c>
      <c r="C761" s="120">
        <v>-2.06E-2</v>
      </c>
    </row>
    <row r="762" spans="1:3" x14ac:dyDescent="0.35">
      <c r="A762" s="136">
        <v>44267</v>
      </c>
      <c r="B762" s="120">
        <v>-3.9199999999999999E-2</v>
      </c>
      <c r="C762" s="120">
        <v>-2.6100000000000002E-2</v>
      </c>
    </row>
    <row r="763" spans="1:3" x14ac:dyDescent="0.35">
      <c r="A763" s="136">
        <v>44239</v>
      </c>
      <c r="B763" s="120">
        <v>-4.6899999999999997E-2</v>
      </c>
      <c r="C763" s="120">
        <v>-2.0999999999999999E-3</v>
      </c>
    </row>
    <row r="764" spans="1:3" x14ac:dyDescent="0.35">
      <c r="A764" s="136">
        <v>44208</v>
      </c>
      <c r="B764" s="120">
        <v>3.5700000000000003E-2</v>
      </c>
      <c r="C764" s="120">
        <v>4.5999999999999999E-3</v>
      </c>
    </row>
    <row r="765" spans="1:3" x14ac:dyDescent="0.35">
      <c r="A765" s="136" t="s">
        <v>779</v>
      </c>
      <c r="B765" s="120">
        <v>3.0700000000000002E-2</v>
      </c>
      <c r="C765" s="120">
        <v>-4.3E-3</v>
      </c>
    </row>
    <row r="766" spans="1:3" x14ac:dyDescent="0.35">
      <c r="A766" s="136" t="s">
        <v>780</v>
      </c>
      <c r="B766" s="120">
        <v>-2.7799999999999998E-2</v>
      </c>
      <c r="C766" s="120">
        <v>-5.4999999999999997E-3</v>
      </c>
    </row>
    <row r="767" spans="1:3" x14ac:dyDescent="0.35">
      <c r="A767" s="136" t="s">
        <v>781</v>
      </c>
      <c r="B767" s="120">
        <v>2.6499999999999999E-2</v>
      </c>
      <c r="C767" s="120">
        <v>-5.1999999999999998E-3</v>
      </c>
    </row>
    <row r="768" spans="1:3" x14ac:dyDescent="0.35">
      <c r="A768" s="136" t="s">
        <v>782</v>
      </c>
      <c r="B768" s="120">
        <v>1.03E-2</v>
      </c>
      <c r="C768" s="120">
        <v>8.0000000000000002E-3</v>
      </c>
    </row>
    <row r="769" spans="1:3" x14ac:dyDescent="0.35">
      <c r="A769" s="136" t="s">
        <v>783</v>
      </c>
      <c r="B769" s="120">
        <v>-1.6199999999999999E-2</v>
      </c>
      <c r="C769" s="120">
        <v>1.72E-2</v>
      </c>
    </row>
    <row r="770" spans="1:3" x14ac:dyDescent="0.35">
      <c r="A770" s="136" t="s">
        <v>784</v>
      </c>
      <c r="B770" s="120">
        <v>6.0199999999999997E-2</v>
      </c>
      <c r="C770" s="120">
        <v>1.1299999999999999E-2</v>
      </c>
    </row>
    <row r="771" spans="1:3" x14ac:dyDescent="0.35">
      <c r="A771" s="136" t="s">
        <v>785</v>
      </c>
      <c r="B771" s="120">
        <v>1.09E-2</v>
      </c>
      <c r="C771" s="120">
        <v>-3.5000000000000001E-3</v>
      </c>
    </row>
    <row r="772" spans="1:3" x14ac:dyDescent="0.35">
      <c r="A772" s="136" t="s">
        <v>786</v>
      </c>
      <c r="B772" s="120">
        <v>-5.3499999999999999E-2</v>
      </c>
      <c r="C772" s="120">
        <v>-1.1900000000000001E-2</v>
      </c>
    </row>
    <row r="773" spans="1:3" x14ac:dyDescent="0.35">
      <c r="A773" s="136" t="s">
        <v>787</v>
      </c>
      <c r="B773" s="120">
        <v>-5.6300000000000003E-2</v>
      </c>
      <c r="C773" s="120">
        <v>-4.1000000000000003E-3</v>
      </c>
    </row>
    <row r="774" spans="1:3" x14ac:dyDescent="0.35">
      <c r="A774" s="136" t="s">
        <v>788</v>
      </c>
      <c r="B774" s="120">
        <v>-1.9E-2</v>
      </c>
      <c r="C774" s="120">
        <v>6.4000000000000003E-3</v>
      </c>
    </row>
    <row r="775" spans="1:3" x14ac:dyDescent="0.35">
      <c r="A775" s="136" t="s">
        <v>789</v>
      </c>
      <c r="B775" s="120">
        <v>-1.9E-3</v>
      </c>
      <c r="C775" s="120">
        <v>-6.8999999999999999E-3</v>
      </c>
    </row>
    <row r="776" spans="1:3" x14ac:dyDescent="0.35">
      <c r="A776" s="136" t="s">
        <v>790</v>
      </c>
      <c r="B776" s="120">
        <v>0</v>
      </c>
      <c r="C776" s="120">
        <v>2.2000000000000001E-3</v>
      </c>
    </row>
    <row r="777" spans="1:3" x14ac:dyDescent="0.35">
      <c r="A777" s="136">
        <v>44541</v>
      </c>
      <c r="B777" s="120">
        <v>-3.8E-3</v>
      </c>
      <c r="C777" s="120">
        <v>7.4999999999999997E-3</v>
      </c>
    </row>
    <row r="778" spans="1:3" x14ac:dyDescent="0.35">
      <c r="A778" s="136">
        <v>44511</v>
      </c>
      <c r="B778" s="120">
        <v>-2.2200000000000001E-2</v>
      </c>
      <c r="C778" s="120">
        <v>-1.8E-3</v>
      </c>
    </row>
    <row r="779" spans="1:3" x14ac:dyDescent="0.35">
      <c r="A779" s="136">
        <v>44480</v>
      </c>
      <c r="B779" s="120">
        <v>3.2500000000000001E-2</v>
      </c>
      <c r="C779" s="120">
        <v>2.3999999999999998E-3</v>
      </c>
    </row>
    <row r="780" spans="1:3" x14ac:dyDescent="0.35">
      <c r="A780" s="136">
        <v>44450</v>
      </c>
      <c r="B780" s="120">
        <v>5.7999999999999996E-3</v>
      </c>
      <c r="C780" s="120">
        <v>-4.1000000000000003E-3</v>
      </c>
    </row>
    <row r="781" spans="1:3" x14ac:dyDescent="0.35">
      <c r="A781" s="136">
        <v>44419</v>
      </c>
      <c r="B781" s="120">
        <v>3.3799999999999997E-2</v>
      </c>
      <c r="C781" s="120">
        <v>7.6E-3</v>
      </c>
    </row>
    <row r="782" spans="1:3" x14ac:dyDescent="0.35">
      <c r="A782" s="136">
        <v>44327</v>
      </c>
      <c r="B782" s="120">
        <v>6.9099999999999995E-2</v>
      </c>
      <c r="C782" s="120">
        <v>5.5999999999999999E-3</v>
      </c>
    </row>
    <row r="783" spans="1:3" x14ac:dyDescent="0.35">
      <c r="A783" s="136">
        <v>44297</v>
      </c>
      <c r="B783" s="120">
        <v>2.2800000000000001E-2</v>
      </c>
      <c r="C783" s="120">
        <v>2.8E-3</v>
      </c>
    </row>
    <row r="784" spans="1:3" x14ac:dyDescent="0.35">
      <c r="A784" s="136">
        <v>44266</v>
      </c>
      <c r="B784" s="120">
        <v>-6.5000000000000002E-2</v>
      </c>
      <c r="C784" s="120">
        <v>-5.5999999999999999E-3</v>
      </c>
    </row>
    <row r="785" spans="1:3" x14ac:dyDescent="0.35">
      <c r="A785" s="136">
        <v>44238</v>
      </c>
      <c r="B785" s="120">
        <v>-1.21E-2</v>
      </c>
      <c r="C785" s="120">
        <v>9.4000000000000004E-3</v>
      </c>
    </row>
    <row r="786" spans="1:3" x14ac:dyDescent="0.35">
      <c r="A786" s="136">
        <v>44207</v>
      </c>
      <c r="B786" s="120">
        <v>1.6299999999999999E-2</v>
      </c>
      <c r="C786" s="120">
        <v>-3.7000000000000002E-3</v>
      </c>
    </row>
    <row r="787" spans="1:3" x14ac:dyDescent="0.35">
      <c r="A787" s="136" t="s">
        <v>791</v>
      </c>
      <c r="B787" s="120">
        <v>0</v>
      </c>
      <c r="C787" s="120">
        <v>4.4000000000000003E-3</v>
      </c>
    </row>
    <row r="788" spans="1:3" x14ac:dyDescent="0.35">
      <c r="A788" s="136" t="s">
        <v>792</v>
      </c>
      <c r="B788" s="120">
        <v>5.6000000000000001E-2</v>
      </c>
      <c r="C788" s="120">
        <v>1.0500000000000001E-2</v>
      </c>
    </row>
    <row r="789" spans="1:3" x14ac:dyDescent="0.35">
      <c r="A789" s="136" t="s">
        <v>793</v>
      </c>
      <c r="B789" s="120">
        <v>-6.4000000000000003E-3</v>
      </c>
      <c r="C789" s="120">
        <v>2.2599999999999999E-2</v>
      </c>
    </row>
    <row r="790" spans="1:3" x14ac:dyDescent="0.35">
      <c r="A790" s="136" t="s">
        <v>794</v>
      </c>
      <c r="B790" s="120">
        <v>3.6600000000000001E-2</v>
      </c>
      <c r="C790" s="120">
        <v>4.4999999999999997E-3</v>
      </c>
    </row>
    <row r="791" spans="1:3" x14ac:dyDescent="0.35">
      <c r="A791" s="136" t="s">
        <v>795</v>
      </c>
      <c r="B791" s="120">
        <v>-3.2199999999999999E-2</v>
      </c>
      <c r="C791" s="120">
        <v>-2.8E-3</v>
      </c>
    </row>
    <row r="792" spans="1:3" x14ac:dyDescent="0.35">
      <c r="A792" s="136" t="s">
        <v>796</v>
      </c>
      <c r="B792" s="120">
        <v>-9.5999999999999992E-3</v>
      </c>
      <c r="C792" s="120">
        <v>3.2000000000000002E-3</v>
      </c>
    </row>
    <row r="793" spans="1:3" x14ac:dyDescent="0.35">
      <c r="A793" s="136" t="s">
        <v>797</v>
      </c>
      <c r="B793" s="120">
        <v>2.8500000000000001E-2</v>
      </c>
      <c r="C793" s="120">
        <v>-6.4999999999999997E-3</v>
      </c>
    </row>
    <row r="794" spans="1:3" x14ac:dyDescent="0.35">
      <c r="A794" s="136" t="s">
        <v>798</v>
      </c>
      <c r="B794" s="120">
        <v>3.1600000000000003E-2</v>
      </c>
      <c r="C794" s="120">
        <v>-1.1000000000000001E-3</v>
      </c>
    </row>
    <row r="795" spans="1:3" x14ac:dyDescent="0.35">
      <c r="A795" s="136" t="s">
        <v>799</v>
      </c>
      <c r="B795" s="120">
        <v>6.7500000000000004E-2</v>
      </c>
      <c r="C795" s="120">
        <v>-1E-4</v>
      </c>
    </row>
    <row r="796" spans="1:3" x14ac:dyDescent="0.35">
      <c r="A796" s="136" t="s">
        <v>800</v>
      </c>
      <c r="B796" s="120">
        <v>-2.92E-2</v>
      </c>
      <c r="C796" s="120">
        <v>2E-3</v>
      </c>
    </row>
    <row r="797" spans="1:3" x14ac:dyDescent="0.35">
      <c r="A797" s="136" t="s">
        <v>801</v>
      </c>
      <c r="B797" s="120">
        <v>1.7899999999999999E-2</v>
      </c>
      <c r="C797" s="120">
        <v>5.9999999999999995E-4</v>
      </c>
    </row>
    <row r="798" spans="1:3" x14ac:dyDescent="0.35">
      <c r="A798" s="136" t="s">
        <v>802</v>
      </c>
      <c r="B798" s="120">
        <v>4.48E-2</v>
      </c>
      <c r="C798" s="120">
        <v>0</v>
      </c>
    </row>
    <row r="799" spans="1:3" x14ac:dyDescent="0.35">
      <c r="A799" s="136" t="s">
        <v>803</v>
      </c>
      <c r="B799" s="120">
        <v>4.9599999999999998E-2</v>
      </c>
      <c r="C799" s="120">
        <v>-2.0999999999999999E-3</v>
      </c>
    </row>
    <row r="800" spans="1:3" x14ac:dyDescent="0.35">
      <c r="A800" s="136">
        <v>44540</v>
      </c>
      <c r="B800" s="120">
        <v>0.02</v>
      </c>
      <c r="C800" s="120">
        <v>5.0000000000000001E-4</v>
      </c>
    </row>
    <row r="801" spans="1:3" x14ac:dyDescent="0.35">
      <c r="A801" s="136">
        <v>44510</v>
      </c>
      <c r="B801" s="120">
        <v>4.0000000000000001E-3</v>
      </c>
      <c r="C801" s="120">
        <v>1.5599999999999999E-2</v>
      </c>
    </row>
    <row r="802" spans="1:3" x14ac:dyDescent="0.35">
      <c r="A802" s="136">
        <v>44418</v>
      </c>
      <c r="B802" s="120">
        <v>-2.6100000000000002E-2</v>
      </c>
      <c r="C802" s="120">
        <v>4.8999999999999998E-3</v>
      </c>
    </row>
    <row r="803" spans="1:3" x14ac:dyDescent="0.35">
      <c r="A803" s="136">
        <v>44387</v>
      </c>
      <c r="B803" s="120">
        <v>6.6E-3</v>
      </c>
      <c r="C803" s="120">
        <v>2.3E-3</v>
      </c>
    </row>
    <row r="804" spans="1:3" x14ac:dyDescent="0.35">
      <c r="A804" s="136">
        <v>44357</v>
      </c>
      <c r="B804" s="120">
        <v>4.0000000000000001E-3</v>
      </c>
      <c r="C804" s="120">
        <v>6.0000000000000001E-3</v>
      </c>
    </row>
    <row r="805" spans="1:3" x14ac:dyDescent="0.35">
      <c r="A805" s="136">
        <v>44326</v>
      </c>
      <c r="B805" s="120">
        <v>1.3299999999999999E-2</v>
      </c>
      <c r="C805" s="120">
        <v>1.1299999999999999E-2</v>
      </c>
    </row>
    <row r="806" spans="1:3" x14ac:dyDescent="0.35">
      <c r="A806" s="136">
        <v>44296</v>
      </c>
      <c r="B806" s="120">
        <v>-1.5800000000000002E-2</v>
      </c>
      <c r="C806" s="120">
        <v>3.5000000000000001E-3</v>
      </c>
    </row>
    <row r="807" spans="1:3" x14ac:dyDescent="0.35">
      <c r="A807" s="136">
        <v>44206</v>
      </c>
      <c r="B807" s="120">
        <v>3.5299999999999998E-2</v>
      </c>
      <c r="C807" s="120">
        <v>-5.3E-3</v>
      </c>
    </row>
    <row r="808" spans="1:3" x14ac:dyDescent="0.35">
      <c r="A808" s="136" t="s">
        <v>804</v>
      </c>
      <c r="B808" s="120">
        <v>3.8100000000000002E-2</v>
      </c>
      <c r="C808" s="120">
        <v>2.0999999999999999E-3</v>
      </c>
    </row>
    <row r="809" spans="1:3" x14ac:dyDescent="0.35">
      <c r="A809" s="136" t="s">
        <v>805</v>
      </c>
      <c r="B809" s="120">
        <v>6.9400000000000003E-2</v>
      </c>
      <c r="C809" s="120">
        <v>-1E-4</v>
      </c>
    </row>
    <row r="810" spans="1:3" x14ac:dyDescent="0.35">
      <c r="A810" s="136" t="s">
        <v>806</v>
      </c>
      <c r="B810" s="120">
        <v>2.9499999999999998E-2</v>
      </c>
      <c r="C810" s="120">
        <v>1.0800000000000001E-2</v>
      </c>
    </row>
    <row r="811" spans="1:3" x14ac:dyDescent="0.35">
      <c r="A811" s="136" t="s">
        <v>807</v>
      </c>
      <c r="B811" s="120">
        <v>-6.6699999999999995E-2</v>
      </c>
      <c r="C811" s="120">
        <v>-1.9400000000000001E-2</v>
      </c>
    </row>
    <row r="812" spans="1:3" x14ac:dyDescent="0.35">
      <c r="A812" s="136" t="s">
        <v>808</v>
      </c>
      <c r="B812" s="120">
        <v>-1.01E-2</v>
      </c>
      <c r="C812" s="120">
        <v>-1.1999999999999999E-3</v>
      </c>
    </row>
    <row r="813" spans="1:3" x14ac:dyDescent="0.35">
      <c r="A813" s="136" t="s">
        <v>809</v>
      </c>
      <c r="B813" s="120">
        <v>0</v>
      </c>
      <c r="C813" s="120">
        <v>1.5E-3</v>
      </c>
    </row>
    <row r="814" spans="1:3" x14ac:dyDescent="0.35">
      <c r="A814" s="136" t="s">
        <v>810</v>
      </c>
      <c r="B814" s="120">
        <v>-8.5000000000000006E-3</v>
      </c>
      <c r="C814" s="120">
        <v>8.0999999999999996E-3</v>
      </c>
    </row>
    <row r="815" spans="1:3" x14ac:dyDescent="0.35">
      <c r="A815" s="136" t="s">
        <v>811</v>
      </c>
      <c r="B815" s="120">
        <v>-9.7999999999999997E-3</v>
      </c>
      <c r="C815" s="120">
        <v>-7.9000000000000008E-3</v>
      </c>
    </row>
    <row r="816" spans="1:3" x14ac:dyDescent="0.35">
      <c r="A816" s="136" t="s">
        <v>812</v>
      </c>
      <c r="B816" s="120">
        <v>-5.5999999999999999E-3</v>
      </c>
      <c r="C816" s="120">
        <v>-1.6000000000000001E-3</v>
      </c>
    </row>
    <row r="817" spans="1:3" x14ac:dyDescent="0.35">
      <c r="A817" s="136" t="s">
        <v>813</v>
      </c>
      <c r="B817" s="120">
        <v>2.1499999999999998E-2</v>
      </c>
      <c r="C817" s="120">
        <v>5.0000000000000001E-3</v>
      </c>
    </row>
    <row r="818" spans="1:3" x14ac:dyDescent="0.35">
      <c r="A818" s="136" t="s">
        <v>814</v>
      </c>
      <c r="B818" s="120">
        <v>-1.1299999999999999E-2</v>
      </c>
      <c r="C818" s="120">
        <v>0</v>
      </c>
    </row>
    <row r="819" spans="1:3" x14ac:dyDescent="0.35">
      <c r="A819" s="136" t="s">
        <v>815</v>
      </c>
      <c r="B819" s="120">
        <v>-9.7999999999999997E-3</v>
      </c>
      <c r="C819" s="120">
        <v>4.5999999999999999E-3</v>
      </c>
    </row>
    <row r="820" spans="1:3" x14ac:dyDescent="0.35">
      <c r="A820" s="136" t="s">
        <v>816</v>
      </c>
      <c r="B820" s="120">
        <v>2.8E-3</v>
      </c>
      <c r="C820" s="120">
        <v>-1.2999999999999999E-3</v>
      </c>
    </row>
    <row r="821" spans="1:3" x14ac:dyDescent="0.35">
      <c r="A821" s="136" t="s">
        <v>817</v>
      </c>
      <c r="B821" s="120">
        <v>1.72E-2</v>
      </c>
      <c r="C821" s="120">
        <v>-2.8999999999999998E-3</v>
      </c>
    </row>
    <row r="822" spans="1:3" x14ac:dyDescent="0.35">
      <c r="A822" s="136">
        <v>44478</v>
      </c>
      <c r="B822" s="120">
        <v>-1.6899999999999998E-2</v>
      </c>
      <c r="C822" s="120">
        <v>1E-3</v>
      </c>
    </row>
    <row r="823" spans="1:3" x14ac:dyDescent="0.35">
      <c r="A823" s="136">
        <v>44448</v>
      </c>
      <c r="B823" s="120">
        <v>2.8E-3</v>
      </c>
      <c r="C823" s="120">
        <v>7.7999999999999996E-3</v>
      </c>
    </row>
    <row r="824" spans="1:3" x14ac:dyDescent="0.35">
      <c r="A824" s="136">
        <v>44417</v>
      </c>
      <c r="B824" s="120">
        <v>4.1999999999999997E-3</v>
      </c>
      <c r="C824" s="120">
        <v>-6.1999999999999998E-3</v>
      </c>
    </row>
    <row r="825" spans="1:3" x14ac:dyDescent="0.35">
      <c r="A825" s="136">
        <v>44386</v>
      </c>
      <c r="B825" s="120">
        <v>-3.4099999999999998E-2</v>
      </c>
      <c r="C825" s="120">
        <v>-3.3E-3</v>
      </c>
    </row>
    <row r="826" spans="1:3" x14ac:dyDescent="0.35">
      <c r="A826" s="136">
        <v>44356</v>
      </c>
      <c r="B826" s="120">
        <v>-2.4E-2</v>
      </c>
      <c r="C826" s="120">
        <v>8.8000000000000005E-3</v>
      </c>
    </row>
    <row r="827" spans="1:3" x14ac:dyDescent="0.35">
      <c r="A827" s="136">
        <v>44205</v>
      </c>
      <c r="B827" s="120">
        <v>1.9E-2</v>
      </c>
      <c r="C827" s="120">
        <v>2.3999999999999998E-3</v>
      </c>
    </row>
    <row r="828" spans="1:3" x14ac:dyDescent="0.35">
      <c r="A828" s="136" t="s">
        <v>818</v>
      </c>
      <c r="B828" s="120">
        <v>1.24E-2</v>
      </c>
      <c r="C828" s="120">
        <v>2.5000000000000001E-3</v>
      </c>
    </row>
    <row r="829" spans="1:3" x14ac:dyDescent="0.35">
      <c r="A829" s="136" t="s">
        <v>819</v>
      </c>
      <c r="B829" s="120">
        <v>-1.2200000000000001E-2</v>
      </c>
      <c r="C829" s="120">
        <v>1.14E-2</v>
      </c>
    </row>
    <row r="830" spans="1:3" x14ac:dyDescent="0.35">
      <c r="A830" s="136" t="s">
        <v>820</v>
      </c>
      <c r="B830" s="120">
        <v>2.7900000000000001E-2</v>
      </c>
      <c r="C830" s="120">
        <v>9.2999999999999992E-3</v>
      </c>
    </row>
    <row r="831" spans="1:3" x14ac:dyDescent="0.35">
      <c r="A831" s="136" t="s">
        <v>821</v>
      </c>
      <c r="B831" s="120">
        <v>5.6099999999999997E-2</v>
      </c>
      <c r="C831" s="120">
        <v>-6.4000000000000003E-3</v>
      </c>
    </row>
    <row r="832" spans="1:3" x14ac:dyDescent="0.35">
      <c r="A832" s="136" t="s">
        <v>822</v>
      </c>
      <c r="B832" s="120">
        <v>-4.24E-2</v>
      </c>
      <c r="C832" s="120">
        <v>8.3000000000000001E-3</v>
      </c>
    </row>
    <row r="833" spans="1:3" x14ac:dyDescent="0.35">
      <c r="A833" s="136" t="s">
        <v>823</v>
      </c>
      <c r="B833" s="120">
        <v>-4.8399999999999999E-2</v>
      </c>
      <c r="C833" s="120">
        <v>-1E-4</v>
      </c>
    </row>
    <row r="834" spans="1:3" x14ac:dyDescent="0.35">
      <c r="A834" s="136" t="s">
        <v>824</v>
      </c>
      <c r="B834" s="120">
        <v>2.9100000000000001E-2</v>
      </c>
      <c r="C834" s="120">
        <v>-2.3E-2</v>
      </c>
    </row>
    <row r="835" spans="1:3" x14ac:dyDescent="0.35">
      <c r="A835" s="136" t="s">
        <v>825</v>
      </c>
      <c r="B835" s="120">
        <v>3.5799999999999998E-2</v>
      </c>
      <c r="C835" s="120">
        <v>-3.3000000000000002E-2</v>
      </c>
    </row>
    <row r="836" spans="1:3" x14ac:dyDescent="0.35">
      <c r="A836" s="136" t="s">
        <v>826</v>
      </c>
      <c r="B836" s="120">
        <v>2.8999999999999998E-3</v>
      </c>
      <c r="C836" s="120">
        <v>1.0200000000000001E-2</v>
      </c>
    </row>
    <row r="837" spans="1:3" x14ac:dyDescent="0.35">
      <c r="A837" s="136" t="s">
        <v>827</v>
      </c>
      <c r="B837" s="120">
        <v>-3.3300000000000003E-2</v>
      </c>
      <c r="C837" s="120">
        <v>-1.6000000000000001E-3</v>
      </c>
    </row>
    <row r="838" spans="1:3" x14ac:dyDescent="0.35">
      <c r="A838" s="136" t="s">
        <v>828</v>
      </c>
      <c r="B838" s="120">
        <v>-1.5100000000000001E-2</v>
      </c>
      <c r="C838" s="120">
        <v>-5.7000000000000002E-3</v>
      </c>
    </row>
    <row r="839" spans="1:3" x14ac:dyDescent="0.35">
      <c r="A839" s="136" t="s">
        <v>829</v>
      </c>
      <c r="B839" s="120">
        <v>5.1799999999999999E-2</v>
      </c>
      <c r="C839" s="120">
        <v>1.03E-2</v>
      </c>
    </row>
    <row r="840" spans="1:3" x14ac:dyDescent="0.35">
      <c r="A840" s="136" t="s">
        <v>830</v>
      </c>
      <c r="B840" s="120">
        <v>6.9199999999999998E-2</v>
      </c>
      <c r="C840" s="120">
        <v>3.0000000000000001E-3</v>
      </c>
    </row>
    <row r="841" spans="1:3" x14ac:dyDescent="0.35">
      <c r="A841" s="136">
        <v>44538</v>
      </c>
      <c r="B841" s="120">
        <v>-6.7400000000000002E-2</v>
      </c>
      <c r="C841" s="120">
        <v>-3.5000000000000001E-3</v>
      </c>
    </row>
    <row r="842" spans="1:3" x14ac:dyDescent="0.35">
      <c r="A842" s="136">
        <v>44508</v>
      </c>
      <c r="B842" s="120">
        <v>6.9000000000000006E-2</v>
      </c>
      <c r="C842" s="120">
        <v>-3.3999999999999998E-3</v>
      </c>
    </row>
    <row r="843" spans="1:3" x14ac:dyDescent="0.35">
      <c r="A843" s="136">
        <v>44477</v>
      </c>
      <c r="B843" s="120">
        <v>5.16E-2</v>
      </c>
      <c r="C843" s="120">
        <v>1.9E-3</v>
      </c>
    </row>
    <row r="844" spans="1:3" x14ac:dyDescent="0.35">
      <c r="A844" s="136">
        <v>44447</v>
      </c>
      <c r="B844" s="120">
        <v>6.8900000000000003E-2</v>
      </c>
      <c r="C844" s="120">
        <v>1.37E-2</v>
      </c>
    </row>
    <row r="845" spans="1:3" x14ac:dyDescent="0.35">
      <c r="A845" s="136">
        <v>44355</v>
      </c>
      <c r="B845" s="120">
        <v>6.8999999999999999E-3</v>
      </c>
      <c r="C845" s="120">
        <v>-3.0000000000000001E-3</v>
      </c>
    </row>
    <row r="846" spans="1:3" x14ac:dyDescent="0.35">
      <c r="A846" s="136">
        <v>44324</v>
      </c>
      <c r="B846" s="120">
        <v>5.8799999999999998E-2</v>
      </c>
      <c r="C846" s="120">
        <v>8.0999999999999996E-3</v>
      </c>
    </row>
    <row r="847" spans="1:3" x14ac:dyDescent="0.35">
      <c r="A847" s="136">
        <v>44294</v>
      </c>
      <c r="B847" s="120">
        <v>1.9E-3</v>
      </c>
      <c r="C847" s="120">
        <v>1.6999999999999999E-3</v>
      </c>
    </row>
    <row r="848" spans="1:3" x14ac:dyDescent="0.35">
      <c r="A848" s="136">
        <v>44263</v>
      </c>
      <c r="B848" s="120">
        <v>2.07E-2</v>
      </c>
      <c r="C848" s="120">
        <v>1.3899999999999999E-2</v>
      </c>
    </row>
    <row r="849" spans="1:3" x14ac:dyDescent="0.35">
      <c r="A849" s="136">
        <v>44235</v>
      </c>
      <c r="B849" s="120">
        <v>4.1099999999999998E-2</v>
      </c>
      <c r="C849" s="120">
        <v>3.2000000000000002E-3</v>
      </c>
    </row>
    <row r="850" spans="1:3" x14ac:dyDescent="0.35">
      <c r="A850" s="136" t="s">
        <v>831</v>
      </c>
      <c r="B850" s="120">
        <v>5.1499999999999997E-2</v>
      </c>
      <c r="C850" s="120">
        <v>1.2699999999999999E-2</v>
      </c>
    </row>
    <row r="851" spans="1:3" x14ac:dyDescent="0.35">
      <c r="A851" s="136" t="s">
        <v>832</v>
      </c>
      <c r="B851" s="120">
        <v>4.2900000000000001E-2</v>
      </c>
      <c r="C851" s="120">
        <v>1.29E-2</v>
      </c>
    </row>
    <row r="852" spans="1:3" x14ac:dyDescent="0.35">
      <c r="A852" s="136" t="s">
        <v>833</v>
      </c>
      <c r="B852" s="120">
        <v>1.2999999999999999E-2</v>
      </c>
      <c r="C852" s="120">
        <v>1E-4</v>
      </c>
    </row>
    <row r="853" spans="1:3" x14ac:dyDescent="0.35">
      <c r="A853" s="136" t="s">
        <v>834</v>
      </c>
      <c r="B853" s="120">
        <v>2.2000000000000001E-3</v>
      </c>
      <c r="C853" s="120">
        <v>3.3E-3</v>
      </c>
    </row>
    <row r="854" spans="1:3" x14ac:dyDescent="0.35">
      <c r="A854" s="136" t="s">
        <v>835</v>
      </c>
      <c r="B854" s="120">
        <v>4.0800000000000003E-2</v>
      </c>
      <c r="C854" s="120">
        <v>3.0999999999999999E-3</v>
      </c>
    </row>
    <row r="855" spans="1:3" x14ac:dyDescent="0.35">
      <c r="A855" s="136" t="s">
        <v>836</v>
      </c>
      <c r="B855" s="120">
        <v>-2.2000000000000001E-3</v>
      </c>
      <c r="C855" s="120">
        <v>-1.9199999999999998E-2</v>
      </c>
    </row>
    <row r="856" spans="1:3" x14ac:dyDescent="0.35">
      <c r="A856" s="136" t="s">
        <v>837</v>
      </c>
      <c r="B856" s="120">
        <v>2.0799999999999999E-2</v>
      </c>
      <c r="C856" s="120">
        <v>1.7999999999999999E-2</v>
      </c>
    </row>
    <row r="857" spans="1:3" x14ac:dyDescent="0.35">
      <c r="A857" s="136" t="s">
        <v>838</v>
      </c>
      <c r="B857" s="120">
        <v>-6.8999999999999999E-3</v>
      </c>
      <c r="C857" s="120">
        <v>-2E-3</v>
      </c>
    </row>
    <row r="858" spans="1:3" x14ac:dyDescent="0.35">
      <c r="A858" s="136" t="s">
        <v>839</v>
      </c>
      <c r="B858" s="120">
        <v>4.8099999999999997E-2</v>
      </c>
      <c r="C858" s="120">
        <v>2.3900000000000001E-2</v>
      </c>
    </row>
    <row r="859" spans="1:3" x14ac:dyDescent="0.35">
      <c r="A859" s="136" t="s">
        <v>840</v>
      </c>
      <c r="B859" s="120">
        <v>-2.35E-2</v>
      </c>
      <c r="C859" s="120">
        <v>-4.2900000000000001E-2</v>
      </c>
    </row>
    <row r="860" spans="1:3" x14ac:dyDescent="0.35">
      <c r="A860" s="136" t="s">
        <v>841</v>
      </c>
      <c r="B860" s="120">
        <v>3.15E-2</v>
      </c>
      <c r="C860" s="120">
        <v>4.1999999999999997E-3</v>
      </c>
    </row>
    <row r="861" spans="1:3" x14ac:dyDescent="0.35">
      <c r="A861" s="136" t="s">
        <v>842</v>
      </c>
      <c r="B861" s="120">
        <v>0.03</v>
      </c>
      <c r="C861" s="120">
        <v>1.09E-2</v>
      </c>
    </row>
    <row r="862" spans="1:3" x14ac:dyDescent="0.35">
      <c r="A862" s="136" t="s">
        <v>843</v>
      </c>
      <c r="B862" s="120">
        <v>-2.4299999999999999E-2</v>
      </c>
      <c r="C862" s="120">
        <v>-1.3599999999999999E-2</v>
      </c>
    </row>
    <row r="863" spans="1:3" x14ac:dyDescent="0.35">
      <c r="A863" s="136" t="s">
        <v>844</v>
      </c>
      <c r="B863" s="120">
        <v>3.7900000000000003E-2</v>
      </c>
      <c r="C863" s="120">
        <v>1E-3</v>
      </c>
    </row>
    <row r="864" spans="1:3" x14ac:dyDescent="0.35">
      <c r="A864" s="136">
        <v>44537</v>
      </c>
      <c r="B864" s="120">
        <v>-2.9399999999999999E-2</v>
      </c>
      <c r="C864" s="120">
        <v>-3.7699999999999997E-2</v>
      </c>
    </row>
    <row r="865" spans="1:3" x14ac:dyDescent="0.35">
      <c r="A865" s="136">
        <v>44446</v>
      </c>
      <c r="B865" s="120">
        <v>-1.6799999999999999E-2</v>
      </c>
      <c r="C865" s="120">
        <v>-0.02</v>
      </c>
    </row>
    <row r="866" spans="1:3" x14ac:dyDescent="0.35">
      <c r="A866" s="136">
        <v>44415</v>
      </c>
      <c r="B866" s="120">
        <v>-3.49E-2</v>
      </c>
      <c r="C866" s="120">
        <v>-0.01</v>
      </c>
    </row>
    <row r="867" spans="1:3" x14ac:dyDescent="0.35">
      <c r="A867" s="136">
        <v>44384</v>
      </c>
      <c r="B867" s="120">
        <v>2.87E-2</v>
      </c>
      <c r="C867" s="120">
        <v>2.4899999999999999E-2</v>
      </c>
    </row>
    <row r="868" spans="1:3" x14ac:dyDescent="0.35">
      <c r="A868" s="136">
        <v>44354</v>
      </c>
      <c r="B868" s="120">
        <v>-6.9000000000000006E-2</v>
      </c>
      <c r="C868" s="120">
        <v>-3.9899999999999998E-2</v>
      </c>
    </row>
    <row r="869" spans="1:3" x14ac:dyDescent="0.35">
      <c r="A869" s="136">
        <v>44323</v>
      </c>
      <c r="B869" s="120">
        <v>-2.18E-2</v>
      </c>
      <c r="C869" s="120">
        <v>-6.4000000000000003E-3</v>
      </c>
    </row>
    <row r="870" spans="1:3" x14ac:dyDescent="0.35">
      <c r="A870" s="136">
        <v>44234</v>
      </c>
      <c r="B870" s="120">
        <v>-6.3E-3</v>
      </c>
      <c r="C870" s="120">
        <v>2.3E-3</v>
      </c>
    </row>
    <row r="871" spans="1:3" x14ac:dyDescent="0.35">
      <c r="A871" s="136">
        <v>44203</v>
      </c>
      <c r="B871" s="120">
        <v>0</v>
      </c>
      <c r="C871" s="120">
        <v>6.1000000000000004E-3</v>
      </c>
    </row>
    <row r="872" spans="1:3" x14ac:dyDescent="0.35">
      <c r="A872" s="136" t="s">
        <v>845</v>
      </c>
      <c r="B872" s="120">
        <v>3.9300000000000002E-2</v>
      </c>
      <c r="C872" s="120">
        <v>-1.1000000000000001E-3</v>
      </c>
    </row>
    <row r="873" spans="1:3" x14ac:dyDescent="0.35">
      <c r="A873" s="136" t="s">
        <v>846</v>
      </c>
      <c r="B873" s="120">
        <v>2.2000000000000001E-3</v>
      </c>
      <c r="C873" s="120">
        <v>3.0000000000000001E-3</v>
      </c>
    </row>
    <row r="874" spans="1:3" x14ac:dyDescent="0.35">
      <c r="A874" s="136" t="s">
        <v>847</v>
      </c>
      <c r="B874" s="120">
        <v>6.6E-3</v>
      </c>
      <c r="C874" s="120">
        <v>1.1299999999999999E-2</v>
      </c>
    </row>
    <row r="875" spans="1:3" x14ac:dyDescent="0.35">
      <c r="A875" s="136" t="s">
        <v>848</v>
      </c>
      <c r="B875" s="120">
        <v>1.7899999999999999E-2</v>
      </c>
      <c r="C875" s="120">
        <v>7.4999999999999997E-3</v>
      </c>
    </row>
    <row r="876" spans="1:3" x14ac:dyDescent="0.35">
      <c r="A876" s="136" t="s">
        <v>849</v>
      </c>
      <c r="B876" s="120">
        <v>-6.7000000000000002E-3</v>
      </c>
      <c r="C876" s="120">
        <v>2.0999999999999999E-3</v>
      </c>
    </row>
    <row r="877" spans="1:3" x14ac:dyDescent="0.35">
      <c r="A877" s="136" t="s">
        <v>850</v>
      </c>
      <c r="B877" s="120">
        <v>-1.5299999999999999E-2</v>
      </c>
      <c r="C877" s="120">
        <v>-2.2000000000000001E-3</v>
      </c>
    </row>
    <row r="878" spans="1:3" x14ac:dyDescent="0.35">
      <c r="A878" s="136" t="s">
        <v>851</v>
      </c>
      <c r="B878" s="120">
        <v>-1.2999999999999999E-2</v>
      </c>
      <c r="C878" s="120">
        <v>5.3E-3</v>
      </c>
    </row>
    <row r="879" spans="1:3" x14ac:dyDescent="0.35">
      <c r="A879" s="136" t="s">
        <v>852</v>
      </c>
      <c r="B879" s="120">
        <v>1.32E-2</v>
      </c>
      <c r="C879" s="120">
        <v>-3.7000000000000002E-3</v>
      </c>
    </row>
    <row r="880" spans="1:3" x14ac:dyDescent="0.35">
      <c r="A880" s="136" t="s">
        <v>853</v>
      </c>
      <c r="B880" s="120">
        <v>5.3100000000000001E-2</v>
      </c>
      <c r="C880" s="120">
        <v>1.3100000000000001E-2</v>
      </c>
    </row>
    <row r="881" spans="1:3" x14ac:dyDescent="0.35">
      <c r="A881" s="136" t="s">
        <v>854</v>
      </c>
      <c r="B881" s="120">
        <v>1.6400000000000001E-2</v>
      </c>
      <c r="C881" s="120">
        <v>2.5000000000000001E-3</v>
      </c>
    </row>
    <row r="882" spans="1:3" x14ac:dyDescent="0.35">
      <c r="A882" s="136" t="s">
        <v>855</v>
      </c>
      <c r="B882" s="120">
        <v>0</v>
      </c>
      <c r="C882" s="120">
        <v>-7.9000000000000008E-3</v>
      </c>
    </row>
    <row r="883" spans="1:3" x14ac:dyDescent="0.35">
      <c r="A883" s="136" t="s">
        <v>856</v>
      </c>
      <c r="B883" s="120">
        <v>-2.3E-3</v>
      </c>
      <c r="C883" s="120">
        <v>4.1000000000000003E-3</v>
      </c>
    </row>
    <row r="884" spans="1:3" x14ac:dyDescent="0.35">
      <c r="A884" s="136" t="s">
        <v>857</v>
      </c>
      <c r="B884" s="120">
        <v>7.0000000000000001E-3</v>
      </c>
      <c r="C884" s="120">
        <v>7.4000000000000003E-3</v>
      </c>
    </row>
    <row r="885" spans="1:3" x14ac:dyDescent="0.35">
      <c r="A885" s="136">
        <v>44506</v>
      </c>
      <c r="B885" s="120">
        <v>-1.3899999999999999E-2</v>
      </c>
      <c r="C885" s="120">
        <v>2.1299999999999999E-2</v>
      </c>
    </row>
    <row r="886" spans="1:3" x14ac:dyDescent="0.35">
      <c r="A886" s="136">
        <v>44475</v>
      </c>
      <c r="B886" s="120">
        <v>6.7000000000000004E-2</v>
      </c>
      <c r="C886" s="120">
        <v>-7.0000000000000001E-3</v>
      </c>
    </row>
    <row r="887" spans="1:3" x14ac:dyDescent="0.35">
      <c r="A887" s="136">
        <v>44445</v>
      </c>
      <c r="B887" s="120">
        <v>-7.4000000000000003E-3</v>
      </c>
      <c r="C887" s="120">
        <v>9.9000000000000008E-3</v>
      </c>
    </row>
    <row r="888" spans="1:3" x14ac:dyDescent="0.35">
      <c r="A888" s="136">
        <v>44414</v>
      </c>
      <c r="B888" s="120">
        <v>3.3099999999999997E-2</v>
      </c>
      <c r="C888" s="120">
        <v>-2.86E-2</v>
      </c>
    </row>
    <row r="889" spans="1:3" x14ac:dyDescent="0.35">
      <c r="A889" s="136">
        <v>44383</v>
      </c>
      <c r="B889" s="120">
        <v>-1.26E-2</v>
      </c>
      <c r="C889" s="120">
        <v>-1.11E-2</v>
      </c>
    </row>
    <row r="890" spans="1:3" x14ac:dyDescent="0.35">
      <c r="A890" s="136">
        <v>44292</v>
      </c>
      <c r="B890" s="120">
        <v>0</v>
      </c>
      <c r="C890" s="120">
        <v>7.1999999999999998E-3</v>
      </c>
    </row>
    <row r="891" spans="1:3" x14ac:dyDescent="0.35">
      <c r="A891" s="136">
        <v>44261</v>
      </c>
      <c r="B891" s="120">
        <v>1.0200000000000001E-2</v>
      </c>
      <c r="C891" s="120">
        <v>1.7500000000000002E-2</v>
      </c>
    </row>
    <row r="892" spans="1:3" x14ac:dyDescent="0.35">
      <c r="A892" s="136">
        <v>44233</v>
      </c>
      <c r="B892" s="120">
        <v>4.7899999999999998E-2</v>
      </c>
      <c r="C892" s="120">
        <v>2.2000000000000001E-3</v>
      </c>
    </row>
    <row r="893" spans="1:3" x14ac:dyDescent="0.35">
      <c r="A893" s="136">
        <v>44202</v>
      </c>
      <c r="B893" s="120">
        <v>-5.3E-3</v>
      </c>
      <c r="C893" s="120">
        <v>7.3000000000000001E-3</v>
      </c>
    </row>
    <row r="894" spans="1:3" x14ac:dyDescent="0.35">
      <c r="A894" s="136" t="s">
        <v>858</v>
      </c>
      <c r="B894" s="120">
        <v>-5.3E-3</v>
      </c>
      <c r="C894" s="120">
        <v>5.7000000000000002E-3</v>
      </c>
    </row>
    <row r="895" spans="1:3" x14ac:dyDescent="0.35">
      <c r="A895" s="136" t="s">
        <v>859</v>
      </c>
      <c r="B895" s="120">
        <v>2.7099999999999999E-2</v>
      </c>
      <c r="C895" s="120">
        <v>1.2999999999999999E-2</v>
      </c>
    </row>
    <row r="896" spans="1:3" x14ac:dyDescent="0.35">
      <c r="A896" s="136" t="s">
        <v>860</v>
      </c>
      <c r="B896" s="120">
        <v>-1.5900000000000001E-2</v>
      </c>
      <c r="C896" s="120">
        <v>-0.01</v>
      </c>
    </row>
    <row r="897" spans="1:3" x14ac:dyDescent="0.35">
      <c r="A897" s="136" t="s">
        <v>861</v>
      </c>
      <c r="B897" s="120">
        <v>-1.06E-2</v>
      </c>
      <c r="C897" s="120">
        <v>6.1999999999999998E-3</v>
      </c>
    </row>
    <row r="898" spans="1:3" x14ac:dyDescent="0.35">
      <c r="A898" s="136" t="s">
        <v>862</v>
      </c>
      <c r="B898" s="120">
        <v>2.7000000000000001E-3</v>
      </c>
      <c r="C898" s="120">
        <v>8.2000000000000007E-3</v>
      </c>
    </row>
    <row r="899" spans="1:3" x14ac:dyDescent="0.35">
      <c r="A899" s="136" t="s">
        <v>863</v>
      </c>
      <c r="B899" s="120">
        <v>2.4299999999999999E-2</v>
      </c>
      <c r="C899" s="120">
        <v>1.09E-2</v>
      </c>
    </row>
    <row r="900" spans="1:3" x14ac:dyDescent="0.35">
      <c r="A900" s="136" t="s">
        <v>864</v>
      </c>
      <c r="B900" s="120">
        <v>1.6500000000000001E-2</v>
      </c>
      <c r="C900" s="120">
        <v>4.4999999999999997E-3</v>
      </c>
    </row>
    <row r="901" spans="1:3" x14ac:dyDescent="0.35">
      <c r="A901" s="136" t="s">
        <v>865</v>
      </c>
      <c r="B901" s="120">
        <v>0</v>
      </c>
      <c r="C901" s="120">
        <v>1.2500000000000001E-2</v>
      </c>
    </row>
    <row r="902" spans="1:3" x14ac:dyDescent="0.35">
      <c r="A902" s="136" t="s">
        <v>866</v>
      </c>
      <c r="B902" s="120">
        <v>-1.89E-2</v>
      </c>
      <c r="C902" s="120">
        <v>7.7999999999999996E-3</v>
      </c>
    </row>
    <row r="903" spans="1:3" x14ac:dyDescent="0.35">
      <c r="A903" s="136" t="s">
        <v>867</v>
      </c>
      <c r="B903" s="120">
        <v>-1.32E-2</v>
      </c>
      <c r="C903" s="120">
        <v>-4.7999999999999996E-3</v>
      </c>
    </row>
    <row r="904" spans="1:3" x14ac:dyDescent="0.35">
      <c r="A904" s="136" t="s">
        <v>868</v>
      </c>
      <c r="B904" s="120">
        <v>-2.8500000000000001E-2</v>
      </c>
      <c r="C904" s="120">
        <v>-6.0000000000000001E-3</v>
      </c>
    </row>
    <row r="905" spans="1:3" x14ac:dyDescent="0.35">
      <c r="A905" s="136" t="s">
        <v>869</v>
      </c>
      <c r="B905" s="120">
        <v>5.74E-2</v>
      </c>
      <c r="C905" s="120">
        <v>3.5000000000000001E-3</v>
      </c>
    </row>
    <row r="906" spans="1:3" x14ac:dyDescent="0.35">
      <c r="A906" s="136" t="s">
        <v>870</v>
      </c>
      <c r="B906" s="120">
        <v>0</v>
      </c>
      <c r="C906" s="120">
        <v>-5.5999999999999999E-3</v>
      </c>
    </row>
    <row r="907" spans="1:3" x14ac:dyDescent="0.35">
      <c r="A907" s="136">
        <v>44535</v>
      </c>
      <c r="B907" s="120">
        <v>-5.4000000000000003E-3</v>
      </c>
      <c r="C907" s="120">
        <v>1.04E-2</v>
      </c>
    </row>
    <row r="908" spans="1:3" x14ac:dyDescent="0.35">
      <c r="A908" s="136">
        <v>44505</v>
      </c>
      <c r="B908" s="120">
        <v>8.2000000000000007E-3</v>
      </c>
      <c r="C908" s="120">
        <v>-2.8E-3</v>
      </c>
    </row>
    <row r="909" spans="1:3" x14ac:dyDescent="0.35">
      <c r="A909" s="136">
        <v>44474</v>
      </c>
      <c r="B909" s="120">
        <v>0</v>
      </c>
      <c r="C909" s="120">
        <v>1.43E-2</v>
      </c>
    </row>
    <row r="910" spans="1:3" x14ac:dyDescent="0.35">
      <c r="A910" s="136">
        <v>44382</v>
      </c>
      <c r="B910" s="120">
        <v>-5.4999999999999997E-3</v>
      </c>
      <c r="C910" s="120">
        <v>-7.0000000000000001E-3</v>
      </c>
    </row>
    <row r="911" spans="1:3" x14ac:dyDescent="0.35">
      <c r="A911" s="136">
        <v>44352</v>
      </c>
      <c r="B911" s="120">
        <v>-2.9100000000000001E-2</v>
      </c>
      <c r="C911" s="120">
        <v>-4.7000000000000002E-3</v>
      </c>
    </row>
    <row r="912" spans="1:3" x14ac:dyDescent="0.35">
      <c r="A912" s="136">
        <v>44321</v>
      </c>
      <c r="B912" s="120">
        <v>1.0699999999999999E-2</v>
      </c>
      <c r="C912" s="120">
        <v>1.15E-2</v>
      </c>
    </row>
    <row r="913" spans="1:3" x14ac:dyDescent="0.35">
      <c r="A913" s="136">
        <v>44291</v>
      </c>
      <c r="B913" s="120">
        <v>-1.84E-2</v>
      </c>
      <c r="C913" s="120">
        <v>2.3E-3</v>
      </c>
    </row>
    <row r="914" spans="1:3" x14ac:dyDescent="0.35">
      <c r="A914" s="136" t="s">
        <v>871</v>
      </c>
      <c r="B914" s="120">
        <v>2.5999999999999999E-3</v>
      </c>
      <c r="C914" s="120">
        <v>8.0000000000000002E-3</v>
      </c>
    </row>
    <row r="915" spans="1:3" x14ac:dyDescent="0.35">
      <c r="A915" s="136" t="s">
        <v>872</v>
      </c>
      <c r="B915" s="120">
        <v>2.1499999999999998E-2</v>
      </c>
      <c r="C915" s="120">
        <v>8.0000000000000002E-3</v>
      </c>
    </row>
    <row r="916" spans="1:3" x14ac:dyDescent="0.35">
      <c r="A916" s="136" t="s">
        <v>873</v>
      </c>
      <c r="B916" s="120">
        <v>0</v>
      </c>
      <c r="C916" s="120">
        <v>3.3E-3</v>
      </c>
    </row>
    <row r="917" spans="1:3" x14ac:dyDescent="0.35">
      <c r="A917" s="136" t="s">
        <v>874</v>
      </c>
      <c r="B917" s="120">
        <v>-1.3299999999999999E-2</v>
      </c>
      <c r="C917" s="120">
        <v>-2.6200000000000001E-2</v>
      </c>
    </row>
    <row r="918" spans="1:3" x14ac:dyDescent="0.35">
      <c r="A918" s="136" t="s">
        <v>875</v>
      </c>
      <c r="B918" s="120">
        <v>8.0000000000000002E-3</v>
      </c>
      <c r="C918" s="120">
        <v>1.6899999999999998E-2</v>
      </c>
    </row>
    <row r="919" spans="1:3" x14ac:dyDescent="0.35">
      <c r="A919" s="136" t="s">
        <v>876</v>
      </c>
      <c r="B919" s="120">
        <v>-2.6100000000000002E-2</v>
      </c>
      <c r="C919" s="120">
        <v>-3.1899999999999998E-2</v>
      </c>
    </row>
    <row r="920" spans="1:3" x14ac:dyDescent="0.35">
      <c r="A920" s="136" t="s">
        <v>877</v>
      </c>
      <c r="B920" s="120">
        <v>1.5900000000000001E-2</v>
      </c>
      <c r="C920" s="120">
        <v>6.1000000000000004E-3</v>
      </c>
    </row>
    <row r="921" spans="1:3" x14ac:dyDescent="0.35">
      <c r="A921" s="136" t="s">
        <v>878</v>
      </c>
      <c r="B921" s="120">
        <v>-5.3E-3</v>
      </c>
      <c r="C921" s="120">
        <v>1.77E-2</v>
      </c>
    </row>
    <row r="922" spans="1:3" x14ac:dyDescent="0.35">
      <c r="A922" s="136" t="s">
        <v>879</v>
      </c>
      <c r="B922" s="120">
        <v>-1.8100000000000002E-2</v>
      </c>
      <c r="C922" s="120">
        <v>-6.7999999999999996E-3</v>
      </c>
    </row>
    <row r="923" spans="1:3" x14ac:dyDescent="0.35">
      <c r="A923" s="136" t="s">
        <v>880</v>
      </c>
      <c r="B923" s="120">
        <v>-2.76E-2</v>
      </c>
      <c r="C923" s="120">
        <v>-6.8999999999999999E-3</v>
      </c>
    </row>
    <row r="924" spans="1:3" x14ac:dyDescent="0.35">
      <c r="A924" s="136" t="s">
        <v>881</v>
      </c>
      <c r="B924" s="120">
        <v>0</v>
      </c>
      <c r="C924" s="120">
        <v>6.0000000000000001E-3</v>
      </c>
    </row>
    <row r="925" spans="1:3" x14ac:dyDescent="0.35">
      <c r="A925" s="136" t="s">
        <v>882</v>
      </c>
      <c r="B925" s="120">
        <v>-2.4500000000000001E-2</v>
      </c>
      <c r="C925" s="120">
        <v>-3.3E-3</v>
      </c>
    </row>
    <row r="926" spans="1:3" x14ac:dyDescent="0.35">
      <c r="A926" s="136">
        <v>44534</v>
      </c>
      <c r="B926" s="120">
        <v>4.8999999999999998E-3</v>
      </c>
      <c r="C926" s="120">
        <v>1.6899999999999998E-2</v>
      </c>
    </row>
    <row r="927" spans="1:3" x14ac:dyDescent="0.35">
      <c r="A927" s="136">
        <v>44443</v>
      </c>
      <c r="B927" s="120">
        <v>-9.7000000000000003E-3</v>
      </c>
      <c r="C927" s="120">
        <v>-2.5999999999999999E-3</v>
      </c>
    </row>
    <row r="928" spans="1:3" x14ac:dyDescent="0.35">
      <c r="A928" s="136">
        <v>44412</v>
      </c>
      <c r="B928" s="120">
        <v>-4.7999999999999996E-3</v>
      </c>
      <c r="C928" s="120">
        <v>-6.0000000000000001E-3</v>
      </c>
    </row>
    <row r="929" spans="1:3" x14ac:dyDescent="0.35">
      <c r="A929" s="136">
        <v>44381</v>
      </c>
      <c r="B929" s="120">
        <v>9.7999999999999997E-3</v>
      </c>
      <c r="C929" s="120">
        <v>2E-3</v>
      </c>
    </row>
    <row r="930" spans="1:3" x14ac:dyDescent="0.35">
      <c r="A930" s="136">
        <v>44351</v>
      </c>
      <c r="B930" s="120">
        <v>9.9000000000000008E-3</v>
      </c>
      <c r="C930" s="120">
        <v>3.2000000000000002E-3</v>
      </c>
    </row>
    <row r="931" spans="1:3" x14ac:dyDescent="0.35">
      <c r="A931" s="136">
        <v>44320</v>
      </c>
      <c r="B931" s="120">
        <v>-7.4000000000000003E-3</v>
      </c>
      <c r="C931" s="120">
        <v>9.4999999999999998E-3</v>
      </c>
    </row>
    <row r="932" spans="1:3" x14ac:dyDescent="0.35">
      <c r="A932" s="136">
        <v>44231</v>
      </c>
      <c r="B932" s="120">
        <v>-9.7000000000000003E-3</v>
      </c>
      <c r="C932" s="120">
        <v>6.8999999999999999E-3</v>
      </c>
    </row>
    <row r="933" spans="1:3" x14ac:dyDescent="0.35">
      <c r="A933" s="136">
        <v>44200</v>
      </c>
      <c r="B933" s="120">
        <v>3.5299999999999998E-2</v>
      </c>
      <c r="C933" s="120">
        <v>2.07E-2</v>
      </c>
    </row>
    <row r="934" spans="1:3" x14ac:dyDescent="0.35">
      <c r="A934" s="136" t="s">
        <v>883</v>
      </c>
      <c r="B934" s="120">
        <v>-6.93E-2</v>
      </c>
      <c r="C934" s="120">
        <v>4.3E-3</v>
      </c>
    </row>
    <row r="935" spans="1:3" x14ac:dyDescent="0.35">
      <c r="A935" s="136" t="s">
        <v>884</v>
      </c>
      <c r="B935" s="120">
        <v>-7.7000000000000002E-3</v>
      </c>
      <c r="C935" s="120">
        <v>9.1000000000000004E-3</v>
      </c>
    </row>
    <row r="936" spans="1:3" x14ac:dyDescent="0.35">
      <c r="A936" s="136" t="s">
        <v>885</v>
      </c>
      <c r="B936" s="120">
        <v>1.04E-2</v>
      </c>
      <c r="C936" s="120">
        <v>1.1599999999999999E-2</v>
      </c>
    </row>
    <row r="937" spans="1:3" x14ac:dyDescent="0.35">
      <c r="A937" s="136" t="s">
        <v>886</v>
      </c>
      <c r="B937" s="120">
        <v>-2.5999999999999999E-3</v>
      </c>
      <c r="C937" s="120">
        <v>-8.0000000000000004E-4</v>
      </c>
    </row>
    <row r="938" spans="1:3" x14ac:dyDescent="0.35">
      <c r="A938" s="136" t="s">
        <v>887</v>
      </c>
      <c r="B938" s="120">
        <v>-2.5999999999999999E-3</v>
      </c>
      <c r="C938" s="120">
        <v>1.1000000000000001E-3</v>
      </c>
    </row>
    <row r="939" spans="1:3" x14ac:dyDescent="0.35">
      <c r="A939" s="136" t="s">
        <v>888</v>
      </c>
      <c r="B939" s="120">
        <v>-1.0200000000000001E-2</v>
      </c>
      <c r="C939" s="120">
        <v>-1.83E-2</v>
      </c>
    </row>
    <row r="940" spans="1:3" x14ac:dyDescent="0.35">
      <c r="A940" s="136" t="s">
        <v>889</v>
      </c>
      <c r="B940" s="120">
        <v>5.1000000000000004E-3</v>
      </c>
      <c r="C940" s="120">
        <v>-9.1999999999999998E-3</v>
      </c>
    </row>
    <row r="941" spans="1:3" x14ac:dyDescent="0.35">
      <c r="A941" s="136" t="s">
        <v>890</v>
      </c>
      <c r="B941" s="120">
        <v>-5.1000000000000004E-3</v>
      </c>
      <c r="C941" s="120">
        <v>2.9999999999999997E-4</v>
      </c>
    </row>
    <row r="942" spans="1:3" x14ac:dyDescent="0.35">
      <c r="A942" s="136" t="s">
        <v>891</v>
      </c>
      <c r="B942" s="120">
        <v>0</v>
      </c>
      <c r="C942" s="120">
        <v>-5.7000000000000002E-3</v>
      </c>
    </row>
    <row r="943" spans="1:3" x14ac:dyDescent="0.35">
      <c r="A943" s="136" t="s">
        <v>892</v>
      </c>
      <c r="B943" s="120">
        <v>-2.5999999999999999E-3</v>
      </c>
      <c r="C943" s="120">
        <v>1.2500000000000001E-2</v>
      </c>
    </row>
    <row r="944" spans="1:3" x14ac:dyDescent="0.35">
      <c r="A944" s="136" t="s">
        <v>893</v>
      </c>
      <c r="B944" s="120">
        <v>5.0799999999999998E-2</v>
      </c>
      <c r="C944" s="120">
        <v>5.1999999999999998E-3</v>
      </c>
    </row>
    <row r="945" spans="1:3" x14ac:dyDescent="0.35">
      <c r="A945" s="136" t="s">
        <v>894</v>
      </c>
      <c r="B945" s="120">
        <v>-5.3E-3</v>
      </c>
      <c r="C945" s="120">
        <v>-3.8999999999999998E-3</v>
      </c>
    </row>
    <row r="946" spans="1:3" x14ac:dyDescent="0.35">
      <c r="A946" s="136" t="s">
        <v>895</v>
      </c>
      <c r="B946" s="120">
        <v>-7.9000000000000008E-3</v>
      </c>
      <c r="C946" s="120">
        <v>2.5000000000000001E-3</v>
      </c>
    </row>
    <row r="947" spans="1:3" x14ac:dyDescent="0.35">
      <c r="A947" s="136">
        <v>44533</v>
      </c>
      <c r="B947" s="120">
        <v>-1.3100000000000001E-2</v>
      </c>
      <c r="C947" s="120">
        <v>-1E-4</v>
      </c>
    </row>
    <row r="948" spans="1:3" x14ac:dyDescent="0.35">
      <c r="A948" s="136">
        <v>44503</v>
      </c>
      <c r="B948" s="120">
        <v>5.3E-3</v>
      </c>
      <c r="C948" s="120">
        <v>0.01</v>
      </c>
    </row>
    <row r="949" spans="1:3" x14ac:dyDescent="0.35">
      <c r="A949" s="136">
        <v>44472</v>
      </c>
      <c r="B949" s="120">
        <v>5.1999999999999998E-3</v>
      </c>
      <c r="C949" s="120">
        <v>7.0000000000000001E-3</v>
      </c>
    </row>
    <row r="950" spans="1:3" x14ac:dyDescent="0.35">
      <c r="A950" s="136">
        <v>44442</v>
      </c>
      <c r="B950" s="120">
        <v>1.0699999999999999E-2</v>
      </c>
      <c r="C950" s="120">
        <v>-5.4000000000000003E-3</v>
      </c>
    </row>
    <row r="951" spans="1:3" x14ac:dyDescent="0.35">
      <c r="A951" s="136">
        <v>44411</v>
      </c>
      <c r="B951" s="120">
        <v>-2.0899999999999998E-2</v>
      </c>
      <c r="C951" s="120">
        <v>-4.0000000000000002E-4</v>
      </c>
    </row>
    <row r="952" spans="1:3" x14ac:dyDescent="0.35">
      <c r="A952" s="136">
        <v>44319</v>
      </c>
      <c r="B952" s="120">
        <v>2.6700000000000002E-2</v>
      </c>
      <c r="C952" s="120">
        <v>1E-4</v>
      </c>
    </row>
    <row r="953" spans="1:3" x14ac:dyDescent="0.35">
      <c r="A953" s="136">
        <v>44289</v>
      </c>
      <c r="B953" s="120">
        <v>1.3599999999999999E-2</v>
      </c>
      <c r="C953" s="120">
        <v>-1.55E-2</v>
      </c>
    </row>
    <row r="954" spans="1:3" x14ac:dyDescent="0.35">
      <c r="A954" s="136">
        <v>44258</v>
      </c>
      <c r="B954" s="120">
        <v>8.2000000000000007E-3</v>
      </c>
      <c r="C954" s="120">
        <v>2.9999999999999997E-4</v>
      </c>
    </row>
    <row r="955" spans="1:3" x14ac:dyDescent="0.35">
      <c r="A955" s="136">
        <v>44230</v>
      </c>
      <c r="B955" s="120">
        <v>4.5699999999999998E-2</v>
      </c>
      <c r="C955" s="120">
        <v>4.0000000000000002E-4</v>
      </c>
    </row>
    <row r="956" spans="1:3" x14ac:dyDescent="0.35">
      <c r="A956" s="136">
        <v>44199</v>
      </c>
      <c r="B956" s="120">
        <v>3.8600000000000002E-2</v>
      </c>
      <c r="C956" s="120">
        <v>1.5100000000000001E-2</v>
      </c>
    </row>
    <row r="957" spans="1:3" x14ac:dyDescent="0.35">
      <c r="A957" s="136" t="s">
        <v>896</v>
      </c>
      <c r="B957" s="120">
        <v>-3.0000000000000001E-3</v>
      </c>
      <c r="C957" s="120">
        <v>2.5999999999999999E-3</v>
      </c>
    </row>
    <row r="958" spans="1:3" x14ac:dyDescent="0.35">
      <c r="A958" s="136" t="s">
        <v>897</v>
      </c>
      <c r="B958" s="120">
        <v>0</v>
      </c>
      <c r="C958" s="120">
        <v>2.8999999999999998E-3</v>
      </c>
    </row>
    <row r="959" spans="1:3" x14ac:dyDescent="0.35">
      <c r="A959" s="136" t="s">
        <v>898</v>
      </c>
      <c r="B959" s="120">
        <v>-2.0299999999999999E-2</v>
      </c>
      <c r="C959" s="120">
        <v>-1.3299999999999999E-2</v>
      </c>
    </row>
    <row r="960" spans="1:3" x14ac:dyDescent="0.35">
      <c r="A960" s="136" t="s">
        <v>899</v>
      </c>
      <c r="B960" s="120">
        <v>-5.7000000000000002E-3</v>
      </c>
      <c r="C960" s="120">
        <v>2.2000000000000001E-3</v>
      </c>
    </row>
    <row r="961" spans="1:3" x14ac:dyDescent="0.35">
      <c r="A961" s="136" t="s">
        <v>900</v>
      </c>
      <c r="B961" s="120">
        <v>-5.7999999999999996E-3</v>
      </c>
      <c r="C961" s="120">
        <v>1.2999999999999999E-3</v>
      </c>
    </row>
    <row r="962" spans="1:3" x14ac:dyDescent="0.35">
      <c r="A962" s="136" t="s">
        <v>901</v>
      </c>
      <c r="B962" s="120">
        <v>2.8999999999999998E-3</v>
      </c>
      <c r="C962" s="120">
        <v>-6.9999999999999999E-4</v>
      </c>
    </row>
    <row r="963" spans="1:3" x14ac:dyDescent="0.35">
      <c r="A963" s="136" t="s">
        <v>902</v>
      </c>
      <c r="B963" s="120">
        <v>6.4299999999999996E-2</v>
      </c>
      <c r="C963" s="120">
        <v>1.61E-2</v>
      </c>
    </row>
    <row r="964" spans="1:3" x14ac:dyDescent="0.35">
      <c r="A964" s="136" t="s">
        <v>903</v>
      </c>
      <c r="B964" s="120">
        <v>2.5000000000000001E-2</v>
      </c>
      <c r="C964" s="120">
        <v>3.6600000000000001E-2</v>
      </c>
    </row>
    <row r="965" spans="1:3" x14ac:dyDescent="0.35">
      <c r="A965" s="136">
        <v>44441</v>
      </c>
      <c r="B965" s="120">
        <v>3.2000000000000002E-3</v>
      </c>
      <c r="C965" s="120">
        <v>2.93E-2</v>
      </c>
    </row>
    <row r="966" spans="1:3" x14ac:dyDescent="0.35">
      <c r="A966" s="136">
        <v>44410</v>
      </c>
      <c r="B966" s="120">
        <v>-2.46E-2</v>
      </c>
      <c r="C966" s="120">
        <v>-3.8800000000000001E-2</v>
      </c>
    </row>
    <row r="967" spans="1:3" x14ac:dyDescent="0.35">
      <c r="A967" s="136">
        <v>44318</v>
      </c>
      <c r="B967" s="120">
        <v>2.1999999999999999E-2</v>
      </c>
      <c r="C967" s="120">
        <v>1.32E-2</v>
      </c>
    </row>
    <row r="968" spans="1:3" x14ac:dyDescent="0.35">
      <c r="A968" s="136">
        <v>44288</v>
      </c>
      <c r="B968" s="120">
        <v>0</v>
      </c>
      <c r="C968" s="120">
        <v>8.0000000000000004E-4</v>
      </c>
    </row>
    <row r="969" spans="1:3" x14ac:dyDescent="0.35">
      <c r="A969" s="136">
        <v>44257</v>
      </c>
      <c r="B969" s="120">
        <v>5.6300000000000003E-2</v>
      </c>
      <c r="C969" s="120">
        <v>3.32E-2</v>
      </c>
    </row>
    <row r="970" spans="1:3" x14ac:dyDescent="0.35">
      <c r="A970" s="136">
        <v>44229</v>
      </c>
      <c r="B970" s="120">
        <v>-1.3100000000000001E-2</v>
      </c>
      <c r="C970" s="120">
        <v>3.8600000000000002E-2</v>
      </c>
    </row>
    <row r="971" spans="1:3" x14ac:dyDescent="0.35">
      <c r="A971" s="136">
        <v>44198</v>
      </c>
      <c r="B971" s="120">
        <v>-3.4700000000000002E-2</v>
      </c>
      <c r="C971" s="120">
        <v>-0.02</v>
      </c>
    </row>
    <row r="972" spans="1:3" x14ac:dyDescent="0.35">
      <c r="A972" s="136" t="s">
        <v>904</v>
      </c>
      <c r="B972" s="120">
        <v>2.5899999999999999E-2</v>
      </c>
      <c r="C972" s="120">
        <v>3.1899999999999998E-2</v>
      </c>
    </row>
    <row r="973" spans="1:3" x14ac:dyDescent="0.35">
      <c r="A973" s="136" t="s">
        <v>905</v>
      </c>
      <c r="B973" s="120">
        <v>-6.93E-2</v>
      </c>
      <c r="C973" s="120">
        <v>-6.6699999999999995E-2</v>
      </c>
    </row>
    <row r="974" spans="1:3" x14ac:dyDescent="0.35">
      <c r="A974" s="136" t="s">
        <v>906</v>
      </c>
      <c r="B974" s="120">
        <v>-5.6800000000000003E-2</v>
      </c>
      <c r="C974" s="120">
        <v>-3.4299999999999997E-2</v>
      </c>
    </row>
    <row r="975" spans="1:3" x14ac:dyDescent="0.35">
      <c r="A975" s="136" t="s">
        <v>907</v>
      </c>
      <c r="B975" s="120">
        <v>-4.8599999999999997E-2</v>
      </c>
      <c r="C975" s="120">
        <v>-2.5700000000000001E-2</v>
      </c>
    </row>
    <row r="976" spans="1:3" x14ac:dyDescent="0.35">
      <c r="A976" s="136" t="s">
        <v>908</v>
      </c>
      <c r="B976" s="120">
        <v>0</v>
      </c>
      <c r="C976" s="120">
        <v>-5.9999999999999995E-4</v>
      </c>
    </row>
    <row r="977" spans="1:3" x14ac:dyDescent="0.35">
      <c r="A977" s="136" t="s">
        <v>909</v>
      </c>
      <c r="B977" s="120">
        <v>-2.5999999999999999E-3</v>
      </c>
      <c r="C977" s="120">
        <v>2.2000000000000001E-3</v>
      </c>
    </row>
    <row r="978" spans="1:3" x14ac:dyDescent="0.35">
      <c r="A978" s="136" t="s">
        <v>910</v>
      </c>
      <c r="B978" s="120">
        <v>2.6599999999999999E-2</v>
      </c>
      <c r="C978" s="120">
        <v>2.5999999999999999E-2</v>
      </c>
    </row>
    <row r="979" spans="1:3" x14ac:dyDescent="0.35">
      <c r="A979" s="136" t="s">
        <v>911</v>
      </c>
      <c r="B979" s="120">
        <v>2.7000000000000001E-3</v>
      </c>
      <c r="C979" s="120">
        <v>3.3E-3</v>
      </c>
    </row>
    <row r="980" spans="1:3" x14ac:dyDescent="0.35">
      <c r="A980" s="136" t="s">
        <v>912</v>
      </c>
      <c r="B980" s="120">
        <v>-6.9699999999999998E-2</v>
      </c>
      <c r="C980" s="120">
        <v>-5.11E-2</v>
      </c>
    </row>
    <row r="981" spans="1:3" x14ac:dyDescent="0.35">
      <c r="A981" s="136" t="s">
        <v>913</v>
      </c>
      <c r="B981" s="120">
        <v>2.29E-2</v>
      </c>
      <c r="C981" s="120">
        <v>-1.9E-3</v>
      </c>
    </row>
    <row r="982" spans="1:3" x14ac:dyDescent="0.35">
      <c r="A982" s="136" t="s">
        <v>914</v>
      </c>
      <c r="B982" s="120">
        <v>2.5000000000000001E-3</v>
      </c>
      <c r="C982" s="120">
        <v>5.7000000000000002E-3</v>
      </c>
    </row>
    <row r="983" spans="1:3" x14ac:dyDescent="0.35">
      <c r="A983" s="136" t="s">
        <v>915</v>
      </c>
      <c r="B983" s="120">
        <v>5.1999999999999998E-3</v>
      </c>
      <c r="C983" s="120">
        <v>1.1000000000000001E-3</v>
      </c>
    </row>
    <row r="984" spans="1:3" x14ac:dyDescent="0.35">
      <c r="A984" s="136" t="s">
        <v>916</v>
      </c>
      <c r="B984" s="120">
        <v>0</v>
      </c>
      <c r="C984" s="120">
        <v>-5.1999999999999998E-3</v>
      </c>
    </row>
    <row r="985" spans="1:3" x14ac:dyDescent="0.35">
      <c r="A985" s="136">
        <v>44531</v>
      </c>
      <c r="B985" s="120">
        <v>0</v>
      </c>
      <c r="C985" s="120">
        <v>6.1999999999999998E-3</v>
      </c>
    </row>
    <row r="986" spans="1:3" x14ac:dyDescent="0.35">
      <c r="A986" s="136">
        <v>44501</v>
      </c>
      <c r="B986" s="120">
        <v>1.03E-2</v>
      </c>
      <c r="C986" s="120">
        <v>1.47E-2</v>
      </c>
    </row>
    <row r="987" spans="1:3" x14ac:dyDescent="0.35">
      <c r="A987" s="136">
        <v>44409</v>
      </c>
      <c r="B987" s="120">
        <v>1.0500000000000001E-2</v>
      </c>
      <c r="C987" s="120">
        <v>9.7000000000000003E-3</v>
      </c>
    </row>
    <row r="988" spans="1:3" x14ac:dyDescent="0.35">
      <c r="A988" s="136">
        <v>44378</v>
      </c>
      <c r="B988" s="120">
        <v>1.32E-2</v>
      </c>
      <c r="C988" s="120">
        <v>1.1599999999999999E-2</v>
      </c>
    </row>
    <row r="989" spans="1:3" x14ac:dyDescent="0.35">
      <c r="A989" s="136">
        <v>44348</v>
      </c>
      <c r="B989" s="120">
        <v>-1.0500000000000001E-2</v>
      </c>
      <c r="C989" s="120">
        <v>9.4000000000000004E-3</v>
      </c>
    </row>
    <row r="990" spans="1:3" x14ac:dyDescent="0.35">
      <c r="A990" s="136">
        <v>44317</v>
      </c>
      <c r="B990" s="120">
        <v>-7.7999999999999996E-3</v>
      </c>
      <c r="C990" s="120">
        <v>1.0800000000000001E-2</v>
      </c>
    </row>
    <row r="991" spans="1:3" x14ac:dyDescent="0.35">
      <c r="A991" s="136">
        <v>44287</v>
      </c>
      <c r="B991" s="120">
        <v>2.12E-2</v>
      </c>
      <c r="C991" s="120">
        <v>1.4999999999999999E-2</v>
      </c>
    </row>
    <row r="992" spans="1:3" x14ac:dyDescent="0.35">
      <c r="A992" s="136" t="s">
        <v>917</v>
      </c>
      <c r="B992" s="120">
        <v>5.4000000000000003E-3</v>
      </c>
      <c r="C992" s="120">
        <v>5.7999999999999996E-3</v>
      </c>
    </row>
    <row r="993" spans="1:3" x14ac:dyDescent="0.35">
      <c r="A993" s="136" t="s">
        <v>918</v>
      </c>
      <c r="B993" s="120">
        <v>0</v>
      </c>
      <c r="C993" s="120">
        <v>-1.8E-3</v>
      </c>
    </row>
    <row r="994" spans="1:3" x14ac:dyDescent="0.35">
      <c r="A994" s="136" t="s">
        <v>919</v>
      </c>
      <c r="B994" s="120">
        <v>0</v>
      </c>
      <c r="C994" s="120">
        <v>7.4999999999999997E-3</v>
      </c>
    </row>
    <row r="995" spans="1:3" x14ac:dyDescent="0.35">
      <c r="A995" s="136" t="s">
        <v>920</v>
      </c>
      <c r="B995" s="120">
        <v>0</v>
      </c>
      <c r="C995" s="120">
        <v>6.4000000000000003E-3</v>
      </c>
    </row>
    <row r="996" spans="1:3" x14ac:dyDescent="0.35">
      <c r="A996" s="136" t="s">
        <v>921</v>
      </c>
      <c r="B996" s="120">
        <v>1.35E-2</v>
      </c>
      <c r="C996" s="120">
        <v>1.5800000000000002E-2</v>
      </c>
    </row>
    <row r="997" spans="1:3" x14ac:dyDescent="0.35">
      <c r="A997" s="136" t="s">
        <v>922</v>
      </c>
      <c r="B997" s="120">
        <v>-1.6E-2</v>
      </c>
      <c r="C997" s="120">
        <v>-1.0500000000000001E-2</v>
      </c>
    </row>
    <row r="998" spans="1:3" x14ac:dyDescent="0.35">
      <c r="A998" s="136" t="s">
        <v>923</v>
      </c>
      <c r="B998" s="120">
        <v>-4.0899999999999999E-2</v>
      </c>
      <c r="C998" s="120">
        <v>-4.1999999999999997E-3</v>
      </c>
    </row>
    <row r="999" spans="1:3" x14ac:dyDescent="0.35">
      <c r="A999" s="136" t="s">
        <v>924</v>
      </c>
      <c r="B999" s="120">
        <v>6.83E-2</v>
      </c>
      <c r="C999" s="120">
        <v>2.2000000000000001E-3</v>
      </c>
    </row>
    <row r="1000" spans="1:3" x14ac:dyDescent="0.35">
      <c r="A1000" s="136" t="s">
        <v>925</v>
      </c>
      <c r="B1000" s="120">
        <v>1.66E-2</v>
      </c>
      <c r="C1000" s="120">
        <v>1.2800000000000001E-2</v>
      </c>
    </row>
    <row r="1001" spans="1:3" x14ac:dyDescent="0.35">
      <c r="A1001" s="136" t="s">
        <v>926</v>
      </c>
      <c r="B1001" s="120">
        <v>1.1299999999999999E-2</v>
      </c>
      <c r="C1001" s="120">
        <v>1.49E-2</v>
      </c>
    </row>
    <row r="1002" spans="1:3" x14ac:dyDescent="0.35">
      <c r="A1002" s="136" t="s">
        <v>927</v>
      </c>
      <c r="B1002" s="120">
        <v>-1.12E-2</v>
      </c>
      <c r="C1002" s="120">
        <v>-1.43E-2</v>
      </c>
    </row>
    <row r="1003" spans="1:3" x14ac:dyDescent="0.35">
      <c r="A1003" s="136" t="s">
        <v>928</v>
      </c>
      <c r="B1003" s="120">
        <v>0</v>
      </c>
      <c r="C1003" s="120">
        <v>1.11E-2</v>
      </c>
    </row>
    <row r="1004" spans="1:3" x14ac:dyDescent="0.35">
      <c r="A1004" s="136" t="s">
        <v>929</v>
      </c>
      <c r="B1004" s="120">
        <v>8.5000000000000006E-3</v>
      </c>
      <c r="C1004" s="120">
        <v>-8.3000000000000001E-3</v>
      </c>
    </row>
    <row r="1005" spans="1:3" x14ac:dyDescent="0.35">
      <c r="A1005" s="136" t="s">
        <v>930</v>
      </c>
      <c r="B1005" s="120">
        <v>0</v>
      </c>
      <c r="C1005" s="120">
        <v>1.7299999999999999E-2</v>
      </c>
    </row>
    <row r="1006" spans="1:3" x14ac:dyDescent="0.35">
      <c r="A1006" s="136">
        <v>44147</v>
      </c>
      <c r="B1006" s="120">
        <v>5.5999999999999999E-3</v>
      </c>
      <c r="C1006" s="120">
        <v>1.46E-2</v>
      </c>
    </row>
    <row r="1007" spans="1:3" x14ac:dyDescent="0.35">
      <c r="A1007" s="136">
        <v>44116</v>
      </c>
      <c r="B1007" s="120">
        <v>-1.12E-2</v>
      </c>
      <c r="C1007" s="120">
        <v>-7.9000000000000008E-3</v>
      </c>
    </row>
    <row r="1008" spans="1:3" x14ac:dyDescent="0.35">
      <c r="A1008" s="136">
        <v>44086</v>
      </c>
      <c r="B1008" s="120">
        <v>-1.0999999999999999E-2</v>
      </c>
      <c r="C1008" s="120">
        <v>9.5999999999999992E-3</v>
      </c>
    </row>
    <row r="1009" spans="1:3" x14ac:dyDescent="0.35">
      <c r="A1009" s="136">
        <v>44055</v>
      </c>
      <c r="B1009" s="120">
        <v>4.6100000000000002E-2</v>
      </c>
      <c r="C1009" s="120">
        <v>-6.9999999999999999E-4</v>
      </c>
    </row>
    <row r="1010" spans="1:3" x14ac:dyDescent="0.35">
      <c r="A1010" s="136">
        <v>44024</v>
      </c>
      <c r="B1010" s="120">
        <v>5.7999999999999996E-3</v>
      </c>
      <c r="C1010" s="120">
        <v>8.3000000000000001E-3</v>
      </c>
    </row>
    <row r="1011" spans="1:3" x14ac:dyDescent="0.35">
      <c r="A1011" s="136">
        <v>43933</v>
      </c>
      <c r="B1011" s="120">
        <v>-2.8999999999999998E-3</v>
      </c>
      <c r="C1011" s="120">
        <v>1.6999999999999999E-3</v>
      </c>
    </row>
    <row r="1012" spans="1:3" x14ac:dyDescent="0.35">
      <c r="A1012" s="136">
        <v>43902</v>
      </c>
      <c r="B1012" s="120">
        <v>5.7999999999999996E-3</v>
      </c>
      <c r="C1012" s="120">
        <v>5.4000000000000003E-3</v>
      </c>
    </row>
    <row r="1013" spans="1:3" x14ac:dyDescent="0.35">
      <c r="A1013" s="136">
        <v>43873</v>
      </c>
      <c r="B1013" s="120">
        <v>2.8999999999999998E-3</v>
      </c>
      <c r="C1013" s="120">
        <v>5.4000000000000003E-3</v>
      </c>
    </row>
    <row r="1014" spans="1:3" x14ac:dyDescent="0.35">
      <c r="A1014" s="136">
        <v>43842</v>
      </c>
      <c r="B1014" s="120">
        <v>0</v>
      </c>
      <c r="C1014" s="120">
        <v>5.7999999999999996E-3</v>
      </c>
    </row>
    <row r="1015" spans="1:3" x14ac:dyDescent="0.35">
      <c r="A1015" s="136" t="s">
        <v>931</v>
      </c>
      <c r="B1015" s="120">
        <v>-1.43E-2</v>
      </c>
      <c r="C1015" s="120">
        <v>-7.1000000000000004E-3</v>
      </c>
    </row>
    <row r="1016" spans="1:3" x14ac:dyDescent="0.35">
      <c r="A1016" s="136" t="s">
        <v>932</v>
      </c>
      <c r="B1016" s="120">
        <v>5.7999999999999996E-3</v>
      </c>
      <c r="C1016" s="120">
        <v>4.1999999999999997E-3</v>
      </c>
    </row>
    <row r="1017" spans="1:3" x14ac:dyDescent="0.35">
      <c r="A1017" s="136" t="s">
        <v>933</v>
      </c>
      <c r="B1017" s="120">
        <v>-5.7000000000000002E-3</v>
      </c>
      <c r="C1017" s="120">
        <v>6.0000000000000001E-3</v>
      </c>
    </row>
    <row r="1018" spans="1:3" x14ac:dyDescent="0.35">
      <c r="A1018" s="136" t="s">
        <v>934</v>
      </c>
      <c r="B1018" s="120">
        <v>-1.6899999999999998E-2</v>
      </c>
      <c r="C1018" s="120">
        <v>4.1999999999999997E-3</v>
      </c>
    </row>
    <row r="1019" spans="1:3" x14ac:dyDescent="0.35">
      <c r="A1019" s="136" t="s">
        <v>935</v>
      </c>
      <c r="B1019" s="120">
        <v>3.2000000000000001E-2</v>
      </c>
      <c r="C1019" s="120">
        <v>1.6000000000000001E-3</v>
      </c>
    </row>
    <row r="1020" spans="1:3" x14ac:dyDescent="0.35">
      <c r="A1020" s="136" t="s">
        <v>936</v>
      </c>
      <c r="B1020" s="120">
        <v>-2.8999999999999998E-3</v>
      </c>
      <c r="C1020" s="120">
        <v>4.1999999999999997E-3</v>
      </c>
    </row>
    <row r="1021" spans="1:3" x14ac:dyDescent="0.35">
      <c r="A1021" s="136" t="s">
        <v>937</v>
      </c>
      <c r="B1021" s="120">
        <v>-5.7999999999999996E-3</v>
      </c>
      <c r="C1021" s="120">
        <v>6.8999999999999999E-3</v>
      </c>
    </row>
    <row r="1022" spans="1:3" x14ac:dyDescent="0.35">
      <c r="A1022" s="136" t="s">
        <v>938</v>
      </c>
      <c r="B1022" s="120">
        <v>-2.8999999999999998E-3</v>
      </c>
      <c r="C1022" s="120">
        <v>0.01</v>
      </c>
    </row>
    <row r="1023" spans="1:3" x14ac:dyDescent="0.35">
      <c r="A1023" s="136" t="s">
        <v>939</v>
      </c>
      <c r="B1023" s="120">
        <v>-1.4200000000000001E-2</v>
      </c>
      <c r="C1023" s="120">
        <v>4.7999999999999996E-3</v>
      </c>
    </row>
    <row r="1024" spans="1:3" x14ac:dyDescent="0.35">
      <c r="A1024" s="136" t="s">
        <v>940</v>
      </c>
      <c r="B1024" s="120">
        <v>5.7000000000000002E-3</v>
      </c>
      <c r="C1024" s="120">
        <v>1.9E-2</v>
      </c>
    </row>
    <row r="1025" spans="1:3" x14ac:dyDescent="0.35">
      <c r="A1025" s="136" t="s">
        <v>941</v>
      </c>
      <c r="B1025" s="120">
        <v>-1.6799999999999999E-2</v>
      </c>
      <c r="C1025" s="120">
        <v>-1.6E-2</v>
      </c>
    </row>
    <row r="1026" spans="1:3" x14ac:dyDescent="0.35">
      <c r="A1026" s="136" t="s">
        <v>942</v>
      </c>
      <c r="B1026" s="120">
        <v>8.5000000000000006E-3</v>
      </c>
      <c r="C1026" s="120">
        <v>7.3000000000000001E-3</v>
      </c>
    </row>
    <row r="1027" spans="1:3" x14ac:dyDescent="0.35">
      <c r="A1027" s="136">
        <v>44176</v>
      </c>
      <c r="B1027" s="120">
        <v>1.43E-2</v>
      </c>
      <c r="C1027" s="120">
        <v>7.4000000000000003E-3</v>
      </c>
    </row>
    <row r="1028" spans="1:3" x14ac:dyDescent="0.35">
      <c r="A1028" s="136">
        <v>44146</v>
      </c>
      <c r="B1028" s="120">
        <v>-2.8999999999999998E-3</v>
      </c>
      <c r="C1028" s="120">
        <v>2.9999999999999997E-4</v>
      </c>
    </row>
    <row r="1029" spans="1:3" x14ac:dyDescent="0.35">
      <c r="A1029" s="136">
        <v>44115</v>
      </c>
      <c r="B1029" s="120">
        <v>-1.6899999999999998E-2</v>
      </c>
      <c r="C1029" s="120">
        <v>-1E-4</v>
      </c>
    </row>
    <row r="1030" spans="1:3" x14ac:dyDescent="0.35">
      <c r="A1030" s="136">
        <v>44085</v>
      </c>
      <c r="B1030" s="120">
        <v>3.49E-2</v>
      </c>
      <c r="C1030" s="120">
        <v>1.46E-2</v>
      </c>
    </row>
    <row r="1031" spans="1:3" x14ac:dyDescent="0.35">
      <c r="A1031" s="136">
        <v>43993</v>
      </c>
      <c r="B1031" s="120">
        <v>3.0000000000000001E-3</v>
      </c>
      <c r="C1031" s="120">
        <v>5.9999999999999995E-4</v>
      </c>
    </row>
    <row r="1032" spans="1:3" x14ac:dyDescent="0.35">
      <c r="A1032" s="136">
        <v>43962</v>
      </c>
      <c r="B1032" s="120">
        <v>5.8999999999999999E-3</v>
      </c>
      <c r="C1032" s="120">
        <v>-2.0999999999999999E-3</v>
      </c>
    </row>
    <row r="1033" spans="1:3" x14ac:dyDescent="0.35">
      <c r="A1033" s="136">
        <v>43932</v>
      </c>
      <c r="B1033" s="120">
        <v>0</v>
      </c>
      <c r="C1033" s="120">
        <v>4.7000000000000002E-3</v>
      </c>
    </row>
    <row r="1034" spans="1:3" x14ac:dyDescent="0.35">
      <c r="A1034" s="136">
        <v>43901</v>
      </c>
      <c r="B1034" s="120">
        <v>-8.8000000000000005E-3</v>
      </c>
      <c r="C1034" s="120">
        <v>1.9E-3</v>
      </c>
    </row>
    <row r="1035" spans="1:3" x14ac:dyDescent="0.35">
      <c r="A1035" s="136">
        <v>43872</v>
      </c>
      <c r="B1035" s="120">
        <v>5.5399999999999998E-2</v>
      </c>
      <c r="C1035" s="120">
        <v>8.8999999999999999E-3</v>
      </c>
    </row>
    <row r="1036" spans="1:3" x14ac:dyDescent="0.35">
      <c r="A1036" s="136" t="s">
        <v>943</v>
      </c>
      <c r="B1036" s="120">
        <v>2.1999999999999999E-2</v>
      </c>
      <c r="C1036" s="120">
        <v>7.0000000000000001E-3</v>
      </c>
    </row>
    <row r="1037" spans="1:3" x14ac:dyDescent="0.35">
      <c r="A1037" s="136" t="s">
        <v>944</v>
      </c>
      <c r="B1037" s="120">
        <v>-6.1999999999999998E-3</v>
      </c>
      <c r="C1037" s="120">
        <v>-2.0999999999999999E-3</v>
      </c>
    </row>
    <row r="1038" spans="1:3" x14ac:dyDescent="0.35">
      <c r="A1038" s="136" t="s">
        <v>945</v>
      </c>
      <c r="B1038" s="120">
        <v>-4.7600000000000003E-2</v>
      </c>
      <c r="C1038" s="120">
        <v>-2.69E-2</v>
      </c>
    </row>
    <row r="1039" spans="1:3" x14ac:dyDescent="0.35">
      <c r="A1039" s="136" t="s">
        <v>946</v>
      </c>
      <c r="B1039" s="120">
        <v>-8.8000000000000005E-3</v>
      </c>
      <c r="C1039" s="120">
        <v>-4.5999999999999999E-3</v>
      </c>
    </row>
    <row r="1040" spans="1:3" x14ac:dyDescent="0.35">
      <c r="A1040" s="136" t="s">
        <v>947</v>
      </c>
      <c r="B1040" s="120">
        <v>-1.46E-2</v>
      </c>
      <c r="C1040" s="120">
        <v>-1.09E-2</v>
      </c>
    </row>
    <row r="1041" spans="1:3" x14ac:dyDescent="0.35">
      <c r="A1041" s="136" t="s">
        <v>948</v>
      </c>
      <c r="B1041" s="120">
        <v>1.4800000000000001E-2</v>
      </c>
      <c r="C1041" s="120">
        <v>1.2E-2</v>
      </c>
    </row>
    <row r="1042" spans="1:3" x14ac:dyDescent="0.35">
      <c r="A1042" s="136" t="s">
        <v>949</v>
      </c>
      <c r="B1042" s="120">
        <v>0</v>
      </c>
      <c r="C1042" s="120">
        <v>1.1599999999999999E-2</v>
      </c>
    </row>
    <row r="1043" spans="1:3" x14ac:dyDescent="0.35">
      <c r="A1043" s="136" t="s">
        <v>950</v>
      </c>
      <c r="B1043" s="120">
        <v>-8.8000000000000005E-3</v>
      </c>
      <c r="C1043" s="120">
        <v>-5.7000000000000002E-3</v>
      </c>
    </row>
    <row r="1044" spans="1:3" x14ac:dyDescent="0.35">
      <c r="A1044" s="136" t="s">
        <v>951</v>
      </c>
      <c r="B1044" s="120">
        <v>1.4800000000000001E-2</v>
      </c>
      <c r="C1044" s="120">
        <v>8.0000000000000004E-4</v>
      </c>
    </row>
    <row r="1045" spans="1:3" x14ac:dyDescent="0.35">
      <c r="A1045" s="136" t="s">
        <v>952</v>
      </c>
      <c r="B1045" s="120">
        <v>-8.8000000000000005E-3</v>
      </c>
      <c r="C1045" s="120">
        <v>4.0000000000000002E-4</v>
      </c>
    </row>
    <row r="1046" spans="1:3" x14ac:dyDescent="0.35">
      <c r="A1046" s="136" t="s">
        <v>953</v>
      </c>
      <c r="B1046" s="120">
        <v>-5.7999999999999996E-3</v>
      </c>
      <c r="C1046" s="120">
        <v>5.9999999999999995E-4</v>
      </c>
    </row>
    <row r="1047" spans="1:3" x14ac:dyDescent="0.35">
      <c r="A1047" s="136" t="s">
        <v>954</v>
      </c>
      <c r="B1047" s="120">
        <v>1.4800000000000001E-2</v>
      </c>
      <c r="C1047" s="120">
        <v>2.7000000000000001E-3</v>
      </c>
    </row>
    <row r="1048" spans="1:3" x14ac:dyDescent="0.35">
      <c r="A1048" s="136" t="s">
        <v>955</v>
      </c>
      <c r="B1048" s="120">
        <v>-1.46E-2</v>
      </c>
      <c r="C1048" s="120">
        <v>1.11E-2</v>
      </c>
    </row>
    <row r="1049" spans="1:3" x14ac:dyDescent="0.35">
      <c r="A1049" s="136" t="s">
        <v>956</v>
      </c>
      <c r="B1049" s="120">
        <v>-5.8999999999999999E-3</v>
      </c>
      <c r="C1049" s="120">
        <v>4.4000000000000003E-3</v>
      </c>
    </row>
    <row r="1050" spans="1:3" x14ac:dyDescent="0.35">
      <c r="A1050" s="136">
        <v>44175</v>
      </c>
      <c r="B1050" s="120">
        <v>-1.15E-2</v>
      </c>
      <c r="C1050" s="120">
        <v>2E-3</v>
      </c>
    </row>
    <row r="1051" spans="1:3" x14ac:dyDescent="0.35">
      <c r="A1051" s="136">
        <v>44084</v>
      </c>
      <c r="B1051" s="120">
        <v>-1.1299999999999999E-2</v>
      </c>
      <c r="C1051" s="120">
        <v>5.5999999999999999E-3</v>
      </c>
    </row>
    <row r="1052" spans="1:3" x14ac:dyDescent="0.35">
      <c r="A1052" s="136">
        <v>44053</v>
      </c>
      <c r="B1052" s="120">
        <v>3.2300000000000002E-2</v>
      </c>
      <c r="C1052" s="120">
        <v>-1E-3</v>
      </c>
    </row>
    <row r="1053" spans="1:3" x14ac:dyDescent="0.35">
      <c r="A1053" s="136">
        <v>44022</v>
      </c>
      <c r="B1053" s="120">
        <v>-5.8999999999999999E-3</v>
      </c>
      <c r="C1053" s="120">
        <v>4.4000000000000003E-3</v>
      </c>
    </row>
    <row r="1054" spans="1:3" x14ac:dyDescent="0.35">
      <c r="A1054" s="136">
        <v>43992</v>
      </c>
      <c r="B1054" s="120">
        <v>-8.6999999999999994E-3</v>
      </c>
      <c r="C1054" s="120">
        <v>1.1000000000000001E-3</v>
      </c>
    </row>
    <row r="1055" spans="1:3" x14ac:dyDescent="0.35">
      <c r="A1055" s="136">
        <v>43961</v>
      </c>
      <c r="B1055" s="120">
        <v>2.8999999999999998E-3</v>
      </c>
      <c r="C1055" s="120">
        <v>5.1999999999999998E-3</v>
      </c>
    </row>
    <row r="1056" spans="1:3" x14ac:dyDescent="0.35">
      <c r="A1056" s="136">
        <v>43871</v>
      </c>
      <c r="B1056" s="120">
        <v>-3.09E-2</v>
      </c>
      <c r="C1056" s="120">
        <v>-4.5999999999999999E-3</v>
      </c>
    </row>
    <row r="1057" spans="1:3" x14ac:dyDescent="0.35">
      <c r="A1057" s="136">
        <v>43840</v>
      </c>
      <c r="B1057" s="120">
        <v>0</v>
      </c>
      <c r="C1057" s="120">
        <v>9.7999999999999997E-3</v>
      </c>
    </row>
    <row r="1058" spans="1:3" x14ac:dyDescent="0.35">
      <c r="A1058" s="136" t="s">
        <v>957</v>
      </c>
      <c r="B1058" s="120">
        <v>3.1800000000000002E-2</v>
      </c>
      <c r="C1058" s="120">
        <v>1.4E-3</v>
      </c>
    </row>
    <row r="1059" spans="1:3" x14ac:dyDescent="0.35">
      <c r="A1059" s="136" t="s">
        <v>958</v>
      </c>
      <c r="B1059" s="120">
        <v>-1.9900000000000001E-2</v>
      </c>
      <c r="C1059" s="120">
        <v>-9.2999999999999992E-3</v>
      </c>
    </row>
    <row r="1060" spans="1:3" x14ac:dyDescent="0.35">
      <c r="A1060" s="136" t="s">
        <v>959</v>
      </c>
      <c r="B1060" s="120">
        <v>5.0700000000000002E-2</v>
      </c>
      <c r="C1060" s="120">
        <v>4.7000000000000002E-3</v>
      </c>
    </row>
    <row r="1061" spans="1:3" x14ac:dyDescent="0.35">
      <c r="A1061" s="136" t="s">
        <v>960</v>
      </c>
      <c r="B1061" s="120">
        <v>0</v>
      </c>
      <c r="C1061" s="120">
        <v>-2.9999999999999997E-4</v>
      </c>
    </row>
    <row r="1062" spans="1:3" x14ac:dyDescent="0.35">
      <c r="A1062" s="136" t="s">
        <v>961</v>
      </c>
      <c r="B1062" s="120">
        <v>6.0000000000000001E-3</v>
      </c>
      <c r="C1062" s="120">
        <v>-4.3E-3</v>
      </c>
    </row>
    <row r="1063" spans="1:3" x14ac:dyDescent="0.35">
      <c r="A1063" s="136" t="s">
        <v>962</v>
      </c>
      <c r="B1063" s="120">
        <v>3.0000000000000001E-3</v>
      </c>
      <c r="C1063" s="120">
        <v>7.0000000000000001E-3</v>
      </c>
    </row>
    <row r="1064" spans="1:3" x14ac:dyDescent="0.35">
      <c r="A1064" s="136" t="s">
        <v>963</v>
      </c>
      <c r="B1064" s="120">
        <v>1.2200000000000001E-2</v>
      </c>
      <c r="C1064" s="120">
        <v>-1.9E-3</v>
      </c>
    </row>
    <row r="1065" spans="1:3" x14ac:dyDescent="0.35">
      <c r="A1065" s="136" t="s">
        <v>964</v>
      </c>
      <c r="B1065" s="120">
        <v>-2.9499999999999998E-2</v>
      </c>
      <c r="C1065" s="120">
        <v>7.7999999999999996E-3</v>
      </c>
    </row>
    <row r="1066" spans="1:3" x14ac:dyDescent="0.35">
      <c r="A1066" s="136" t="s">
        <v>965</v>
      </c>
      <c r="B1066" s="120">
        <v>3.0000000000000001E-3</v>
      </c>
      <c r="C1066" s="120">
        <v>7.7000000000000002E-3</v>
      </c>
    </row>
    <row r="1067" spans="1:3" x14ac:dyDescent="0.35">
      <c r="A1067" s="136" t="s">
        <v>966</v>
      </c>
      <c r="B1067" s="120">
        <v>-3.0000000000000001E-3</v>
      </c>
      <c r="C1067" s="120">
        <v>-3.8E-3</v>
      </c>
    </row>
    <row r="1068" spans="1:3" x14ac:dyDescent="0.35">
      <c r="A1068" s="136" t="s">
        <v>967</v>
      </c>
      <c r="B1068" s="120">
        <v>-1.17E-2</v>
      </c>
      <c r="C1068" s="120">
        <v>1.4E-3</v>
      </c>
    </row>
    <row r="1069" spans="1:3" x14ac:dyDescent="0.35">
      <c r="A1069" s="136" t="s">
        <v>968</v>
      </c>
      <c r="B1069" s="120">
        <v>-3.0000000000000001E-3</v>
      </c>
      <c r="C1069" s="120">
        <v>1.9E-3</v>
      </c>
    </row>
    <row r="1070" spans="1:3" x14ac:dyDescent="0.35">
      <c r="A1070" s="136" t="s">
        <v>969</v>
      </c>
      <c r="B1070" s="120">
        <v>1.78E-2</v>
      </c>
      <c r="C1070" s="120">
        <v>6.3E-3</v>
      </c>
    </row>
    <row r="1071" spans="1:3" x14ac:dyDescent="0.35">
      <c r="A1071" s="136">
        <v>44144</v>
      </c>
      <c r="B1071" s="120">
        <v>0</v>
      </c>
      <c r="C1071" s="120">
        <v>2.0000000000000001E-4</v>
      </c>
    </row>
    <row r="1072" spans="1:3" x14ac:dyDescent="0.35">
      <c r="A1072" s="136">
        <v>44113</v>
      </c>
      <c r="B1072" s="120">
        <v>-5.8999999999999999E-3</v>
      </c>
      <c r="C1072" s="120">
        <v>-5.9999999999999995E-4</v>
      </c>
    </row>
    <row r="1073" spans="1:3" x14ac:dyDescent="0.35">
      <c r="A1073" s="136">
        <v>44083</v>
      </c>
      <c r="B1073" s="120">
        <v>4.3099999999999999E-2</v>
      </c>
      <c r="C1073" s="120">
        <v>-8.9999999999999998E-4</v>
      </c>
    </row>
    <row r="1074" spans="1:3" x14ac:dyDescent="0.35">
      <c r="A1074" s="136">
        <v>44052</v>
      </c>
      <c r="B1074" s="120">
        <v>1.24E-2</v>
      </c>
      <c r="C1074" s="120">
        <v>2.0999999999999999E-3</v>
      </c>
    </row>
    <row r="1075" spans="1:3" x14ac:dyDescent="0.35">
      <c r="A1075" s="136">
        <v>44021</v>
      </c>
      <c r="B1075" s="120">
        <v>0</v>
      </c>
      <c r="C1075" s="120">
        <v>-1.47E-2</v>
      </c>
    </row>
    <row r="1076" spans="1:3" x14ac:dyDescent="0.35">
      <c r="A1076" s="136">
        <v>43930</v>
      </c>
      <c r="B1076" s="120">
        <v>-9.1999999999999998E-3</v>
      </c>
      <c r="C1076" s="120">
        <v>-2.7000000000000001E-3</v>
      </c>
    </row>
    <row r="1077" spans="1:3" x14ac:dyDescent="0.35">
      <c r="A1077" s="136">
        <v>43899</v>
      </c>
      <c r="B1077" s="120">
        <v>-2.12E-2</v>
      </c>
      <c r="C1077" s="120">
        <v>1.37E-2</v>
      </c>
    </row>
    <row r="1078" spans="1:3" x14ac:dyDescent="0.35">
      <c r="A1078" s="136">
        <v>43839</v>
      </c>
      <c r="B1078" s="120">
        <v>3.0000000000000001E-3</v>
      </c>
      <c r="C1078" s="120">
        <v>1.14E-2</v>
      </c>
    </row>
    <row r="1079" spans="1:3" x14ac:dyDescent="0.35">
      <c r="A1079" s="136" t="s">
        <v>970</v>
      </c>
      <c r="B1079" s="120">
        <v>4.7600000000000003E-2</v>
      </c>
      <c r="C1079" s="120">
        <v>3.0000000000000001E-3</v>
      </c>
    </row>
    <row r="1080" spans="1:3" x14ac:dyDescent="0.35">
      <c r="A1080" s="136" t="s">
        <v>971</v>
      </c>
      <c r="B1080" s="120">
        <v>-1.5599999999999999E-2</v>
      </c>
      <c r="C1080" s="120">
        <v>4.8999999999999998E-3</v>
      </c>
    </row>
    <row r="1081" spans="1:3" x14ac:dyDescent="0.35">
      <c r="A1081" s="136" t="s">
        <v>972</v>
      </c>
      <c r="B1081" s="120">
        <v>0</v>
      </c>
      <c r="C1081" s="120">
        <v>1.4E-3</v>
      </c>
    </row>
    <row r="1082" spans="1:3" x14ac:dyDescent="0.35">
      <c r="A1082" s="136" t="s">
        <v>973</v>
      </c>
      <c r="B1082" s="120">
        <v>2.5600000000000001E-2</v>
      </c>
      <c r="C1082" s="120">
        <v>-6.9999999999999999E-4</v>
      </c>
    </row>
    <row r="1083" spans="1:3" x14ac:dyDescent="0.35">
      <c r="A1083" s="136" t="s">
        <v>974</v>
      </c>
      <c r="B1083" s="120">
        <v>-1.5699999999999999E-2</v>
      </c>
      <c r="C1083" s="120">
        <v>6.3E-3</v>
      </c>
    </row>
    <row r="1084" spans="1:3" x14ac:dyDescent="0.35">
      <c r="A1084" s="136" t="s">
        <v>975</v>
      </c>
      <c r="B1084" s="120">
        <v>2.93E-2</v>
      </c>
      <c r="C1084" s="120">
        <v>1.6299999999999999E-2</v>
      </c>
    </row>
    <row r="1085" spans="1:3" x14ac:dyDescent="0.35">
      <c r="A1085" s="136" t="s">
        <v>976</v>
      </c>
      <c r="B1085" s="120">
        <v>6.9400000000000003E-2</v>
      </c>
      <c r="C1085" s="120">
        <v>7.7000000000000002E-3</v>
      </c>
    </row>
    <row r="1086" spans="1:3" x14ac:dyDescent="0.35">
      <c r="A1086" s="136" t="s">
        <v>977</v>
      </c>
      <c r="B1086" s="120">
        <v>3.5000000000000001E-3</v>
      </c>
      <c r="C1086" s="120">
        <v>-3.5000000000000001E-3</v>
      </c>
    </row>
    <row r="1087" spans="1:3" x14ac:dyDescent="0.35">
      <c r="A1087" s="136" t="s">
        <v>978</v>
      </c>
      <c r="B1087" s="120">
        <v>7.0000000000000001E-3</v>
      </c>
      <c r="C1087" s="120">
        <v>5.5999999999999999E-3</v>
      </c>
    </row>
    <row r="1088" spans="1:3" x14ac:dyDescent="0.35">
      <c r="A1088" s="136" t="s">
        <v>979</v>
      </c>
      <c r="B1088" s="120">
        <v>1.4200000000000001E-2</v>
      </c>
      <c r="C1088" s="120">
        <v>-4.4000000000000003E-3</v>
      </c>
    </row>
    <row r="1089" spans="1:3" x14ac:dyDescent="0.35">
      <c r="A1089" s="136" t="s">
        <v>980</v>
      </c>
      <c r="B1089" s="120">
        <v>3.5999999999999999E-3</v>
      </c>
      <c r="C1089" s="120">
        <v>-6.9999999999999999E-4</v>
      </c>
    </row>
    <row r="1090" spans="1:3" x14ac:dyDescent="0.35">
      <c r="A1090" s="136" t="s">
        <v>981</v>
      </c>
      <c r="B1090" s="120">
        <v>-2.4400000000000002E-2</v>
      </c>
      <c r="C1090" s="120">
        <v>-5.0000000000000001E-3</v>
      </c>
    </row>
    <row r="1091" spans="1:3" x14ac:dyDescent="0.35">
      <c r="A1091" s="136" t="s">
        <v>982</v>
      </c>
      <c r="B1091" s="120">
        <v>3.9899999999999998E-2</v>
      </c>
      <c r="C1091" s="120">
        <v>9.5999999999999992E-3</v>
      </c>
    </row>
    <row r="1092" spans="1:3" x14ac:dyDescent="0.35">
      <c r="A1092" s="136">
        <v>44173</v>
      </c>
      <c r="B1092" s="120">
        <v>-1.78E-2</v>
      </c>
      <c r="C1092" s="120">
        <v>4.5999999999999999E-3</v>
      </c>
    </row>
    <row r="1093" spans="1:3" x14ac:dyDescent="0.35">
      <c r="A1093" s="136">
        <v>44143</v>
      </c>
      <c r="B1093" s="120">
        <v>2.93E-2</v>
      </c>
      <c r="C1093" s="120">
        <v>-1E-4</v>
      </c>
    </row>
    <row r="1094" spans="1:3" x14ac:dyDescent="0.35">
      <c r="A1094" s="136">
        <v>44112</v>
      </c>
      <c r="B1094" s="120">
        <v>7.4000000000000003E-3</v>
      </c>
      <c r="C1094" s="120">
        <v>2.0999999999999999E-3</v>
      </c>
    </row>
    <row r="1095" spans="1:3" x14ac:dyDescent="0.35">
      <c r="A1095" s="136">
        <v>44020</v>
      </c>
      <c r="B1095" s="120">
        <v>-3.7000000000000002E-3</v>
      </c>
      <c r="C1095" s="120">
        <v>1.6999999999999999E-3</v>
      </c>
    </row>
    <row r="1096" spans="1:3" x14ac:dyDescent="0.35">
      <c r="A1096" s="136">
        <v>43990</v>
      </c>
      <c r="B1096" s="120">
        <v>-1.4500000000000001E-2</v>
      </c>
      <c r="C1096" s="120">
        <v>2.7000000000000001E-3</v>
      </c>
    </row>
    <row r="1097" spans="1:3" x14ac:dyDescent="0.35">
      <c r="A1097" s="136">
        <v>43959</v>
      </c>
      <c r="B1097" s="120">
        <v>1.47E-2</v>
      </c>
      <c r="C1097" s="120">
        <v>1.24E-2</v>
      </c>
    </row>
    <row r="1098" spans="1:3" x14ac:dyDescent="0.35">
      <c r="A1098" s="136">
        <v>43929</v>
      </c>
      <c r="B1098" s="120">
        <v>1.06E-2</v>
      </c>
      <c r="C1098" s="120">
        <v>1.5900000000000001E-2</v>
      </c>
    </row>
    <row r="1099" spans="1:3" x14ac:dyDescent="0.35">
      <c r="A1099" s="136">
        <v>43898</v>
      </c>
      <c r="B1099" s="120">
        <v>3.6600000000000001E-2</v>
      </c>
      <c r="C1099" s="120">
        <v>2.0400000000000001E-2</v>
      </c>
    </row>
    <row r="1100" spans="1:3" x14ac:dyDescent="0.35">
      <c r="A1100" s="136" t="s">
        <v>983</v>
      </c>
      <c r="B1100" s="120">
        <v>-3.7000000000000002E-3</v>
      </c>
      <c r="C1100" s="120">
        <v>-3.3999999999999998E-3</v>
      </c>
    </row>
    <row r="1101" spans="1:3" x14ac:dyDescent="0.35">
      <c r="A1101" s="136" t="s">
        <v>984</v>
      </c>
      <c r="B1101" s="120">
        <v>7.4000000000000003E-3</v>
      </c>
      <c r="C1101" s="120">
        <v>1.2999999999999999E-2</v>
      </c>
    </row>
    <row r="1102" spans="1:3" x14ac:dyDescent="0.35">
      <c r="A1102" s="136" t="s">
        <v>985</v>
      </c>
      <c r="B1102" s="120">
        <v>-3.5400000000000001E-2</v>
      </c>
      <c r="C1102" s="120">
        <v>-2.7699999999999999E-2</v>
      </c>
    </row>
    <row r="1103" spans="1:3" x14ac:dyDescent="0.35">
      <c r="A1103" s="136" t="s">
        <v>986</v>
      </c>
      <c r="B1103" s="120">
        <v>6.0100000000000001E-2</v>
      </c>
      <c r="C1103" s="120">
        <v>3.5900000000000001E-2</v>
      </c>
    </row>
    <row r="1104" spans="1:3" x14ac:dyDescent="0.35">
      <c r="A1104" s="136" t="s">
        <v>987</v>
      </c>
      <c r="B1104" s="120">
        <v>-6.6699999999999995E-2</v>
      </c>
      <c r="C1104" s="120">
        <v>-5.3100000000000001E-2</v>
      </c>
    </row>
    <row r="1105" spans="1:3" x14ac:dyDescent="0.35">
      <c r="A1105" s="136" t="s">
        <v>988</v>
      </c>
      <c r="B1105" s="120">
        <v>-4.0399999999999998E-2</v>
      </c>
      <c r="C1105" s="120">
        <v>-3.2199999999999999E-2</v>
      </c>
    </row>
    <row r="1106" spans="1:3" x14ac:dyDescent="0.35">
      <c r="A1106" s="136" t="s">
        <v>989</v>
      </c>
      <c r="B1106" s="120">
        <v>-6.6E-3</v>
      </c>
      <c r="C1106" s="120">
        <v>2E-3</v>
      </c>
    </row>
    <row r="1107" spans="1:3" x14ac:dyDescent="0.35">
      <c r="A1107" s="136" t="s">
        <v>990</v>
      </c>
      <c r="B1107" s="120">
        <v>2.0400000000000001E-2</v>
      </c>
      <c r="C1107" s="120">
        <v>-7.7000000000000002E-3</v>
      </c>
    </row>
    <row r="1108" spans="1:3" x14ac:dyDescent="0.35">
      <c r="A1108" s="136" t="s">
        <v>991</v>
      </c>
      <c r="B1108" s="120">
        <v>1.7399999999999999E-2</v>
      </c>
      <c r="C1108" s="120">
        <v>2.9999999999999997E-4</v>
      </c>
    </row>
    <row r="1109" spans="1:3" x14ac:dyDescent="0.35">
      <c r="A1109" s="136" t="s">
        <v>992</v>
      </c>
      <c r="B1109" s="120">
        <v>-1.37E-2</v>
      </c>
      <c r="C1109" s="120">
        <v>-1.2200000000000001E-2</v>
      </c>
    </row>
    <row r="1110" spans="1:3" x14ac:dyDescent="0.35">
      <c r="A1110" s="136" t="s">
        <v>993</v>
      </c>
      <c r="B1110" s="120">
        <v>-1.0200000000000001E-2</v>
      </c>
      <c r="C1110" s="120">
        <v>-5.4999999999999997E-3</v>
      </c>
    </row>
    <row r="1111" spans="1:3" x14ac:dyDescent="0.35">
      <c r="A1111" s="136" t="s">
        <v>994</v>
      </c>
      <c r="B1111" s="120">
        <v>3.3999999999999998E-3</v>
      </c>
      <c r="C1111" s="120">
        <v>8.0000000000000002E-3</v>
      </c>
    </row>
    <row r="1112" spans="1:3" x14ac:dyDescent="0.35">
      <c r="A1112" s="136" t="s">
        <v>995</v>
      </c>
      <c r="B1112" s="120">
        <v>-1.34E-2</v>
      </c>
      <c r="C1112" s="120">
        <v>2.0999999999999999E-3</v>
      </c>
    </row>
    <row r="1113" spans="1:3" x14ac:dyDescent="0.35">
      <c r="A1113" s="136" t="s">
        <v>996</v>
      </c>
      <c r="B1113" s="120">
        <v>1.7100000000000001E-2</v>
      </c>
      <c r="C1113" s="120">
        <v>-6.9999999999999999E-4</v>
      </c>
    </row>
    <row r="1114" spans="1:3" x14ac:dyDescent="0.35">
      <c r="A1114" s="136" t="s">
        <v>997</v>
      </c>
      <c r="B1114" s="120">
        <v>0</v>
      </c>
      <c r="C1114" s="120">
        <v>-2.8999999999999998E-3</v>
      </c>
    </row>
    <row r="1115" spans="1:3" x14ac:dyDescent="0.35">
      <c r="A1115" s="136">
        <v>44111</v>
      </c>
      <c r="B1115" s="120">
        <v>3.3999999999999998E-3</v>
      </c>
      <c r="C1115" s="120">
        <v>-6.0000000000000001E-3</v>
      </c>
    </row>
    <row r="1116" spans="1:3" x14ac:dyDescent="0.35">
      <c r="A1116" s="136">
        <v>44081</v>
      </c>
      <c r="B1116" s="120">
        <v>1.04E-2</v>
      </c>
      <c r="C1116" s="120">
        <v>1.38E-2</v>
      </c>
    </row>
    <row r="1117" spans="1:3" x14ac:dyDescent="0.35">
      <c r="A1117" s="136">
        <v>44050</v>
      </c>
      <c r="B1117" s="120">
        <v>7.0000000000000001E-3</v>
      </c>
      <c r="C1117" s="120">
        <v>1.2999999999999999E-3</v>
      </c>
    </row>
    <row r="1118" spans="1:3" x14ac:dyDescent="0.35">
      <c r="A1118" s="136">
        <v>44019</v>
      </c>
      <c r="B1118" s="120">
        <v>-1.38E-2</v>
      </c>
      <c r="C1118" s="120">
        <v>2.5999999999999999E-3</v>
      </c>
    </row>
    <row r="1119" spans="1:3" x14ac:dyDescent="0.35">
      <c r="A1119" s="136">
        <v>43989</v>
      </c>
      <c r="B1119" s="120">
        <v>1.4E-2</v>
      </c>
      <c r="C1119" s="120">
        <v>1.6E-2</v>
      </c>
    </row>
    <row r="1120" spans="1:3" x14ac:dyDescent="0.35">
      <c r="A1120" s="136">
        <v>43897</v>
      </c>
      <c r="B1120" s="120">
        <v>3.5000000000000001E-3</v>
      </c>
      <c r="C1120" s="120">
        <v>6.1999999999999998E-3</v>
      </c>
    </row>
    <row r="1121" spans="1:3" x14ac:dyDescent="0.35">
      <c r="A1121" s="136">
        <v>43868</v>
      </c>
      <c r="B1121" s="120">
        <v>-7.0000000000000001E-3</v>
      </c>
      <c r="C1121" s="120">
        <v>-1.2999999999999999E-3</v>
      </c>
    </row>
    <row r="1122" spans="1:3" x14ac:dyDescent="0.35">
      <c r="A1122" s="136">
        <v>43837</v>
      </c>
      <c r="B1122" s="120">
        <v>2.86E-2</v>
      </c>
      <c r="C1122" s="120">
        <v>2.23E-2</v>
      </c>
    </row>
    <row r="1123" spans="1:3" x14ac:dyDescent="0.35">
      <c r="A1123" s="136" t="s">
        <v>998</v>
      </c>
      <c r="B1123" s="120">
        <v>-2.1000000000000001E-2</v>
      </c>
      <c r="C1123" s="120">
        <v>-5.1000000000000004E-3</v>
      </c>
    </row>
    <row r="1124" spans="1:3" x14ac:dyDescent="0.35">
      <c r="A1124" s="136" t="s">
        <v>999</v>
      </c>
      <c r="B1124" s="120">
        <v>-3.3799999999999997E-2</v>
      </c>
      <c r="C1124" s="120">
        <v>-2.6499999999999999E-2</v>
      </c>
    </row>
    <row r="1125" spans="1:3" x14ac:dyDescent="0.35">
      <c r="A1125" s="136" t="s">
        <v>1000</v>
      </c>
      <c r="B1125" s="120">
        <v>-2.9499999999999998E-2</v>
      </c>
      <c r="C1125" s="120">
        <v>-3.0999999999999999E-3</v>
      </c>
    </row>
    <row r="1126" spans="1:3" x14ac:dyDescent="0.35">
      <c r="A1126" s="136" t="s">
        <v>1001</v>
      </c>
      <c r="B1126" s="120">
        <v>1.67E-2</v>
      </c>
      <c r="C1126" s="120">
        <v>-6.0000000000000001E-3</v>
      </c>
    </row>
    <row r="1127" spans="1:3" x14ac:dyDescent="0.35">
      <c r="A1127" s="136" t="s">
        <v>1002</v>
      </c>
      <c r="B1127" s="120">
        <v>-0.19700000000000001</v>
      </c>
      <c r="C1127" s="120">
        <v>-9.7999999999999997E-3</v>
      </c>
    </row>
    <row r="1128" spans="1:3" x14ac:dyDescent="0.35">
      <c r="A1128" s="136" t="s">
        <v>1003</v>
      </c>
      <c r="B1128" s="120">
        <v>-3.3E-3</v>
      </c>
      <c r="C1128" s="120">
        <v>-3.5000000000000001E-3</v>
      </c>
    </row>
    <row r="1129" spans="1:3" x14ac:dyDescent="0.35">
      <c r="A1129" s="136" t="s">
        <v>1004</v>
      </c>
      <c r="B1129" s="120">
        <v>6.9699999999999998E-2</v>
      </c>
      <c r="C1129" s="120">
        <v>3.0999999999999999E-3</v>
      </c>
    </row>
    <row r="1130" spans="1:3" x14ac:dyDescent="0.35">
      <c r="A1130" s="136" t="s">
        <v>1005</v>
      </c>
      <c r="B1130" s="120">
        <v>1.77E-2</v>
      </c>
      <c r="C1130" s="120">
        <v>1.55E-2</v>
      </c>
    </row>
    <row r="1131" spans="1:3" x14ac:dyDescent="0.35">
      <c r="A1131" s="136" t="s">
        <v>1006</v>
      </c>
      <c r="B1131" s="120">
        <v>7.1000000000000004E-3</v>
      </c>
      <c r="C1131" s="120">
        <v>1E-3</v>
      </c>
    </row>
    <row r="1132" spans="1:3" x14ac:dyDescent="0.35">
      <c r="A1132" s="136" t="s">
        <v>1007</v>
      </c>
      <c r="B1132" s="120">
        <v>-2.1000000000000001E-2</v>
      </c>
      <c r="C1132" s="120">
        <v>-2E-3</v>
      </c>
    </row>
    <row r="1133" spans="1:3" x14ac:dyDescent="0.35">
      <c r="A1133" s="136" t="s">
        <v>1008</v>
      </c>
      <c r="B1133" s="120">
        <v>0.04</v>
      </c>
      <c r="C1133" s="120">
        <v>2.8400000000000002E-2</v>
      </c>
    </row>
    <row r="1134" spans="1:3" x14ac:dyDescent="0.35">
      <c r="A1134" s="136" t="s">
        <v>1009</v>
      </c>
      <c r="B1134" s="120">
        <v>-3.5099999999999999E-2</v>
      </c>
      <c r="C1134" s="120">
        <v>-3.5999999999999997E-2</v>
      </c>
    </row>
    <row r="1135" spans="1:3" x14ac:dyDescent="0.35">
      <c r="A1135" s="136">
        <v>44171</v>
      </c>
      <c r="B1135" s="120">
        <v>1.7899999999999999E-2</v>
      </c>
      <c r="C1135" s="120">
        <v>-4.4000000000000003E-3</v>
      </c>
    </row>
    <row r="1136" spans="1:3" x14ac:dyDescent="0.35">
      <c r="A1136" s="136">
        <v>44141</v>
      </c>
      <c r="B1136" s="120">
        <v>-6.3500000000000001E-2</v>
      </c>
      <c r="C1136" s="120">
        <v>-3.6299999999999999E-2</v>
      </c>
    </row>
    <row r="1137" spans="1:3" x14ac:dyDescent="0.35">
      <c r="A1137" s="136">
        <v>44110</v>
      </c>
      <c r="B1137" s="120">
        <v>6.7000000000000002E-3</v>
      </c>
      <c r="C1137" s="120">
        <v>5.9999999999999995E-4</v>
      </c>
    </row>
    <row r="1138" spans="1:3" x14ac:dyDescent="0.35">
      <c r="A1138" s="136">
        <v>44080</v>
      </c>
      <c r="B1138" s="120">
        <v>6.7999999999999996E-3</v>
      </c>
      <c r="C1138" s="120">
        <v>-5.0000000000000001E-4</v>
      </c>
    </row>
    <row r="1139" spans="1:3" x14ac:dyDescent="0.35">
      <c r="A1139" s="136">
        <v>44049</v>
      </c>
      <c r="B1139" s="120">
        <v>-6.7000000000000002E-3</v>
      </c>
      <c r="C1139" s="120">
        <v>1.55E-2</v>
      </c>
    </row>
    <row r="1140" spans="1:3" x14ac:dyDescent="0.35">
      <c r="A1140" s="136">
        <v>43957</v>
      </c>
      <c r="B1140" s="120">
        <v>1.7100000000000001E-2</v>
      </c>
      <c r="C1140" s="120">
        <v>2.5999999999999999E-3</v>
      </c>
    </row>
    <row r="1141" spans="1:3" x14ac:dyDescent="0.35">
      <c r="A1141" s="136">
        <v>43927</v>
      </c>
      <c r="B1141" s="120">
        <v>-3.3999999999999998E-3</v>
      </c>
      <c r="C1141" s="120">
        <v>3.0999999999999999E-3</v>
      </c>
    </row>
    <row r="1142" spans="1:3" x14ac:dyDescent="0.35">
      <c r="A1142" s="136">
        <v>43896</v>
      </c>
      <c r="B1142" s="120">
        <v>1.7399999999999999E-2</v>
      </c>
      <c r="C1142" s="120">
        <v>7.3000000000000001E-3</v>
      </c>
    </row>
    <row r="1143" spans="1:3" x14ac:dyDescent="0.35">
      <c r="A1143" s="136">
        <v>43867</v>
      </c>
      <c r="B1143" s="120">
        <v>-4.3200000000000002E-2</v>
      </c>
      <c r="C1143" s="120">
        <v>-4.4000000000000003E-3</v>
      </c>
    </row>
    <row r="1144" spans="1:3" x14ac:dyDescent="0.35">
      <c r="A1144" s="136">
        <v>43836</v>
      </c>
      <c r="B1144" s="120">
        <v>1.6899999999999998E-2</v>
      </c>
      <c r="C1144" s="120">
        <v>1.6400000000000001E-2</v>
      </c>
    </row>
    <row r="1145" spans="1:3" x14ac:dyDescent="0.35">
      <c r="A1145" s="136" t="s">
        <v>1010</v>
      </c>
      <c r="B1145" s="120">
        <v>-6.7000000000000002E-3</v>
      </c>
      <c r="C1145" s="120">
        <v>3.5999999999999999E-3</v>
      </c>
    </row>
    <row r="1146" spans="1:3" x14ac:dyDescent="0.35">
      <c r="A1146" s="136" t="s">
        <v>1011</v>
      </c>
      <c r="B1146" s="120">
        <v>0</v>
      </c>
      <c r="C1146" s="120">
        <v>4.5999999999999999E-3</v>
      </c>
    </row>
    <row r="1147" spans="1:3" x14ac:dyDescent="0.35">
      <c r="A1147" s="136" t="s">
        <v>1012</v>
      </c>
      <c r="B1147" s="120">
        <v>-0.01</v>
      </c>
      <c r="C1147" s="120">
        <v>-1.34E-2</v>
      </c>
    </row>
    <row r="1148" spans="1:3" x14ac:dyDescent="0.35">
      <c r="A1148" s="136" t="s">
        <v>1013</v>
      </c>
      <c r="B1148" s="120">
        <v>-1.6299999999999999E-2</v>
      </c>
      <c r="C1148" s="120">
        <v>1.17E-2</v>
      </c>
    </row>
    <row r="1149" spans="1:3" x14ac:dyDescent="0.35">
      <c r="A1149" s="136" t="s">
        <v>1014</v>
      </c>
      <c r="B1149" s="120">
        <v>5.5199999999999999E-2</v>
      </c>
      <c r="C1149" s="120">
        <v>7.4000000000000003E-3</v>
      </c>
    </row>
    <row r="1150" spans="1:3" x14ac:dyDescent="0.35">
      <c r="A1150" s="136" t="s">
        <v>1015</v>
      </c>
      <c r="B1150" s="120">
        <v>2.8400000000000002E-2</v>
      </c>
      <c r="C1150" s="120">
        <v>-1.1599999999999999E-2</v>
      </c>
    </row>
    <row r="1151" spans="1:3" x14ac:dyDescent="0.35">
      <c r="A1151" s="136" t="s">
        <v>1016</v>
      </c>
      <c r="B1151" s="120">
        <v>-1.0500000000000001E-2</v>
      </c>
      <c r="C1151" s="120">
        <v>1.15E-2</v>
      </c>
    </row>
    <row r="1152" spans="1:3" x14ac:dyDescent="0.35">
      <c r="A1152" s="136" t="s">
        <v>1017</v>
      </c>
      <c r="B1152" s="120">
        <v>4.3999999999999997E-2</v>
      </c>
      <c r="C1152" s="120">
        <v>8.3000000000000001E-3</v>
      </c>
    </row>
    <row r="1153" spans="1:3" x14ac:dyDescent="0.35">
      <c r="A1153" s="136" t="s">
        <v>1018</v>
      </c>
      <c r="B1153" s="120">
        <v>-3.5999999999999999E-3</v>
      </c>
      <c r="C1153" s="120">
        <v>1.06E-2</v>
      </c>
    </row>
    <row r="1154" spans="1:3" x14ac:dyDescent="0.35">
      <c r="A1154" s="136" t="s">
        <v>1019</v>
      </c>
      <c r="B1154" s="120">
        <v>3.7000000000000002E-3</v>
      </c>
      <c r="C1154" s="120">
        <v>1.21E-2</v>
      </c>
    </row>
    <row r="1155" spans="1:3" x14ac:dyDescent="0.35">
      <c r="A1155" s="136" t="s">
        <v>1020</v>
      </c>
      <c r="B1155" s="120">
        <v>-2.8500000000000001E-2</v>
      </c>
      <c r="C1155" s="120">
        <v>-6.4999999999999997E-3</v>
      </c>
    </row>
    <row r="1156" spans="1:3" x14ac:dyDescent="0.35">
      <c r="A1156" s="136" t="s">
        <v>1021</v>
      </c>
      <c r="B1156" s="120">
        <v>-3.1E-2</v>
      </c>
      <c r="C1156" s="120">
        <v>-2.2000000000000001E-3</v>
      </c>
    </row>
    <row r="1157" spans="1:3" x14ac:dyDescent="0.35">
      <c r="A1157" s="136" t="s">
        <v>1022</v>
      </c>
      <c r="B1157" s="120">
        <v>-1.6899999999999998E-2</v>
      </c>
      <c r="C1157" s="120">
        <v>-1.2999999999999999E-3</v>
      </c>
    </row>
    <row r="1158" spans="1:3" x14ac:dyDescent="0.35">
      <c r="A1158" s="136">
        <v>44170</v>
      </c>
      <c r="B1158" s="120">
        <v>6.5000000000000002E-2</v>
      </c>
      <c r="C1158" s="120">
        <v>8.3999999999999995E-3</v>
      </c>
    </row>
    <row r="1159" spans="1:3" x14ac:dyDescent="0.35">
      <c r="A1159" s="136">
        <v>44140</v>
      </c>
      <c r="B1159" s="120">
        <v>3.5999999999999999E-3</v>
      </c>
      <c r="C1159" s="120">
        <v>1.7899999999999999E-2</v>
      </c>
    </row>
    <row r="1160" spans="1:3" x14ac:dyDescent="0.35">
      <c r="A1160" s="136">
        <v>44048</v>
      </c>
      <c r="B1160" s="120">
        <v>-7.1999999999999998E-3</v>
      </c>
      <c r="C1160" s="120">
        <v>2.1600000000000001E-2</v>
      </c>
    </row>
    <row r="1161" spans="1:3" x14ac:dyDescent="0.35">
      <c r="A1161" s="136">
        <v>44017</v>
      </c>
      <c r="B1161" s="120">
        <v>-3.5999999999999999E-3</v>
      </c>
      <c r="C1161" s="120">
        <v>1.78E-2</v>
      </c>
    </row>
    <row r="1162" spans="1:3" x14ac:dyDescent="0.35">
      <c r="A1162" s="136">
        <v>43987</v>
      </c>
      <c r="B1162" s="120">
        <v>4.1000000000000002E-2</v>
      </c>
      <c r="C1162" s="120">
        <v>2.41E-2</v>
      </c>
    </row>
    <row r="1163" spans="1:3" x14ac:dyDescent="0.35">
      <c r="A1163" s="136">
        <v>43956</v>
      </c>
      <c r="B1163" s="120">
        <v>-1.47E-2</v>
      </c>
      <c r="C1163" s="120">
        <v>2.2000000000000001E-3</v>
      </c>
    </row>
    <row r="1164" spans="1:3" x14ac:dyDescent="0.35">
      <c r="A1164" s="136">
        <v>43926</v>
      </c>
      <c r="B1164" s="120">
        <v>-4.9000000000000002E-2</v>
      </c>
      <c r="C1164" s="120">
        <v>-8.6E-3</v>
      </c>
    </row>
    <row r="1165" spans="1:3" x14ac:dyDescent="0.35">
      <c r="A1165" s="136" t="s">
        <v>1023</v>
      </c>
      <c r="B1165" s="120">
        <v>-1.04E-2</v>
      </c>
      <c r="C1165" s="120">
        <v>2.5000000000000001E-3</v>
      </c>
    </row>
    <row r="1166" spans="1:3" x14ac:dyDescent="0.35">
      <c r="A1166" s="136" t="s">
        <v>1024</v>
      </c>
      <c r="B1166" s="120">
        <v>3.9600000000000003E-2</v>
      </c>
      <c r="C1166" s="120">
        <v>-4.5999999999999999E-3</v>
      </c>
    </row>
    <row r="1167" spans="1:3" x14ac:dyDescent="0.35">
      <c r="A1167" s="136" t="s">
        <v>1025</v>
      </c>
      <c r="B1167" s="120">
        <v>-4.1399999999999999E-2</v>
      </c>
      <c r="C1167" s="120">
        <v>-7.6E-3</v>
      </c>
    </row>
    <row r="1168" spans="1:3" x14ac:dyDescent="0.35">
      <c r="A1168" s="136" t="s">
        <v>1026</v>
      </c>
      <c r="B1168" s="120">
        <v>-1.9599999999999999E-2</v>
      </c>
      <c r="C1168" s="120">
        <v>3.5999999999999999E-3</v>
      </c>
    </row>
    <row r="1169" spans="1:3" x14ac:dyDescent="0.35">
      <c r="A1169" s="136" t="s">
        <v>1027</v>
      </c>
      <c r="B1169" s="120">
        <v>-2.5499999999999998E-2</v>
      </c>
      <c r="C1169" s="120">
        <v>6.4999999999999997E-3</v>
      </c>
    </row>
    <row r="1170" spans="1:3" x14ac:dyDescent="0.35">
      <c r="A1170" s="136" t="s">
        <v>1028</v>
      </c>
      <c r="B1170" s="120">
        <v>6.08E-2</v>
      </c>
      <c r="C1170" s="120">
        <v>2.7000000000000001E-3</v>
      </c>
    </row>
    <row r="1171" spans="1:3" x14ac:dyDescent="0.35">
      <c r="A1171" s="136" t="s">
        <v>1029</v>
      </c>
      <c r="B1171" s="120">
        <v>-3.3E-3</v>
      </c>
      <c r="C1171" s="120">
        <v>-3.5400000000000001E-2</v>
      </c>
    </row>
    <row r="1172" spans="1:3" x14ac:dyDescent="0.35">
      <c r="A1172" s="136" t="s">
        <v>1030</v>
      </c>
      <c r="B1172" s="120">
        <v>6.83E-2</v>
      </c>
      <c r="C1172" s="120">
        <v>6.7999999999999996E-3</v>
      </c>
    </row>
    <row r="1173" spans="1:3" x14ac:dyDescent="0.35">
      <c r="A1173" s="136" t="s">
        <v>1031</v>
      </c>
      <c r="B1173" s="120">
        <v>-3.5999999999999999E-3</v>
      </c>
      <c r="C1173" s="120">
        <v>1.14E-2</v>
      </c>
    </row>
    <row r="1174" spans="1:3" x14ac:dyDescent="0.35">
      <c r="A1174" s="136" t="s">
        <v>1032</v>
      </c>
      <c r="B1174" s="120">
        <v>-1.41E-2</v>
      </c>
      <c r="C1174" s="120">
        <v>4.4999999999999997E-3</v>
      </c>
    </row>
    <row r="1175" spans="1:3" x14ac:dyDescent="0.35">
      <c r="A1175" s="136" t="s">
        <v>1033</v>
      </c>
      <c r="B1175" s="120">
        <v>-7.0000000000000001E-3</v>
      </c>
      <c r="C1175" s="120">
        <v>1.2800000000000001E-2</v>
      </c>
    </row>
    <row r="1176" spans="1:3" x14ac:dyDescent="0.35">
      <c r="A1176" s="136" t="s">
        <v>1034</v>
      </c>
      <c r="B1176" s="120">
        <v>2.8899999999999999E-2</v>
      </c>
      <c r="C1176" s="120">
        <v>2.0999999999999999E-3</v>
      </c>
    </row>
    <row r="1177" spans="1:3" x14ac:dyDescent="0.35">
      <c r="A1177" s="136" t="s">
        <v>1035</v>
      </c>
      <c r="B1177" s="120">
        <v>1.09E-2</v>
      </c>
      <c r="C1177" s="120">
        <v>1.04E-2</v>
      </c>
    </row>
    <row r="1178" spans="1:3" x14ac:dyDescent="0.35">
      <c r="A1178" s="136">
        <v>44108</v>
      </c>
      <c r="B1178" s="120">
        <v>0</v>
      </c>
      <c r="C1178" s="120">
        <v>-3.0999999999999999E-3</v>
      </c>
    </row>
    <row r="1179" spans="1:3" x14ac:dyDescent="0.35">
      <c r="A1179" s="136">
        <v>44078</v>
      </c>
      <c r="B1179" s="120">
        <v>2.6200000000000001E-2</v>
      </c>
      <c r="C1179" s="120">
        <v>1.6500000000000001E-2</v>
      </c>
    </row>
    <row r="1180" spans="1:3" x14ac:dyDescent="0.35">
      <c r="A1180" s="136">
        <v>44047</v>
      </c>
      <c r="B1180" s="120">
        <v>6.8000000000000005E-2</v>
      </c>
      <c r="C1180" s="120">
        <v>1.8E-3</v>
      </c>
    </row>
    <row r="1181" spans="1:3" x14ac:dyDescent="0.35">
      <c r="A1181" s="136">
        <v>44016</v>
      </c>
      <c r="B1181" s="120">
        <v>-2.7300000000000001E-2</v>
      </c>
      <c r="C1181" s="120">
        <v>1.35E-2</v>
      </c>
    </row>
    <row r="1182" spans="1:3" x14ac:dyDescent="0.35">
      <c r="A1182" s="136">
        <v>43986</v>
      </c>
      <c r="B1182" s="120">
        <v>3.6299999999999999E-2</v>
      </c>
      <c r="C1182" s="120">
        <v>4.9799999999999997E-2</v>
      </c>
    </row>
    <row r="1183" spans="1:3" x14ac:dyDescent="0.35">
      <c r="A1183" s="136">
        <v>43894</v>
      </c>
      <c r="B1183" s="120">
        <v>1.2200000000000001E-2</v>
      </c>
      <c r="C1183" s="120">
        <v>3.1699999999999999E-2</v>
      </c>
    </row>
    <row r="1184" spans="1:3" x14ac:dyDescent="0.35">
      <c r="A1184" s="136">
        <v>43834</v>
      </c>
      <c r="B1184" s="120">
        <v>6.9900000000000004E-2</v>
      </c>
      <c r="C1184" s="120">
        <v>2.6700000000000002E-2</v>
      </c>
    </row>
    <row r="1185" spans="1:3" x14ac:dyDescent="0.35">
      <c r="A1185" s="136" t="s">
        <v>1036</v>
      </c>
      <c r="B1185" s="120">
        <v>4.4000000000000003E-3</v>
      </c>
      <c r="C1185" s="120">
        <v>4.0000000000000002E-4</v>
      </c>
    </row>
    <row r="1186" spans="1:3" x14ac:dyDescent="0.35">
      <c r="A1186" s="136" t="s">
        <v>1037</v>
      </c>
      <c r="B1186" s="120">
        <v>-5.4100000000000002E-2</v>
      </c>
      <c r="C1186" s="120">
        <v>-4.8599999999999997E-2</v>
      </c>
    </row>
    <row r="1187" spans="1:3" x14ac:dyDescent="0.35">
      <c r="A1187" s="136" t="s">
        <v>1038</v>
      </c>
      <c r="B1187" s="120">
        <v>8.6999999999999994E-3</v>
      </c>
      <c r="C1187" s="120">
        <v>2.7000000000000001E-3</v>
      </c>
    </row>
    <row r="1188" spans="1:3" x14ac:dyDescent="0.35">
      <c r="A1188" s="136" t="s">
        <v>1039</v>
      </c>
      <c r="B1188" s="120">
        <v>-4.3E-3</v>
      </c>
      <c r="C1188" s="120">
        <v>5.7000000000000002E-3</v>
      </c>
    </row>
    <row r="1189" spans="1:3" x14ac:dyDescent="0.35">
      <c r="A1189" s="136" t="s">
        <v>1040</v>
      </c>
      <c r="B1189" s="120">
        <v>1.7500000000000002E-2</v>
      </c>
      <c r="C1189" s="120">
        <v>4.7100000000000003E-2</v>
      </c>
    </row>
    <row r="1190" spans="1:3" x14ac:dyDescent="0.35">
      <c r="A1190" s="136" t="s">
        <v>1041</v>
      </c>
      <c r="B1190" s="120">
        <v>3.1699999999999999E-2</v>
      </c>
      <c r="C1190" s="120">
        <v>-1.11E-2</v>
      </c>
    </row>
    <row r="1191" spans="1:3" x14ac:dyDescent="0.35">
      <c r="A1191" s="136" t="s">
        <v>1042</v>
      </c>
      <c r="B1191" s="120">
        <v>-5.5599999999999997E-2</v>
      </c>
      <c r="C1191" s="120">
        <v>-6.08E-2</v>
      </c>
    </row>
    <row r="1192" spans="1:3" x14ac:dyDescent="0.35">
      <c r="A1192" s="136" t="s">
        <v>1043</v>
      </c>
      <c r="B1192" s="120">
        <v>-2.9000000000000001E-2</v>
      </c>
      <c r="C1192" s="120">
        <v>-2.23E-2</v>
      </c>
    </row>
    <row r="1193" spans="1:3" x14ac:dyDescent="0.35">
      <c r="A1193" s="136" t="s">
        <v>1044</v>
      </c>
      <c r="B1193" s="120">
        <v>1.6899999999999998E-2</v>
      </c>
      <c r="C1193" s="120">
        <v>-2.9100000000000001E-2</v>
      </c>
    </row>
    <row r="1194" spans="1:3" x14ac:dyDescent="0.35">
      <c r="A1194" s="136" t="s">
        <v>1045</v>
      </c>
      <c r="B1194" s="120">
        <v>2.1600000000000001E-2</v>
      </c>
      <c r="C1194" s="120">
        <v>2.5000000000000001E-3</v>
      </c>
    </row>
    <row r="1195" spans="1:3" x14ac:dyDescent="0.35">
      <c r="A1195" s="136" t="s">
        <v>1046</v>
      </c>
      <c r="B1195" s="120">
        <v>4.9799999999999997E-2</v>
      </c>
      <c r="C1195" s="120">
        <v>-2.8E-3</v>
      </c>
    </row>
    <row r="1196" spans="1:3" x14ac:dyDescent="0.35">
      <c r="A1196" s="136" t="s">
        <v>1047</v>
      </c>
      <c r="B1196" s="120">
        <v>-2.64E-2</v>
      </c>
      <c r="C1196" s="120">
        <v>-1.83E-2</v>
      </c>
    </row>
    <row r="1197" spans="1:3" x14ac:dyDescent="0.35">
      <c r="A1197" s="136" t="s">
        <v>1048</v>
      </c>
      <c r="B1197" s="120">
        <v>1.7899999999999999E-2</v>
      </c>
      <c r="C1197" s="120">
        <v>-9.7000000000000003E-3</v>
      </c>
    </row>
    <row r="1198" spans="1:3" x14ac:dyDescent="0.35">
      <c r="A1198" s="136">
        <v>44168</v>
      </c>
      <c r="B1198" s="120">
        <v>-5.5100000000000003E-2</v>
      </c>
      <c r="C1198" s="120">
        <v>-5.1900000000000002E-2</v>
      </c>
    </row>
    <row r="1199" spans="1:3" x14ac:dyDescent="0.35">
      <c r="A1199" s="136">
        <v>44138</v>
      </c>
      <c r="B1199" s="120">
        <v>-2.8799999999999999E-2</v>
      </c>
      <c r="C1199" s="120">
        <v>-3.1199999999999999E-2</v>
      </c>
    </row>
    <row r="1200" spans="1:3" x14ac:dyDescent="0.35">
      <c r="A1200" s="136">
        <v>44107</v>
      </c>
      <c r="B1200" s="120">
        <v>4.7399999999999998E-2</v>
      </c>
      <c r="C1200" s="120">
        <v>2.3999999999999998E-3</v>
      </c>
    </row>
    <row r="1201" spans="1:3" x14ac:dyDescent="0.35">
      <c r="A1201" s="136">
        <v>44077</v>
      </c>
      <c r="B1201" s="120">
        <v>-6.83E-2</v>
      </c>
      <c r="C1201" s="120">
        <v>-6.2799999999999995E-2</v>
      </c>
    </row>
    <row r="1202" spans="1:3" x14ac:dyDescent="0.35">
      <c r="A1202" s="136">
        <v>43985</v>
      </c>
      <c r="B1202" s="120">
        <v>-1.1900000000000001E-2</v>
      </c>
      <c r="C1202" s="120">
        <v>-2.0999999999999999E-3</v>
      </c>
    </row>
    <row r="1203" spans="1:3" x14ac:dyDescent="0.35">
      <c r="A1203" s="136">
        <v>43954</v>
      </c>
      <c r="B1203" s="120">
        <v>-1.18E-2</v>
      </c>
      <c r="C1203" s="120">
        <v>4.4000000000000003E-3</v>
      </c>
    </row>
    <row r="1204" spans="1:3" x14ac:dyDescent="0.35">
      <c r="A1204" s="136">
        <v>43924</v>
      </c>
      <c r="B1204" s="120">
        <v>2.8199999999999999E-2</v>
      </c>
      <c r="C1204" s="120">
        <v>-1.4E-3</v>
      </c>
    </row>
    <row r="1205" spans="1:3" x14ac:dyDescent="0.35">
      <c r="A1205" s="136">
        <v>43893</v>
      </c>
      <c r="B1205" s="120">
        <v>3.3300000000000003E-2</v>
      </c>
      <c r="C1205" s="120">
        <v>7.0000000000000001E-3</v>
      </c>
    </row>
    <row r="1206" spans="1:3" x14ac:dyDescent="0.35">
      <c r="A1206" s="136">
        <v>43864</v>
      </c>
      <c r="B1206" s="120">
        <v>1.2699999999999999E-2</v>
      </c>
      <c r="C1206" s="120">
        <v>2.5000000000000001E-3</v>
      </c>
    </row>
    <row r="1207" spans="1:3" x14ac:dyDescent="0.35">
      <c r="A1207" s="136" t="s">
        <v>1049</v>
      </c>
      <c r="B1207" s="120">
        <v>-1.66E-2</v>
      </c>
      <c r="C1207" s="120">
        <v>-1.8100000000000002E-2</v>
      </c>
    </row>
    <row r="1208" spans="1:3" x14ac:dyDescent="0.35">
      <c r="A1208" s="136" t="s">
        <v>1050</v>
      </c>
      <c r="B1208" s="120">
        <v>8.3999999999999995E-3</v>
      </c>
      <c r="C1208" s="120">
        <v>2.8E-3</v>
      </c>
    </row>
    <row r="1209" spans="1:3" x14ac:dyDescent="0.35">
      <c r="A1209" s="136" t="s">
        <v>1051</v>
      </c>
      <c r="B1209" s="120">
        <v>4.1999999999999997E-3</v>
      </c>
      <c r="C1209" s="120">
        <v>-1.5100000000000001E-2</v>
      </c>
    </row>
    <row r="1210" spans="1:3" x14ac:dyDescent="0.35">
      <c r="A1210" s="136" t="s">
        <v>1052</v>
      </c>
      <c r="B1210" s="120">
        <v>4.1999999999999997E-3</v>
      </c>
      <c r="C1210" s="120">
        <v>7.0000000000000001E-3</v>
      </c>
    </row>
    <row r="1211" spans="1:3" x14ac:dyDescent="0.35">
      <c r="A1211" s="136" t="s">
        <v>1053</v>
      </c>
      <c r="B1211" s="120">
        <v>-4.4400000000000002E-2</v>
      </c>
      <c r="C1211" s="120">
        <v>-3.1899999999999998E-2</v>
      </c>
    </row>
    <row r="1212" spans="1:3" x14ac:dyDescent="0.35">
      <c r="A1212" s="136" t="s">
        <v>1054</v>
      </c>
      <c r="B1212" s="120">
        <v>-1.9800000000000002E-2</v>
      </c>
      <c r="C1212" s="120">
        <v>-5.4000000000000003E-3</v>
      </c>
    </row>
    <row r="1213" spans="1:3" x14ac:dyDescent="0.35">
      <c r="A1213" s="136" t="s">
        <v>1055</v>
      </c>
      <c r="B1213" s="120">
        <v>3.6900000000000002E-2</v>
      </c>
      <c r="C1213" s="120">
        <v>1.01E-2</v>
      </c>
    </row>
    <row r="1214" spans="1:3" x14ac:dyDescent="0.35">
      <c r="A1214" s="136" t="s">
        <v>1056</v>
      </c>
      <c r="B1214" s="120">
        <v>1.67E-2</v>
      </c>
      <c r="C1214" s="120">
        <v>8.9999999999999998E-4</v>
      </c>
    </row>
    <row r="1215" spans="1:3" x14ac:dyDescent="0.35">
      <c r="A1215" s="136" t="s">
        <v>1057</v>
      </c>
      <c r="B1215" s="120">
        <v>8.3999999999999995E-3</v>
      </c>
      <c r="C1215" s="120">
        <v>-7.3000000000000001E-3</v>
      </c>
    </row>
    <row r="1216" spans="1:3" x14ac:dyDescent="0.35">
      <c r="A1216" s="136" t="s">
        <v>1058</v>
      </c>
      <c r="B1216" s="120">
        <v>0</v>
      </c>
      <c r="C1216" s="120">
        <v>-2.8999999999999998E-3</v>
      </c>
    </row>
    <row r="1217" spans="1:3" x14ac:dyDescent="0.35">
      <c r="A1217" s="136" t="s">
        <v>1059</v>
      </c>
      <c r="B1217" s="120">
        <v>-8.3000000000000001E-3</v>
      </c>
      <c r="C1217" s="120">
        <v>-8.0000000000000004E-4</v>
      </c>
    </row>
    <row r="1218" spans="1:3" x14ac:dyDescent="0.35">
      <c r="A1218" s="136" t="s">
        <v>1060</v>
      </c>
      <c r="B1218" s="120">
        <v>-4.1000000000000003E-3</v>
      </c>
      <c r="C1218" s="120">
        <v>5.9999999999999995E-4</v>
      </c>
    </row>
    <row r="1219" spans="1:3" x14ac:dyDescent="0.35">
      <c r="A1219" s="136">
        <v>44167</v>
      </c>
      <c r="B1219" s="120">
        <v>2.9899999999999999E-2</v>
      </c>
      <c r="C1219" s="120">
        <v>3.2000000000000002E-3</v>
      </c>
    </row>
    <row r="1220" spans="1:3" x14ac:dyDescent="0.35">
      <c r="A1220" s="136">
        <v>44137</v>
      </c>
      <c r="B1220" s="120">
        <v>4.3E-3</v>
      </c>
      <c r="C1220" s="120">
        <v>4.1999999999999997E-3</v>
      </c>
    </row>
    <row r="1221" spans="1:3" x14ac:dyDescent="0.35">
      <c r="A1221" s="136">
        <v>44106</v>
      </c>
      <c r="B1221" s="120">
        <v>-8.5000000000000006E-3</v>
      </c>
      <c r="C1221" s="120">
        <v>-1.0699999999999999E-2</v>
      </c>
    </row>
    <row r="1222" spans="1:3" x14ac:dyDescent="0.35">
      <c r="A1222" s="136">
        <v>44014</v>
      </c>
      <c r="B1222" s="120">
        <v>4.3E-3</v>
      </c>
      <c r="C1222" s="120">
        <v>2.3999999999999998E-3</v>
      </c>
    </row>
    <row r="1223" spans="1:3" x14ac:dyDescent="0.35">
      <c r="A1223" s="136">
        <v>43984</v>
      </c>
      <c r="B1223" s="120">
        <v>2.63E-2</v>
      </c>
      <c r="C1223" s="120">
        <v>1.3599999999999999E-2</v>
      </c>
    </row>
    <row r="1224" spans="1:3" x14ac:dyDescent="0.35">
      <c r="A1224" s="136">
        <v>43953</v>
      </c>
      <c r="B1224" s="120">
        <v>-1.2999999999999999E-2</v>
      </c>
      <c r="C1224" s="120">
        <v>-3.3999999999999998E-3</v>
      </c>
    </row>
    <row r="1225" spans="1:3" x14ac:dyDescent="0.35">
      <c r="A1225" s="136">
        <v>43923</v>
      </c>
      <c r="B1225" s="120">
        <v>3.5900000000000001E-2</v>
      </c>
      <c r="C1225" s="120">
        <v>1E-3</v>
      </c>
    </row>
    <row r="1226" spans="1:3" x14ac:dyDescent="0.35">
      <c r="A1226" s="136">
        <v>43892</v>
      </c>
      <c r="B1226" s="120">
        <v>-3.8800000000000001E-2</v>
      </c>
      <c r="C1226" s="120">
        <v>-9.1000000000000004E-3</v>
      </c>
    </row>
    <row r="1227" spans="1:3" x14ac:dyDescent="0.35">
      <c r="A1227" s="136" t="s">
        <v>1061</v>
      </c>
      <c r="B1227" s="120">
        <v>-6.83E-2</v>
      </c>
      <c r="C1227" s="120">
        <v>-2.3900000000000001E-2</v>
      </c>
    </row>
    <row r="1228" spans="1:3" x14ac:dyDescent="0.35">
      <c r="A1228" s="136" t="s">
        <v>1062</v>
      </c>
      <c r="B1228" s="120">
        <v>-1.1900000000000001E-2</v>
      </c>
      <c r="C1228" s="120">
        <v>-3.2199999999999999E-2</v>
      </c>
    </row>
    <row r="1229" spans="1:3" x14ac:dyDescent="0.35">
      <c r="A1229" s="136" t="s">
        <v>1063</v>
      </c>
      <c r="B1229" s="120">
        <v>-4.0000000000000001E-3</v>
      </c>
      <c r="C1229" s="120">
        <v>5.1999999999999998E-3</v>
      </c>
    </row>
    <row r="1230" spans="1:3" x14ac:dyDescent="0.35">
      <c r="A1230" s="136" t="s">
        <v>1064</v>
      </c>
      <c r="B1230" s="120">
        <v>4.0000000000000001E-3</v>
      </c>
      <c r="C1230" s="120">
        <v>7.9000000000000008E-3</v>
      </c>
    </row>
    <row r="1231" spans="1:3" x14ac:dyDescent="0.35">
      <c r="A1231" s="136" t="s">
        <v>1065</v>
      </c>
      <c r="B1231" s="120">
        <v>8.0000000000000002E-3</v>
      </c>
      <c r="C1231" s="120">
        <v>-2.9999999999999997E-4</v>
      </c>
    </row>
    <row r="1232" spans="1:3" x14ac:dyDescent="0.35">
      <c r="A1232" s="136" t="s">
        <v>1066</v>
      </c>
      <c r="B1232" s="120">
        <v>0</v>
      </c>
      <c r="C1232" s="120">
        <v>4.7999999999999996E-3</v>
      </c>
    </row>
    <row r="1233" spans="1:3" x14ac:dyDescent="0.35">
      <c r="A1233" s="136" t="s">
        <v>1067</v>
      </c>
      <c r="B1233" s="120">
        <v>-1.9599999999999999E-2</v>
      </c>
      <c r="C1233" s="120">
        <v>7.0000000000000001E-3</v>
      </c>
    </row>
    <row r="1234" spans="1:3" x14ac:dyDescent="0.35">
      <c r="A1234" s="136" t="s">
        <v>1068</v>
      </c>
      <c r="B1234" s="120">
        <v>-3.8999999999999998E-3</v>
      </c>
      <c r="C1234" s="120">
        <v>5.9999999999999995E-4</v>
      </c>
    </row>
    <row r="1235" spans="1:3" x14ac:dyDescent="0.35">
      <c r="A1235" s="136" t="s">
        <v>1069</v>
      </c>
      <c r="B1235" s="120">
        <v>-7.7999999999999996E-3</v>
      </c>
      <c r="C1235" s="120">
        <v>1.1999999999999999E-3</v>
      </c>
    </row>
    <row r="1236" spans="1:3" x14ac:dyDescent="0.35">
      <c r="A1236" s="136" t="s">
        <v>1070</v>
      </c>
      <c r="B1236" s="120">
        <v>1.18E-2</v>
      </c>
      <c r="C1236" s="120">
        <v>-2.8E-3</v>
      </c>
    </row>
  </sheetData>
  <sheetProtection algorithmName="SHA-512" hashValue="bSeSawdG7eL92m486FIlqz4O7iAhthcarTQK4BnJ0S5ixlaYv0rzDoVrzlV8mpOJ0631rqDlgB4HbfvqzNSzGw==" saltValue="DFWIDWrV0NkMCQE7YdUgzQ==" spinCount="100000" sheet="1" objects="1" scenarios="1"/>
  <mergeCells count="1">
    <mergeCell ref="L26:M26"/>
  </mergeCells>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FEFE-FE40-45A7-BB15-78E9AC18CA3B}">
  <dimension ref="A1:K31"/>
  <sheetViews>
    <sheetView tabSelected="1" zoomScale="68" zoomScaleNormal="70" workbookViewId="0">
      <selection activeCell="L4" sqref="L4"/>
    </sheetView>
  </sheetViews>
  <sheetFormatPr defaultRowHeight="14.5" x14ac:dyDescent="0.35"/>
  <cols>
    <col min="1" max="1" width="55.08984375" customWidth="1"/>
    <col min="2" max="2" width="12.453125" customWidth="1"/>
    <col min="3" max="3" width="18.81640625" customWidth="1"/>
    <col min="4" max="4" width="15.08984375" customWidth="1"/>
    <col min="5" max="5" width="15.36328125" customWidth="1"/>
    <col min="6" max="6" width="19.26953125" customWidth="1"/>
    <col min="7" max="7" width="16" customWidth="1"/>
    <col min="8" max="8" width="15.54296875" customWidth="1"/>
    <col min="9" max="9" width="15.7265625" customWidth="1"/>
    <col min="10" max="10" width="16.81640625" customWidth="1"/>
    <col min="11" max="11" width="15.7265625" customWidth="1"/>
  </cols>
  <sheetData>
    <row r="1" spans="1:11" x14ac:dyDescent="0.35">
      <c r="A1" s="1" t="s">
        <v>0</v>
      </c>
      <c r="B1" s="1"/>
      <c r="C1" s="2"/>
      <c r="D1" s="2"/>
      <c r="E1" s="2"/>
    </row>
    <row r="2" spans="1:11" x14ac:dyDescent="0.35">
      <c r="A2" s="1" t="s">
        <v>1</v>
      </c>
      <c r="B2" s="1"/>
      <c r="C2" s="2" t="s">
        <v>2</v>
      </c>
      <c r="D2" s="36"/>
      <c r="E2" s="2"/>
    </row>
    <row r="4" spans="1:11" ht="15" thickBot="1" x14ac:dyDescent="0.4"/>
    <row r="5" spans="1:11" x14ac:dyDescent="0.35">
      <c r="A5" s="15" t="s">
        <v>183</v>
      </c>
      <c r="B5" s="97" t="s">
        <v>4</v>
      </c>
      <c r="C5" s="97" t="s">
        <v>5</v>
      </c>
      <c r="D5" s="97" t="s">
        <v>6</v>
      </c>
      <c r="E5" s="97" t="s">
        <v>7</v>
      </c>
      <c r="F5" s="111" t="s">
        <v>191</v>
      </c>
      <c r="G5" s="97" t="s">
        <v>192</v>
      </c>
      <c r="H5" s="97" t="s">
        <v>193</v>
      </c>
      <c r="I5" s="97" t="s">
        <v>194</v>
      </c>
      <c r="J5" s="97" t="s">
        <v>195</v>
      </c>
      <c r="K5" s="97" t="s">
        <v>196</v>
      </c>
    </row>
    <row r="6" spans="1:11" x14ac:dyDescent="0.35">
      <c r="A6" s="17" t="s">
        <v>64</v>
      </c>
      <c r="B6" s="31">
        <v>7761818.6045629997</v>
      </c>
      <c r="C6" s="31">
        <v>12786141.193352001</v>
      </c>
      <c r="D6" s="31">
        <v>18627179.544264998</v>
      </c>
      <c r="E6" s="31">
        <v>13569185.52</v>
      </c>
      <c r="F6" s="106">
        <f>'2024FinalKeyData'!E41</f>
        <v>14258162.042204542</v>
      </c>
      <c r="G6" s="106">
        <f>F6*(1+Assumptions!G9)</f>
        <v>16806274.301444251</v>
      </c>
      <c r="H6" s="106">
        <f>G6*(1+Assumptions!H9)</f>
        <v>19839801.076313507</v>
      </c>
      <c r="I6" s="106">
        <f>H6*(1+Assumptions!I9)</f>
        <v>23456689.171825781</v>
      </c>
      <c r="J6" s="106">
        <f>I6*(1+Assumptions!J9)</f>
        <v>27775715.441008896</v>
      </c>
      <c r="K6" s="106">
        <f>J6*(1+Assumptions!K9)</f>
        <v>32941136.877677582</v>
      </c>
    </row>
    <row r="7" spans="1:11" x14ac:dyDescent="0.35">
      <c r="A7" s="11" t="s">
        <v>170</v>
      </c>
      <c r="B7" s="31">
        <v>6032014.9909899998</v>
      </c>
      <c r="C7" s="31">
        <v>8000602.4383169999</v>
      </c>
      <c r="D7" s="31">
        <v>10788959.662813</v>
      </c>
      <c r="E7" s="31">
        <v>11917438.630000001</v>
      </c>
      <c r="F7" s="106">
        <f>'2024FinalKeyData'!E42</f>
        <v>12005243.229490999</v>
      </c>
      <c r="G7" s="106">
        <f>G6*Assumptions!G10</f>
        <v>12444482.494444562</v>
      </c>
      <c r="H7" s="106">
        <f>H6*Assumptions!H10</f>
        <v>14690707.33697526</v>
      </c>
      <c r="I7" s="106">
        <f>I6*Assumptions!I10</f>
        <v>17368891.673470318</v>
      </c>
      <c r="J7" s="106">
        <f>J6*Assumptions!J10</f>
        <v>20566985.780221663</v>
      </c>
      <c r="K7" s="106">
        <f>K6*Assumptions!K10</f>
        <v>24391807.123255923</v>
      </c>
    </row>
    <row r="8" spans="1:11" x14ac:dyDescent="0.35">
      <c r="A8" s="17" t="s">
        <v>171</v>
      </c>
      <c r="B8" s="31">
        <f>B6-B7</f>
        <v>1729803.6135729998</v>
      </c>
      <c r="C8" s="31">
        <f>C6-C7</f>
        <v>4785538.7550350009</v>
      </c>
      <c r="D8" s="31">
        <f>D6-D7</f>
        <v>7838219.8814519979</v>
      </c>
      <c r="E8" s="31">
        <f>E6-E7</f>
        <v>1651746.8899999987</v>
      </c>
      <c r="F8" s="106">
        <f t="shared" ref="F8:K8" si="0">F6-F7</f>
        <v>2252918.812713543</v>
      </c>
      <c r="G8" s="106">
        <f t="shared" si="0"/>
        <v>4361791.806999689</v>
      </c>
      <c r="H8" s="106">
        <f t="shared" si="0"/>
        <v>5149093.7393382471</v>
      </c>
      <c r="I8" s="106">
        <f t="shared" si="0"/>
        <v>6087797.4983554631</v>
      </c>
      <c r="J8" s="106">
        <f t="shared" si="0"/>
        <v>7208729.6607872322</v>
      </c>
      <c r="K8" s="106">
        <f t="shared" si="0"/>
        <v>8549329.7544216588</v>
      </c>
    </row>
    <row r="9" spans="1:11" x14ac:dyDescent="0.35">
      <c r="A9" s="11" t="s">
        <v>182</v>
      </c>
      <c r="B9" s="31">
        <v>1063688.8756510001</v>
      </c>
      <c r="C9" s="31">
        <v>1242736.5516250001</v>
      </c>
      <c r="D9" s="31">
        <v>1533986.048369</v>
      </c>
      <c r="E9" s="31">
        <v>1350798.96</v>
      </c>
      <c r="F9" s="106">
        <f>'2024FinalKeyData'!E44</f>
        <v>1530017.2109164412</v>
      </c>
      <c r="G9" s="106">
        <f>G6*Assumptions!G11</f>
        <v>1759430.1100696328</v>
      </c>
      <c r="H9" s="106">
        <f>H6*Assumptions!H11</f>
        <v>2077006.6443850778</v>
      </c>
      <c r="I9" s="106">
        <f>I6*Assumptions!I11</f>
        <v>2455654.6246486064</v>
      </c>
      <c r="J9" s="106">
        <f>J6*Assumptions!J11</f>
        <v>2907808.6671141312</v>
      </c>
      <c r="K9" s="106">
        <f>K6*Assumptions!K11</f>
        <v>3448570.8755527395</v>
      </c>
    </row>
    <row r="10" spans="1:11" x14ac:dyDescent="0.35">
      <c r="A10" s="17" t="s">
        <v>184</v>
      </c>
      <c r="B10" s="31">
        <f>B8-(B9)</f>
        <v>666114.73792199977</v>
      </c>
      <c r="C10" s="31">
        <f t="shared" ref="C10:K10" si="1">C8-(C9)</f>
        <v>3542802.2034100005</v>
      </c>
      <c r="D10" s="31">
        <f>D8-(D9)</f>
        <v>6304233.8330829982</v>
      </c>
      <c r="E10" s="31">
        <f t="shared" si="1"/>
        <v>300947.92999999877</v>
      </c>
      <c r="F10" s="106">
        <f t="shared" si="1"/>
        <v>722901.60179710179</v>
      </c>
      <c r="G10" s="106">
        <f>G8-(G9)</f>
        <v>2602361.6969300564</v>
      </c>
      <c r="H10" s="106">
        <f t="shared" si="1"/>
        <v>3072087.0949531691</v>
      </c>
      <c r="I10" s="106">
        <f t="shared" si="1"/>
        <v>3632142.8737068567</v>
      </c>
      <c r="J10" s="106">
        <f t="shared" si="1"/>
        <v>4300920.9936731011</v>
      </c>
      <c r="K10" s="106">
        <f t="shared" si="1"/>
        <v>5100758.8788689189</v>
      </c>
    </row>
    <row r="11" spans="1:11" x14ac:dyDescent="0.35">
      <c r="A11" s="11" t="s">
        <v>71</v>
      </c>
      <c r="B11" s="31">
        <v>2437.3513619999999</v>
      </c>
      <c r="C11" s="31">
        <v>2503.197142</v>
      </c>
      <c r="D11" s="31">
        <v>2662.0975229999999</v>
      </c>
      <c r="E11" s="31">
        <v>2664.91</v>
      </c>
      <c r="F11" s="106">
        <f>'2024FinalKeyData'!E45</f>
        <v>1988.9522635535461</v>
      </c>
      <c r="G11" s="106">
        <f>$G$6*Assumptions!G12</f>
        <v>3322.9263257399411</v>
      </c>
      <c r="H11" s="106">
        <f>$G$6*Assumptions!H12</f>
        <v>2932.0167991212256</v>
      </c>
      <c r="I11" s="106">
        <f>$G$6*Assumptions!I12</f>
        <v>2860.3730255239075</v>
      </c>
      <c r="J11" s="106">
        <f>$G$6*Assumptions!J12</f>
        <v>2952.0749463753928</v>
      </c>
      <c r="K11" s="106">
        <f>$G$6*Assumptions!K12</f>
        <v>2882.3588116025512</v>
      </c>
    </row>
    <row r="12" spans="1:11" x14ac:dyDescent="0.35">
      <c r="A12" s="11" t="s">
        <v>72</v>
      </c>
      <c r="B12" s="31">
        <v>96475.936092000004</v>
      </c>
      <c r="C12" s="31">
        <v>155255.17499299999</v>
      </c>
      <c r="D12" s="31">
        <v>21118.924267999999</v>
      </c>
      <c r="E12" s="31">
        <v>11025.86</v>
      </c>
      <c r="F12" s="106">
        <f>'2024FinalKeyData'!E46</f>
        <v>10187.758920596047</v>
      </c>
      <c r="G12" s="106">
        <f>$G$6*Assumptions!G13</f>
        <v>91536.606709071581</v>
      </c>
      <c r="H12" s="106">
        <f>$G$6*Assumptions!H13</f>
        <v>68065.032458103742</v>
      </c>
      <c r="I12" s="106">
        <f>$G$6*Assumptions!I13</f>
        <v>40864.144934417673</v>
      </c>
      <c r="J12" s="106">
        <f>$G$6*Assumptions!J13</f>
        <v>45226.086359327688</v>
      </c>
      <c r="K12" s="106">
        <f>$G$6*Assumptions!K13</f>
        <v>51540.061917441169</v>
      </c>
    </row>
    <row r="13" spans="1:11" x14ac:dyDescent="0.35">
      <c r="A13" s="11" t="s">
        <v>73</v>
      </c>
      <c r="B13" s="31">
        <v>1926.1683410000001</v>
      </c>
      <c r="C13" s="31">
        <v>1955.2315209999999</v>
      </c>
      <c r="D13" s="31">
        <v>2239.1667160000002</v>
      </c>
      <c r="E13" s="31">
        <v>10090.51</v>
      </c>
      <c r="F13" s="106">
        <f>'2024FinalKeyData'!E47</f>
        <v>16999.212773635321</v>
      </c>
      <c r="G13" s="106">
        <f>$G$6*Assumptions!G14</f>
        <v>8259.1597639301308</v>
      </c>
      <c r="H13" s="106">
        <f>$G$6*Assumptions!H14</f>
        <v>9076.8646869869845</v>
      </c>
      <c r="I13" s="106">
        <f>$G$6*Assumptions!I14</f>
        <v>10378.241153238871</v>
      </c>
      <c r="J13" s="106">
        <f>$G$6*Assumptions!J14</f>
        <v>12049.834116728964</v>
      </c>
      <c r="K13" s="106">
        <f>$G$6*Assumptions!K14</f>
        <v>11960.256974793841</v>
      </c>
    </row>
    <row r="14" spans="1:11" x14ac:dyDescent="0.35">
      <c r="A14" s="11" t="s">
        <v>68</v>
      </c>
      <c r="B14" s="31">
        <v>179636.01684699999</v>
      </c>
      <c r="C14" s="31">
        <v>175513.94562700001</v>
      </c>
      <c r="D14" s="31">
        <v>365063.53258499998</v>
      </c>
      <c r="E14" s="31">
        <v>457576.17</v>
      </c>
      <c r="F14" s="106">
        <f>'2024FinalKeyData'!E48</f>
        <v>397943.34701348637</v>
      </c>
      <c r="G14" s="106">
        <f>$G$6*Assumptions!G15</f>
        <v>520994.5033447718</v>
      </c>
      <c r="H14" s="106">
        <f>$G$6*Assumptions!H15</f>
        <v>471542.07587560499</v>
      </c>
      <c r="I14" s="106">
        <f>$G$6*Assumptions!I15</f>
        <v>507083.43410484772</v>
      </c>
      <c r="J14" s="106">
        <f>$G$6*Assumptions!J15</f>
        <v>492170.20600166026</v>
      </c>
      <c r="K14" s="106">
        <f>$G$6*Assumptions!K15</f>
        <v>497947.55483172118</v>
      </c>
    </row>
    <row r="15" spans="1:11" x14ac:dyDescent="0.35">
      <c r="A15" s="11" t="s">
        <v>69</v>
      </c>
      <c r="B15" s="31">
        <v>94847.103094000006</v>
      </c>
      <c r="C15" s="31">
        <v>74648.067030999999</v>
      </c>
      <c r="D15" s="31">
        <v>85257.284732999993</v>
      </c>
      <c r="E15" s="31">
        <v>71157.84</v>
      </c>
      <c r="F15" s="106">
        <f>'2024FinalKeyData'!E49</f>
        <v>46369.00565917357</v>
      </c>
      <c r="G15" s="106">
        <f>$G$6*Assumptions!G16</f>
        <v>104639.62078973024</v>
      </c>
      <c r="H15" s="106">
        <f>$G$6*Assumptions!H16</f>
        <v>84494.015340632031</v>
      </c>
      <c r="I15" s="106">
        <f>$G$6*Assumptions!I16</f>
        <v>81769.135678774619</v>
      </c>
      <c r="J15" s="106">
        <f>$G$6*Assumptions!J16</f>
        <v>82738.375899327046</v>
      </c>
      <c r="K15" s="106">
        <f>$G$6*Assumptions!K16</f>
        <v>81659.375167427337</v>
      </c>
    </row>
    <row r="16" spans="1:11" x14ac:dyDescent="0.35">
      <c r="A16" s="17" t="s">
        <v>300</v>
      </c>
      <c r="B16" s="31">
        <f>B10+B11+B12-B13+B14-B15</f>
        <v>847890.77078799973</v>
      </c>
      <c r="C16" s="31">
        <f t="shared" ref="C16:K16" si="2">C10+C11+C12-C13+C14-C15</f>
        <v>3799471.2226200006</v>
      </c>
      <c r="D16" s="31">
        <f t="shared" si="2"/>
        <v>6605581.9360099975</v>
      </c>
      <c r="E16" s="31">
        <f>E10+E11+E12-E13+E14-E15</f>
        <v>690966.51999999874</v>
      </c>
      <c r="F16" s="106">
        <f t="shared" si="2"/>
        <v>1069653.441561929</v>
      </c>
      <c r="G16" s="106">
        <f t="shared" si="2"/>
        <v>3105316.9527559793</v>
      </c>
      <c r="H16" s="106">
        <f t="shared" si="2"/>
        <v>3521055.3400583803</v>
      </c>
      <c r="I16" s="106">
        <f t="shared" si="2"/>
        <v>4090803.4489396326</v>
      </c>
      <c r="J16" s="106">
        <f t="shared" si="2"/>
        <v>4746481.1509644082</v>
      </c>
      <c r="K16" s="106">
        <f t="shared" si="2"/>
        <v>5559509.2222874621</v>
      </c>
    </row>
    <row r="17" spans="1:11" x14ac:dyDescent="0.35">
      <c r="A17" s="98" t="s">
        <v>185</v>
      </c>
      <c r="B17" s="31">
        <v>146271.09198599998</v>
      </c>
      <c r="C17" s="31">
        <v>627954.92206100002</v>
      </c>
      <c r="D17" s="31">
        <v>1020690.6497669999</v>
      </c>
      <c r="E17" s="31">
        <v>161149.61000000002</v>
      </c>
      <c r="F17" s="106">
        <f>'2024FinalKeyData'!E52</f>
        <v>156183.00706979021</v>
      </c>
      <c r="G17" s="106">
        <f>G10*Assumptions!G17</f>
        <v>453613.30227427965</v>
      </c>
      <c r="H17" s="106">
        <f>H10*Assumptions!H17</f>
        <v>535490.34850145178</v>
      </c>
      <c r="I17" s="106">
        <f>I10*Assumptions!I17</f>
        <v>633112.73187650251</v>
      </c>
      <c r="J17" s="106">
        <f>J10*Assumptions!J17</f>
        <v>749686.32418096461</v>
      </c>
      <c r="K17" s="106">
        <f>K10*Assumptions!K17</f>
        <v>889104.72432716936</v>
      </c>
    </row>
    <row r="18" spans="1:11" x14ac:dyDescent="0.35">
      <c r="A18" s="12" t="s">
        <v>186</v>
      </c>
      <c r="B18" s="39">
        <f>B10-B17+B11+B12-B13</f>
        <v>616830.76504899981</v>
      </c>
      <c r="C18" s="39">
        <f t="shared" ref="C18:K18" si="3">C10-C17</f>
        <v>2914847.2813490005</v>
      </c>
      <c r="D18" s="39">
        <f t="shared" si="3"/>
        <v>5283543.1833159979</v>
      </c>
      <c r="E18" s="39">
        <f t="shared" si="3"/>
        <v>139798.31999999876</v>
      </c>
      <c r="F18" s="106">
        <f t="shared" si="3"/>
        <v>566718.59472731152</v>
      </c>
      <c r="G18" s="106">
        <f t="shared" si="3"/>
        <v>2148748.3946557767</v>
      </c>
      <c r="H18" s="106">
        <f t="shared" si="3"/>
        <v>2536596.7464517173</v>
      </c>
      <c r="I18" s="106">
        <f t="shared" si="3"/>
        <v>2999030.141830354</v>
      </c>
      <c r="J18" s="106">
        <f t="shared" si="3"/>
        <v>3551234.6694921367</v>
      </c>
      <c r="K18" s="106">
        <f t="shared" si="3"/>
        <v>4211654.1545417495</v>
      </c>
    </row>
    <row r="19" spans="1:11" x14ac:dyDescent="0.35">
      <c r="A19" s="11" t="s">
        <v>83</v>
      </c>
      <c r="B19" s="31">
        <v>549648.41702499997</v>
      </c>
      <c r="C19" s="31">
        <v>536986.11069200002</v>
      </c>
      <c r="D19" s="31">
        <v>514801.55963899998</v>
      </c>
      <c r="E19" s="31">
        <v>403299.07</v>
      </c>
      <c r="F19" s="106">
        <f>'2024FinalKeyData'!E54</f>
        <v>393831.59592170169</v>
      </c>
      <c r="G19" s="106">
        <f>Assumptions!G20*Assumptions!G24</f>
        <v>526885.49169178167</v>
      </c>
      <c r="H19" s="106">
        <f>Assumptions!H20*Assumptions!H24</f>
        <v>521397.15140826575</v>
      </c>
      <c r="I19" s="106">
        <f>Assumptions!I20*Assumptions!I24</f>
        <v>499544.61123744288</v>
      </c>
      <c r="J19" s="106">
        <f>Assumptions!J20*Assumptions!J24</f>
        <v>483755.83564068918</v>
      </c>
      <c r="K19" s="106">
        <f>Assumptions!K20*Assumptions!K24</f>
        <v>528222.7489314311</v>
      </c>
    </row>
    <row r="20" spans="1:11" x14ac:dyDescent="0.35">
      <c r="A20" s="18" t="s">
        <v>187</v>
      </c>
      <c r="B20" s="31">
        <v>194437.765308</v>
      </c>
      <c r="C20" s="31">
        <v>36040.728360000001</v>
      </c>
      <c r="D20" s="31">
        <v>329374.10647900001</v>
      </c>
      <c r="E20" s="31">
        <v>-364604.1</v>
      </c>
      <c r="F20" s="106">
        <f>'2024FinalKeyData'!E55</f>
        <v>254743.16899563553</v>
      </c>
      <c r="G20" s="106">
        <f>G6*Assumptions!G42</f>
        <v>122847.80317664497</v>
      </c>
      <c r="H20" s="106">
        <f>H6*Assumptions!H42</f>
        <v>145021.78971798066</v>
      </c>
      <c r="I20" s="106">
        <f>I6*Assumptions!I42</f>
        <v>171459.93709674021</v>
      </c>
      <c r="J20" s="106">
        <f>J6*Assumptions!J42</f>
        <v>203030.46126614345</v>
      </c>
      <c r="K20" s="106">
        <f>K6*Assumptions!K42</f>
        <v>240787.82881796107</v>
      </c>
    </row>
    <row r="21" spans="1:11" x14ac:dyDescent="0.35">
      <c r="A21" s="11" t="s">
        <v>188</v>
      </c>
      <c r="B21" s="31">
        <f>('Raw Data'!B16-5943854.074804)-('Raw Data'!B7-2976952.450033)-('Raw Data'!B41-(2060713.280767-312648.007246))</f>
        <v>1507605.0155020002</v>
      </c>
      <c r="C21" s="31">
        <f>('Raw Data'!C16-'Raw Data'!B16)-('Raw Data'!C7-'Raw Data'!B7)-('Raw Data'!C41-'Raw Data'!B41)</f>
        <v>2137698.4276400013</v>
      </c>
      <c r="D21" s="31">
        <f>('Raw Data'!D16-'Raw Data'!C16)-('Raw Data'!D7-'Raw Data'!C7)-('Raw Data'!D41-'Raw Data'!C41)</f>
        <v>4010862.8016079995</v>
      </c>
      <c r="E21" s="31">
        <f>('Raw Data'!E16-'Raw Data'!D16)-('Raw Data'!E7-'Raw Data'!D7)-('Raw Data'!E41-'Raw Data'!D41)</f>
        <v>-2027774.1630000002</v>
      </c>
      <c r="F21" s="106">
        <f>'2024FinalKeyData'!E56</f>
        <v>641047.80707910878</v>
      </c>
      <c r="G21" s="125">
        <f>('Net Working Capital'!C10-'Net Working Capital'!B10)-('Net Working Capital'!C20-'Net Working Capital'!B20)</f>
        <v>991724.70045539457</v>
      </c>
      <c r="H21" s="125">
        <f>('Net Working Capital'!D10-'Net Working Capital'!C10)-('Net Working Capital'!D20-'Net Working Capital'!C20)</f>
        <v>1311362.3812191547</v>
      </c>
      <c r="I21" s="125">
        <f>('Net Working Capital'!E10-'Net Working Capital'!D10)-('Net Working Capital'!E20-'Net Working Capital'!D20)</f>
        <v>1517895.066307175</v>
      </c>
      <c r="J21" s="125">
        <f>('Net Working Capital'!F10-'Net Working Capital'!E10)-('Net Working Capital'!F20-'Net Working Capital'!E20)</f>
        <v>1901082.6023892108</v>
      </c>
      <c r="K21" s="125">
        <f>('Net Working Capital'!G10-'Net Working Capital'!F10)-('Net Working Capital'!G20-'Net Working Capital'!F20)</f>
        <v>2307871.3813094869</v>
      </c>
    </row>
    <row r="22" spans="1:11" x14ac:dyDescent="0.35">
      <c r="A22" s="98" t="s">
        <v>189</v>
      </c>
      <c r="B22" s="101">
        <f>+'Raw Data'!B106+'Raw Data'!B107</f>
        <v>-81740.330467000007</v>
      </c>
      <c r="C22" s="101">
        <f>+'Raw Data'!C106+'Raw Data'!C107</f>
        <v>-221638.40160799999</v>
      </c>
      <c r="D22" s="101">
        <f>+'Raw Data'!D106+'Raw Data'!D107</f>
        <v>-74989.652952999997</v>
      </c>
      <c r="E22" s="101">
        <f>+'Raw Data'!E106+'Raw Data'!E107</f>
        <v>-239852.15000000002</v>
      </c>
      <c r="F22" s="106">
        <f>'2024FinalKeyData'!E57</f>
        <v>-166173.37276420381</v>
      </c>
      <c r="G22" s="106">
        <f>Assumptions!G25*Assumptions!G20</f>
        <v>-181057.99005488961</v>
      </c>
      <c r="H22" s="106">
        <f>Assumptions!H25*Assumptions!H20</f>
        <v>-200891.77835991688</v>
      </c>
      <c r="I22" s="106">
        <f>Assumptions!I25*Assumptions!I20</f>
        <v>-190000.34406864364</v>
      </c>
      <c r="J22" s="106">
        <f>Assumptions!J25*Assumptions!J20</f>
        <v>-205403.37419135545</v>
      </c>
      <c r="K22" s="106">
        <f>Assumptions!K25*Assumptions!K20</f>
        <v>-208047.99867761484</v>
      </c>
    </row>
    <row r="23" spans="1:11" x14ac:dyDescent="0.35">
      <c r="A23" s="12" t="s">
        <v>190</v>
      </c>
      <c r="B23" s="102">
        <f t="shared" ref="B23:K23" si="4">B18+B19+B20-B21-B22</f>
        <v>-64947.737653000644</v>
      </c>
      <c r="C23" s="102">
        <f t="shared" si="4"/>
        <v>1571814.0943689994</v>
      </c>
      <c r="D23" s="102">
        <f t="shared" si="4"/>
        <v>2191845.7007789989</v>
      </c>
      <c r="E23" s="102">
        <f t="shared" si="4"/>
        <v>2446119.6029999987</v>
      </c>
      <c r="F23" s="106">
        <f t="shared" si="4"/>
        <v>740418.92532974388</v>
      </c>
      <c r="G23" s="106">
        <f>G18+G19+G20-G21-G22</f>
        <v>1987814.9791236985</v>
      </c>
      <c r="H23" s="106">
        <f t="shared" si="4"/>
        <v>2092545.0847187261</v>
      </c>
      <c r="I23" s="106">
        <f t="shared" si="4"/>
        <v>2342139.9679260058</v>
      </c>
      <c r="J23" s="106">
        <f t="shared" si="4"/>
        <v>2542341.7382011139</v>
      </c>
      <c r="K23" s="106">
        <f t="shared" si="4"/>
        <v>2880841.3496592697</v>
      </c>
    </row>
    <row r="24" spans="1:11" x14ac:dyDescent="0.35">
      <c r="A24" s="12" t="s">
        <v>1086</v>
      </c>
      <c r="B24" s="39">
        <f>B16-B17</f>
        <v>701619.67880199978</v>
      </c>
      <c r="C24" s="39">
        <f t="shared" ref="C24:K24" si="5">C16-C17</f>
        <v>3171516.3005590006</v>
      </c>
      <c r="D24" s="39">
        <f t="shared" si="5"/>
        <v>5584891.2862429973</v>
      </c>
      <c r="E24" s="39">
        <f t="shared" si="5"/>
        <v>529816.90999999875</v>
      </c>
      <c r="F24" s="106">
        <f t="shared" si="5"/>
        <v>913470.43449213868</v>
      </c>
      <c r="G24" s="106">
        <f>G16-G17</f>
        <v>2651703.6504816995</v>
      </c>
      <c r="H24" s="106">
        <f t="shared" si="5"/>
        <v>2985564.9915569285</v>
      </c>
      <c r="I24" s="106">
        <f t="shared" si="5"/>
        <v>3457690.7170631299</v>
      </c>
      <c r="J24" s="106">
        <f t="shared" si="5"/>
        <v>3996794.8267834438</v>
      </c>
      <c r="K24" s="106">
        <f t="shared" si="5"/>
        <v>4670404.4979602927</v>
      </c>
    </row>
    <row r="25" spans="1:11" x14ac:dyDescent="0.35">
      <c r="A25" s="12" t="s">
        <v>1108</v>
      </c>
      <c r="B25" s="39"/>
      <c r="C25" s="158">
        <f>(C24-B24)/B24</f>
        <v>3.5202784305797907</v>
      </c>
      <c r="D25" s="158">
        <f t="shared" ref="D25:K25" si="6">(D24-C24)/C24</f>
        <v>0.76095304484439308</v>
      </c>
      <c r="E25" s="158">
        <f t="shared" si="6"/>
        <v>-0.90513389019673995</v>
      </c>
      <c r="F25" s="112">
        <f t="shared" si="6"/>
        <v>0.7241247254492893</v>
      </c>
      <c r="G25" s="112">
        <f t="shared" si="6"/>
        <v>1.9028894098318188</v>
      </c>
      <c r="H25" s="112">
        <f t="shared" si="6"/>
        <v>0.12590446938313823</v>
      </c>
      <c r="I25" s="112">
        <f t="shared" si="6"/>
        <v>0.15813614067734452</v>
      </c>
      <c r="J25" s="112">
        <f t="shared" si="6"/>
        <v>0.15591449722785344</v>
      </c>
      <c r="K25" s="112">
        <f t="shared" si="6"/>
        <v>0.16853746573700387</v>
      </c>
    </row>
    <row r="26" spans="1:11" x14ac:dyDescent="0.35">
      <c r="A26" s="12" t="s">
        <v>179</v>
      </c>
      <c r="B26" s="39">
        <f>B24*Assumptions!B45/391400000*1000000</f>
        <v>1766.2434640981089</v>
      </c>
      <c r="C26" s="39">
        <f>C24*Assumptions!C45/391400000*1000000</f>
        <v>7964.0618142590711</v>
      </c>
      <c r="D26" s="39">
        <f>D24*Assumptions!D45/391400000*1000000</f>
        <v>14217.87781807102</v>
      </c>
      <c r="E26" s="39">
        <f>E24*Assumptions!E45/391400000*1000000</f>
        <v>1327.2012008175748</v>
      </c>
      <c r="F26" s="106">
        <f>F24*Assumptions!F45/391400000*1000000</f>
        <v>2301.7845313660096</v>
      </c>
      <c r="G26" s="106">
        <f>G24*Assumptions!G45/391400000*1000000</f>
        <v>6681.8259398170849</v>
      </c>
      <c r="H26" s="106">
        <f>H24*Assumptions!H45/391400000*1000000</f>
        <v>7523.0976892802446</v>
      </c>
      <c r="I26" s="106">
        <f>I24*Assumptions!I45/391400000*1000000</f>
        <v>8712.7713238016713</v>
      </c>
      <c r="J26" s="106">
        <f>J24*Assumptions!J45/391400000*1000000</f>
        <v>10071.218684213467</v>
      </c>
      <c r="K26" s="106">
        <f>K24*Assumptions!K45/391400000*1000000</f>
        <v>11768.596358133966</v>
      </c>
    </row>
    <row r="27" spans="1:11" x14ac:dyDescent="0.35">
      <c r="A27" s="12" t="s">
        <v>1108</v>
      </c>
      <c r="B27" s="39"/>
      <c r="C27" s="158">
        <f>(C26-B26)/B26</f>
        <v>3.5090396517479734</v>
      </c>
      <c r="D27" s="158">
        <f t="shared" ref="D27" si="7">(D26-C26)/C26</f>
        <v>0.78525457858889891</v>
      </c>
      <c r="E27" s="158">
        <f t="shared" ref="E27" si="8">(E26-D26)/D26</f>
        <v>-0.90665265113400439</v>
      </c>
      <c r="F27" s="112">
        <f t="shared" ref="F27" si="9">(F26-E26)/E26</f>
        <v>0.73431468412481671</v>
      </c>
      <c r="G27" s="112">
        <f t="shared" ref="G27" si="10">(G26-F26)/F26</f>
        <v>1.902889409831819</v>
      </c>
      <c r="H27" s="112">
        <f t="shared" ref="H27" si="11">(H26-G26)/G26</f>
        <v>0.12590446938313835</v>
      </c>
      <c r="I27" s="112">
        <f t="shared" ref="I27" si="12">(I26-H26)/H26</f>
        <v>0.15813614067734458</v>
      </c>
      <c r="J27" s="112">
        <f t="shared" ref="J27" si="13">(J26-I26)/I26</f>
        <v>0.15591449722785333</v>
      </c>
      <c r="K27" s="112">
        <f t="shared" ref="K27" si="14">(K26-J26)/J26</f>
        <v>0.16853746573700371</v>
      </c>
    </row>
    <row r="28" spans="1:11" x14ac:dyDescent="0.35">
      <c r="E28" s="101"/>
    </row>
    <row r="31" spans="1:11" x14ac:dyDescent="0.35">
      <c r="D31" s="101"/>
      <c r="E31" s="101"/>
      <c r="F31" s="101"/>
    </row>
  </sheetData>
  <sheetProtection algorithmName="SHA-512" hashValue="u5676HKu+5lleBy1mns7ms5UlEA09k4HLcAnyvapJVzx/EdTP1sQSJWMRcqXN+pBoW5csVqTke8WLwWBRWlIMA==" saltValue="MJByIVAij8LRAW/EC/V01A==" spinCount="100000" sheet="1" objects="1" scenarios="1"/>
  <hyperlinks>
    <hyperlink ref="F5" location="'2024FinalKeyData'!A1" display="2024F" xr:uid="{6F096FC1-4F25-403E-AEC1-586BD2DB8BA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184CC-7285-46A3-A3EF-731E9202E5D0}">
  <dimension ref="A1:G20"/>
  <sheetViews>
    <sheetView zoomScale="91" zoomScaleNormal="66" workbookViewId="0">
      <selection activeCell="E20" sqref="E20"/>
    </sheetView>
  </sheetViews>
  <sheetFormatPr defaultRowHeight="14.5" x14ac:dyDescent="0.35"/>
  <cols>
    <col min="1" max="1" width="41.453125" customWidth="1"/>
    <col min="2" max="2" width="15.453125" customWidth="1"/>
    <col min="3" max="3" width="19" customWidth="1"/>
    <col min="4" max="4" width="13.36328125" customWidth="1"/>
    <col min="5" max="5" width="14.54296875" customWidth="1"/>
    <col min="6" max="6" width="15.6328125" customWidth="1"/>
    <col min="7" max="7" width="17.6328125" customWidth="1"/>
  </cols>
  <sheetData>
    <row r="1" spans="1:7" x14ac:dyDescent="0.35">
      <c r="A1" s="1" t="s">
        <v>0</v>
      </c>
      <c r="B1" s="1"/>
      <c r="C1" s="2"/>
      <c r="D1" s="2"/>
      <c r="E1" s="2"/>
    </row>
    <row r="2" spans="1:7" x14ac:dyDescent="0.35">
      <c r="A2" s="1" t="s">
        <v>1</v>
      </c>
      <c r="B2" s="1"/>
      <c r="C2" s="2" t="s">
        <v>2</v>
      </c>
      <c r="D2" s="36"/>
      <c r="E2" s="2"/>
    </row>
    <row r="4" spans="1:7" ht="15" thickBot="1" x14ac:dyDescent="0.4"/>
    <row r="5" spans="1:7" x14ac:dyDescent="0.35">
      <c r="A5" s="15" t="s">
        <v>267</v>
      </c>
    </row>
    <row r="6" spans="1:7" x14ac:dyDescent="0.35">
      <c r="A6" s="126" t="s">
        <v>268</v>
      </c>
      <c r="B6" s="97" t="s">
        <v>191</v>
      </c>
      <c r="C6" s="97" t="s">
        <v>192</v>
      </c>
      <c r="D6" s="97" t="s">
        <v>193</v>
      </c>
      <c r="E6" s="97" t="s">
        <v>194</v>
      </c>
      <c r="F6" s="97" t="s">
        <v>195</v>
      </c>
      <c r="G6" s="97" t="s">
        <v>196</v>
      </c>
    </row>
    <row r="7" spans="1:7" x14ac:dyDescent="0.35">
      <c r="A7" s="11" t="s">
        <v>269</v>
      </c>
      <c r="B7" s="31">
        <f>Assumptions!F28/365*'FCF Forecast'!F6</f>
        <v>495518.46836051007</v>
      </c>
      <c r="C7" s="31">
        <f>Assumptions!G28/365*'FCF Forecast'!G6</f>
        <v>559550.95795243816</v>
      </c>
      <c r="D7" s="31">
        <f>Assumptions!H28/365*'FCF Forecast'!H6</f>
        <v>664768.2736818979</v>
      </c>
      <c r="E7" s="31">
        <f>Assumptions!I28/365*'FCF Forecast'!I6</f>
        <v>833341.85599271255</v>
      </c>
      <c r="F7" s="31">
        <f>Assumptions!J28/365*'FCF Forecast'!J6</f>
        <v>951881.57076266594</v>
      </c>
      <c r="G7" s="31">
        <f>Assumptions!K28/365*'FCF Forecast'!K6</f>
        <v>1124924.050109053</v>
      </c>
    </row>
    <row r="8" spans="1:7" x14ac:dyDescent="0.35">
      <c r="A8" s="11" t="s">
        <v>259</v>
      </c>
      <c r="B8" s="31">
        <f>Assumptions!F29/365*'FCF Forecast'!F7</f>
        <v>3149986.8157957648</v>
      </c>
      <c r="C8" s="31">
        <f>Assumptions!G29/365*'FCF Forecast'!G7</f>
        <v>3354570.529304048</v>
      </c>
      <c r="D8" s="31">
        <f>Assumptions!H29/365*'FCF Forecast'!H7</f>
        <v>3976006.7770423391</v>
      </c>
      <c r="E8" s="31">
        <f>Assumptions!I29/365*'FCF Forecast'!I7</f>
        <v>4538460.5859470395</v>
      </c>
      <c r="F8" s="31">
        <f>Assumptions!J29/365*'FCF Forecast'!J7</f>
        <v>5470268.5856792815</v>
      </c>
      <c r="G8" s="31">
        <f>Assumptions!K29/365*'FCF Forecast'!K7</f>
        <v>6509454.5179440435</v>
      </c>
    </row>
    <row r="9" spans="1:7" x14ac:dyDescent="0.35">
      <c r="A9" s="11" t="s">
        <v>263</v>
      </c>
      <c r="B9" s="31">
        <f>Assumptions!F30*'FCF Forecast'!F6</f>
        <v>5064196.0691131223</v>
      </c>
      <c r="C9" s="31">
        <f>Assumptions!G30*'FCF Forecast'!G6</f>
        <v>5969231.3779210942</v>
      </c>
      <c r="D9" s="31">
        <f>Assumptions!H30*'FCF Forecast'!H6</f>
        <v>7046675.6041382784</v>
      </c>
      <c r="E9" s="31">
        <f>Assumptions!I30*'FCF Forecast'!I6</f>
        <v>8331317.3708328623</v>
      </c>
      <c r="F9" s="31">
        <f>Assumptions!J30*'FCF Forecast'!J6</f>
        <v>9865343.6913397107</v>
      </c>
      <c r="G9" s="31">
        <f>Assumptions!K30*'FCF Forecast'!K6</f>
        <v>11699991.583365327</v>
      </c>
    </row>
    <row r="10" spans="1:7" x14ac:dyDescent="0.35">
      <c r="A10" s="17" t="s">
        <v>270</v>
      </c>
      <c r="B10" s="31">
        <f>SUM(B7:B9)</f>
        <v>8709701.3532693982</v>
      </c>
      <c r="C10" s="31">
        <f t="shared" ref="C10:G10" si="0">SUM(C7:C9)</f>
        <v>9883352.8651775792</v>
      </c>
      <c r="D10" s="31">
        <f t="shared" si="0"/>
        <v>11687450.654862516</v>
      </c>
      <c r="E10" s="31">
        <f t="shared" si="0"/>
        <v>13703119.812772615</v>
      </c>
      <c r="F10" s="31">
        <f t="shared" si="0"/>
        <v>16287493.847781658</v>
      </c>
      <c r="G10" s="31">
        <f t="shared" si="0"/>
        <v>19334370.151418425</v>
      </c>
    </row>
    <row r="11" spans="1:7" x14ac:dyDescent="0.35">
      <c r="A11" s="11"/>
      <c r="B11" s="31"/>
      <c r="C11" s="31"/>
      <c r="D11" s="31"/>
      <c r="E11" s="31"/>
      <c r="F11" s="31"/>
      <c r="G11" s="31"/>
    </row>
    <row r="12" spans="1:7" x14ac:dyDescent="0.35">
      <c r="A12" s="11" t="s">
        <v>260</v>
      </c>
      <c r="B12" s="31">
        <f>Assumptions!F32/365*'FCF Forecast'!F7</f>
        <v>878588.25104317267</v>
      </c>
      <c r="C12" s="31">
        <f>Assumptions!G32/365*'FCF Forecast'!G7</f>
        <v>902810.7993190944</v>
      </c>
      <c r="D12" s="31">
        <f>Assumptions!H32/365*'FCF Forecast'!H7</f>
        <v>1090674.7470509999</v>
      </c>
      <c r="E12" s="31">
        <f>Assumptions!I32/365*'FCF Forecast'!I7</f>
        <v>1312223.3265320316</v>
      </c>
      <c r="F12" s="31">
        <f>Assumptions!J32/365*'FCF Forecast'!J7</f>
        <v>1519506.8246606193</v>
      </c>
      <c r="G12" s="31">
        <f>Assumptions!K32/365*'FCF Forecast'!K7</f>
        <v>1806339.2056033153</v>
      </c>
    </row>
    <row r="13" spans="1:7" x14ac:dyDescent="0.35">
      <c r="A13" s="11" t="s">
        <v>32</v>
      </c>
      <c r="B13" s="31">
        <f>Assumptions!F33*'FCF Forecast'!F$6</f>
        <v>137531.74516997492</v>
      </c>
      <c r="C13" s="31">
        <f>Assumptions!G33*'FCF Forecast'!G$6</f>
        <v>162110.39176305712</v>
      </c>
      <c r="D13" s="31">
        <f>Assumptions!H33*'FCF Forecast'!H$6</f>
        <v>191371.26214261045</v>
      </c>
      <c r="E13" s="31">
        <f>Assumptions!I33*'FCF Forecast'!I$6</f>
        <v>226259.13411291654</v>
      </c>
      <c r="F13" s="31">
        <f>Assumptions!J33*'FCF Forecast'!J$6</f>
        <v>267919.70848971588</v>
      </c>
      <c r="G13" s="31">
        <f>Assumptions!K33*'FCF Forecast'!K$6</f>
        <v>317744.46308435529</v>
      </c>
    </row>
    <row r="14" spans="1:7" x14ac:dyDescent="0.35">
      <c r="A14" s="11" t="s">
        <v>33</v>
      </c>
      <c r="B14" s="31">
        <f>Assumptions!F34*'FCF Forecast'!F$6</f>
        <v>20.838339283146343</v>
      </c>
      <c r="C14" s="31">
        <f>Assumptions!G34*'FCF Forecast'!G$6</f>
        <v>21.845174622646301</v>
      </c>
      <c r="D14" s="31">
        <f>Assumptions!H34*'FCF Forecast'!H$6</f>
        <v>25.182255818572255</v>
      </c>
      <c r="E14" s="31">
        <f>Assumptions!I34*'FCF Forecast'!I$6</f>
        <v>31.492980753110825</v>
      </c>
      <c r="F14" s="31">
        <f>Assumptions!J34*'FCF Forecast'!J$6</f>
        <v>37.311160084095185</v>
      </c>
      <c r="G14" s="31">
        <f>Assumptions!K34*'FCF Forecast'!K$6</f>
        <v>43.27645966267044</v>
      </c>
    </row>
    <row r="15" spans="1:7" x14ac:dyDescent="0.35">
      <c r="A15" s="11" t="s">
        <v>34</v>
      </c>
      <c r="B15" s="31">
        <f>Assumptions!F35*'FCF Forecast'!F$6</f>
        <v>520488.59071576584</v>
      </c>
      <c r="C15" s="31">
        <f>Assumptions!G35*'FCF Forecast'!G$6</f>
        <v>519599.10325486801</v>
      </c>
      <c r="D15" s="31">
        <f>Assumptions!H35*'FCF Forecast'!H$6</f>
        <v>635662.61954375159</v>
      </c>
      <c r="E15" s="31">
        <f>Assumptions!I35*'FCF Forecast'!I$6</f>
        <v>686769.20864757523</v>
      </c>
      <c r="F15" s="31">
        <f>Assumptions!J35*'FCF Forecast'!J$6</f>
        <v>893958.11859437171</v>
      </c>
      <c r="G15" s="31">
        <f>Assumptions!K35*'FCF Forecast'!K$6</f>
        <v>1024632.4387684987</v>
      </c>
    </row>
    <row r="16" spans="1:7" x14ac:dyDescent="0.35">
      <c r="A16" s="11" t="s">
        <v>35</v>
      </c>
      <c r="B16" s="31">
        <f>Assumptions!F36*'FCF Forecast'!F$6</f>
        <v>182113.14782659838</v>
      </c>
      <c r="C16" s="31">
        <f>Assumptions!G36*'FCF Forecast'!G$6</f>
        <v>214659.04982799964</v>
      </c>
      <c r="D16" s="31">
        <f>Assumptions!H36*'FCF Forecast'!H$6</f>
        <v>253404.9350516671</v>
      </c>
      <c r="E16" s="31">
        <f>Assumptions!I36*'FCF Forecast'!I$6</f>
        <v>299601.83437575749</v>
      </c>
      <c r="F16" s="31">
        <f>Assumptions!J36*'FCF Forecast'!J$6</f>
        <v>354766.83159619116</v>
      </c>
      <c r="G16" s="31">
        <f>Assumptions!K36*'FCF Forecast'!K$6</f>
        <v>420742.4569887385</v>
      </c>
    </row>
    <row r="17" spans="1:7" x14ac:dyDescent="0.35">
      <c r="A17" s="11" t="s">
        <v>38</v>
      </c>
      <c r="B17" s="31">
        <f>Assumptions!F37*'FCF Forecast'!F$6</f>
        <v>194060.26669343095</v>
      </c>
      <c r="C17" s="31">
        <f>Assumptions!G37*'FCF Forecast'!G$6</f>
        <v>228741.26857355848</v>
      </c>
      <c r="D17" s="31">
        <f>Assumptions!H37*'FCF Forecast'!H$6</f>
        <v>270028.9894740688</v>
      </c>
      <c r="E17" s="31">
        <f>Assumptions!I37*'FCF Forecast'!I$6</f>
        <v>319256.531308548</v>
      </c>
      <c r="F17" s="31">
        <f>Assumptions!J37*'FCF Forecast'!J$6</f>
        <v>378040.50270490738</v>
      </c>
      <c r="G17" s="31">
        <f>Assumptions!K37*'FCF Forecast'!K$6</f>
        <v>448344.30894702685</v>
      </c>
    </row>
    <row r="18" spans="1:7" x14ac:dyDescent="0.35">
      <c r="A18" s="11" t="s">
        <v>39</v>
      </c>
      <c r="B18" s="31">
        <f>Assumptions!F38*'FCF Forecast'!F$6</f>
        <v>195028.52802065571</v>
      </c>
      <c r="C18" s="31">
        <f>Assumptions!G38*'FCF Forecast'!G$6</f>
        <v>229882.57033550029</v>
      </c>
      <c r="D18" s="31">
        <f>Assumptions!H38*'FCF Forecast'!H$6</f>
        <v>271376.29581447679</v>
      </c>
      <c r="E18" s="31">
        <f>Assumptions!I38*'FCF Forecast'!I$6</f>
        <v>320849.45786686469</v>
      </c>
      <c r="F18" s="31">
        <f>Assumptions!J38*'FCF Forecast'!J$6</f>
        <v>379926.73116955254</v>
      </c>
      <c r="G18" s="31">
        <f>Assumptions!K38*'FCF Forecast'!K$6</f>
        <v>450581.31739307067</v>
      </c>
    </row>
    <row r="19" spans="1:7" x14ac:dyDescent="0.35">
      <c r="A19" s="11" t="s">
        <v>40</v>
      </c>
      <c r="B19" s="31">
        <f>Assumptions!F39*'FCF Forecast'!F$6</f>
        <v>178684.4516014086</v>
      </c>
      <c r="C19" s="31">
        <f>Assumptions!G39*'FCF Forecast'!G$6</f>
        <v>210617.60261437573</v>
      </c>
      <c r="D19" s="31">
        <f>Assumptions!H39*'FCF Forecast'!H$6</f>
        <v>248634.00799546466</v>
      </c>
      <c r="E19" s="31">
        <f>Assumptions!I39*'FCF Forecast'!I$6</f>
        <v>293961.14510733524</v>
      </c>
      <c r="F19" s="31">
        <f>Assumptions!J39*'FCF Forecast'!J$6</f>
        <v>348087.5351761732</v>
      </c>
      <c r="G19" s="31">
        <f>Assumptions!K39*'FCF Forecast'!K$6</f>
        <v>412821.01863422745</v>
      </c>
    </row>
    <row r="20" spans="1:7" x14ac:dyDescent="0.35">
      <c r="A20" s="17" t="s">
        <v>271</v>
      </c>
      <c r="B20" s="31">
        <f>SUM(B12:B19)</f>
        <v>2286515.8194102901</v>
      </c>
      <c r="C20" s="31">
        <f t="shared" ref="C20:G20" si="1">SUM(C12:C19)</f>
        <v>2468442.6308630765</v>
      </c>
      <c r="D20" s="31">
        <f t="shared" si="1"/>
        <v>2961178.0393288583</v>
      </c>
      <c r="E20" s="31">
        <f t="shared" si="1"/>
        <v>3458952.1309317825</v>
      </c>
      <c r="F20" s="31">
        <f t="shared" si="1"/>
        <v>4142243.563551615</v>
      </c>
      <c r="G20" s="31">
        <f t="shared" si="1"/>
        <v>4881248.485878895</v>
      </c>
    </row>
  </sheetData>
  <sheetProtection algorithmName="SHA-512" hashValue="kYUEgDkix7I6QU+TT78KhS0A7XHpGj/zq8gUA+Ly/cK2nmsN7WOcVQGuloZmJc1hS/g815B2p92b4AA+0Bwx0Q==" saltValue="7XRuCRuJi5SM5TLLwC9Xxw=="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4A862-0B90-4995-A683-96BDE0381723}">
  <dimension ref="A1:M64"/>
  <sheetViews>
    <sheetView topLeftCell="A9" zoomScale="80" zoomScaleNormal="53" workbookViewId="0">
      <pane xSplit="1" topLeftCell="B1" activePane="topRight" state="frozen"/>
      <selection pane="topRight" activeCell="D36" sqref="D36"/>
    </sheetView>
  </sheetViews>
  <sheetFormatPr defaultRowHeight="14.5" x14ac:dyDescent="0.35"/>
  <cols>
    <col min="1" max="1" width="51.1796875" customWidth="1"/>
    <col min="2" max="2" width="41" customWidth="1"/>
    <col min="3" max="3" width="14.1796875" customWidth="1"/>
    <col min="4" max="4" width="15.7265625" customWidth="1"/>
    <col min="5" max="5" width="28.08984375" customWidth="1"/>
    <col min="6" max="6" width="12.90625" customWidth="1"/>
    <col min="7" max="7" width="12.453125" customWidth="1"/>
    <col min="8" max="8" width="13.6328125" customWidth="1"/>
    <col min="9" max="9" width="11.453125" customWidth="1"/>
    <col min="10" max="10" width="13.26953125" bestFit="1" customWidth="1"/>
    <col min="11" max="11" width="13.6328125" customWidth="1"/>
    <col min="12" max="12" width="13.1796875" bestFit="1" customWidth="1"/>
    <col min="13" max="13" width="13.90625" customWidth="1"/>
  </cols>
  <sheetData>
    <row r="1" spans="1:13" x14ac:dyDescent="0.35">
      <c r="A1" s="1" t="s">
        <v>0</v>
      </c>
      <c r="B1" s="1"/>
      <c r="C1" s="2"/>
      <c r="D1" s="2"/>
      <c r="E1" s="2"/>
    </row>
    <row r="2" spans="1:13" x14ac:dyDescent="0.35">
      <c r="A2" s="1" t="s">
        <v>1</v>
      </c>
      <c r="B2" s="1"/>
      <c r="C2" s="2" t="s">
        <v>2</v>
      </c>
      <c r="D2" s="36"/>
      <c r="E2" s="103" t="s">
        <v>212</v>
      </c>
    </row>
    <row r="3" spans="1:13" ht="15" thickBot="1" x14ac:dyDescent="0.4"/>
    <row r="4" spans="1:13" x14ac:dyDescent="0.35">
      <c r="A4" s="15" t="s">
        <v>204</v>
      </c>
      <c r="B4" t="s">
        <v>222</v>
      </c>
    </row>
    <row r="5" spans="1:13" x14ac:dyDescent="0.35">
      <c r="A5" t="s">
        <v>264</v>
      </c>
      <c r="B5" s="1" t="s">
        <v>205</v>
      </c>
      <c r="C5" s="1" t="s">
        <v>211</v>
      </c>
      <c r="D5" s="1" t="s">
        <v>206</v>
      </c>
      <c r="E5" s="1" t="s">
        <v>211</v>
      </c>
      <c r="F5" s="1" t="s">
        <v>207</v>
      </c>
      <c r="G5" s="1" t="s">
        <v>211</v>
      </c>
      <c r="H5" s="1" t="s">
        <v>208</v>
      </c>
      <c r="I5" s="1" t="s">
        <v>211</v>
      </c>
      <c r="J5" s="1" t="s">
        <v>209</v>
      </c>
      <c r="K5" s="1" t="s">
        <v>211</v>
      </c>
      <c r="L5" s="1" t="s">
        <v>210</v>
      </c>
      <c r="M5" s="1" t="s">
        <v>211</v>
      </c>
    </row>
    <row r="6" spans="1:13" x14ac:dyDescent="0.35">
      <c r="A6" s="17" t="s">
        <v>64</v>
      </c>
      <c r="B6" s="31">
        <v>6975654.7894230001</v>
      </c>
      <c r="C6" s="104">
        <f>B6/9297111.550409</f>
        <v>0.75030344119256331</v>
      </c>
      <c r="D6" s="31">
        <v>5398518.3098290004</v>
      </c>
      <c r="E6" s="104">
        <f>D6/7683541.208058</f>
        <v>0.70260810265029683</v>
      </c>
      <c r="F6" s="31">
        <v>5831784.7647759998</v>
      </c>
      <c r="G6" s="104">
        <f>F6/'Raw Data'!B67</f>
        <v>0.75134257342056721</v>
      </c>
      <c r="H6" s="31">
        <v>7699789.7602509996</v>
      </c>
      <c r="I6" s="104">
        <f>H6/'FCF Forecast'!C6</f>
        <v>0.60219808649183482</v>
      </c>
      <c r="J6" s="31">
        <v>14727486.123381</v>
      </c>
      <c r="K6" s="104">
        <f>J6/'FCF Forecast'!D6</f>
        <v>0.79064498671863348</v>
      </c>
      <c r="L6" s="31">
        <v>10187364.506297</v>
      </c>
      <c r="M6" s="104">
        <f>L6/'FCF Forecast'!E6</f>
        <v>0.75077199668923089</v>
      </c>
    </row>
    <row r="7" spans="1:13" x14ac:dyDescent="0.35">
      <c r="A7" s="11" t="s">
        <v>170</v>
      </c>
      <c r="B7" s="31">
        <v>5555899.6460300004</v>
      </c>
      <c r="C7" s="104">
        <f>B7/7397640.258893</f>
        <v>0.75103674301423762</v>
      </c>
      <c r="D7" s="31">
        <v>4553461.5981320003</v>
      </c>
      <c r="E7" s="104">
        <f>D7/6281448.254606</f>
        <v>0.72490632949066824</v>
      </c>
      <c r="F7" s="31">
        <v>4489313.1649890002</v>
      </c>
      <c r="G7" s="104">
        <f>F7/'Raw Data'!B68</f>
        <v>0.74424768036794864</v>
      </c>
      <c r="H7" s="31">
        <v>5285929.1582319997</v>
      </c>
      <c r="I7" s="104">
        <f>H7/'FCF Forecast'!C7</f>
        <v>0.66069139155275203</v>
      </c>
      <c r="J7" s="31">
        <v>8485450.9623770006</v>
      </c>
      <c r="K7" s="104">
        <f>J7/'FCF Forecast'!D7</f>
        <v>0.7864939000211808</v>
      </c>
      <c r="L7" s="31">
        <v>8867896.5831289999</v>
      </c>
      <c r="M7" s="104">
        <f>L7/'FCF Forecast'!E7</f>
        <v>0.74411095021758034</v>
      </c>
    </row>
    <row r="8" spans="1:13" x14ac:dyDescent="0.35">
      <c r="A8" s="17" t="s">
        <v>171</v>
      </c>
      <c r="B8" s="31">
        <f>B6-B7</f>
        <v>1419755.1433929997</v>
      </c>
      <c r="C8" s="104">
        <f>B8/1899471.291516</f>
        <v>0.74744753960449128</v>
      </c>
      <c r="D8" s="31">
        <f t="shared" ref="D8:L8" si="0">D6-D7</f>
        <v>845056.71169700008</v>
      </c>
      <c r="E8" s="104">
        <f>D8/1402092.953452</f>
        <v>0.6027109041639801</v>
      </c>
      <c r="F8" s="31">
        <f t="shared" si="0"/>
        <v>1342471.5997869996</v>
      </c>
      <c r="G8" s="104">
        <f>F8/'Raw Data'!B69</f>
        <v>0.77608324393198269</v>
      </c>
      <c r="H8" s="31">
        <f t="shared" si="0"/>
        <v>2413860.6020189999</v>
      </c>
      <c r="I8" s="104">
        <f>H8/'FCF Forecast'!C8</f>
        <v>0.50440728318819039</v>
      </c>
      <c r="J8" s="31">
        <f t="shared" si="0"/>
        <v>6242035.1610039994</v>
      </c>
      <c r="K8" s="104">
        <f>J8/'FCF Forecast'!D8</f>
        <v>0.79635877219709839</v>
      </c>
      <c r="L8" s="31">
        <f t="shared" si="0"/>
        <v>1319467.9231679998</v>
      </c>
      <c r="M8" s="104">
        <f>L8/'FCF Forecast'!E8</f>
        <v>0.79883178903276209</v>
      </c>
    </row>
    <row r="9" spans="1:13" x14ac:dyDescent="0.35">
      <c r="A9" s="11" t="s">
        <v>182</v>
      </c>
      <c r="B9" s="31">
        <f>432352.154181+373901.186418</f>
        <v>806253.34059899999</v>
      </c>
      <c r="C9" s="104">
        <f>B9/(612322.153525+485710.294387)</f>
        <v>0.73427096087384103</v>
      </c>
      <c r="D9" s="31">
        <f>352669.185499+319709.861792</f>
        <v>672379.04729100002</v>
      </c>
      <c r="E9" s="104">
        <f>D9/(554758.00257+415339.81596)</f>
        <v>0.69310438024679144</v>
      </c>
      <c r="F9" s="31">
        <f>419325.088129+260688.928852</f>
        <v>680014.01698099996</v>
      </c>
      <c r="G9" s="104">
        <f>F9/SUM('Raw Data'!B70:B71)</f>
        <v>0.63929785536660522</v>
      </c>
      <c r="H9" s="31">
        <f>517641.506381+258800.420934</f>
        <v>776441.92731499998</v>
      </c>
      <c r="I9" s="104">
        <f>H9/'FCF Forecast'!C9</f>
        <v>0.62478401097941949</v>
      </c>
      <c r="J9" s="31">
        <f>678616.001951+351419.38805</f>
        <v>1030035.3900009999</v>
      </c>
      <c r="K9" s="104">
        <f>J9/'FCF Forecast'!D9</f>
        <v>0.67147637431003881</v>
      </c>
      <c r="L9" s="31">
        <f>620397.846368+352812.175049</f>
        <v>973210.0214170001</v>
      </c>
      <c r="M9" s="104">
        <f>L9/'FCF Forecast'!E9</f>
        <v>0.7204699220504287</v>
      </c>
    </row>
    <row r="10" spans="1:13" x14ac:dyDescent="0.35">
      <c r="A10" s="11" t="s">
        <v>71</v>
      </c>
      <c r="B10" s="31">
        <v>2121.1710250000001</v>
      </c>
      <c r="C10" s="104">
        <f>B10/2916.621493</f>
        <v>0.72726990118220325</v>
      </c>
      <c r="D10" s="31">
        <v>127.382543</v>
      </c>
      <c r="E10" s="104">
        <f>D10/1680.107483</f>
        <v>7.5818091573847238E-2</v>
      </c>
      <c r="F10" s="31">
        <v>948.57792600000005</v>
      </c>
      <c r="G10" s="104">
        <f>F10/'Raw Data'!B76</f>
        <v>0.38918390708413592</v>
      </c>
      <c r="H10" s="31">
        <v>1400.352451</v>
      </c>
      <c r="I10" s="104">
        <f>H10/'FCF Forecast'!C11</f>
        <v>0.55942555522460724</v>
      </c>
      <c r="J10" s="31">
        <v>1476.6582269999999</v>
      </c>
      <c r="K10" s="104">
        <f>J10/'FCF Forecast'!D11</f>
        <v>0.55469726944334785</v>
      </c>
      <c r="L10" s="31">
        <v>2292.4800580000001</v>
      </c>
      <c r="M10" s="104">
        <f>L10/'FCF Forecast'!E11</f>
        <v>0.86024670926973157</v>
      </c>
    </row>
    <row r="11" spans="1:13" x14ac:dyDescent="0.35">
      <c r="A11" s="11" t="s">
        <v>72</v>
      </c>
      <c r="B11" s="31">
        <v>7352.2977579999997</v>
      </c>
      <c r="C11" s="104">
        <f>B11/17876.027364</f>
        <v>0.41129371802185605</v>
      </c>
      <c r="D11" s="31">
        <v>5497.9448949999996</v>
      </c>
      <c r="E11" s="104">
        <f>D11/( 7480.346769)</f>
        <v>0.73498529744430352</v>
      </c>
      <c r="F11" s="31">
        <v>10547.149292</v>
      </c>
      <c r="G11" s="104">
        <f>F11/'Raw Data'!B77</f>
        <v>0.10932414568066152</v>
      </c>
      <c r="H11" s="31">
        <v>102951.42645100001</v>
      </c>
      <c r="I11" s="104">
        <f>H11/'FCF Forecast'!C12</f>
        <v>0.66311107797625291</v>
      </c>
      <c r="J11" s="31">
        <v>14018.826754</v>
      </c>
      <c r="K11" s="104">
        <f>J11/'FCF Forecast'!D12</f>
        <v>0.66380401653514753</v>
      </c>
      <c r="L11" s="31">
        <v>6173.7491730000002</v>
      </c>
      <c r="M11" s="104">
        <f>L11/'FCF Forecast'!E12</f>
        <v>0.55993357189371162</v>
      </c>
    </row>
    <row r="12" spans="1:13" x14ac:dyDescent="0.35">
      <c r="A12" s="11" t="s">
        <v>73</v>
      </c>
      <c r="B12" s="31">
        <v>475.53699799999998</v>
      </c>
      <c r="C12" s="104">
        <f>B12/1476.414908</f>
        <v>0.32208899776295136</v>
      </c>
      <c r="D12" s="31">
        <v>581.66202499999997</v>
      </c>
      <c r="E12" s="104">
        <f>D12/6456.808962</f>
        <v>9.0085060348421689E-2</v>
      </c>
      <c r="F12" s="31">
        <v>589.43981599999995</v>
      </c>
      <c r="G12" s="104">
        <f>F12/'FCF Forecast'!B13</f>
        <v>0.30601677094016777</v>
      </c>
      <c r="H12" s="31">
        <v>281.43766699999998</v>
      </c>
      <c r="I12" s="104">
        <f>H12/'FCF Forecast'!C13</f>
        <v>0.14394083973035537</v>
      </c>
      <c r="J12" s="31">
        <v>394.27882499999998</v>
      </c>
      <c r="K12" s="104">
        <f>J12/'FCF Forecast'!D13</f>
        <v>0.17608283571860664</v>
      </c>
      <c r="L12" s="31">
        <v>1888.231499</v>
      </c>
      <c r="M12" s="104">
        <f>L12/'FCF Forecast'!E13</f>
        <v>0.18712944132655335</v>
      </c>
    </row>
    <row r="13" spans="1:13" x14ac:dyDescent="0.35">
      <c r="A13" s="11" t="s">
        <v>303</v>
      </c>
      <c r="B13" s="31">
        <v>74380.790003000002</v>
      </c>
      <c r="C13" s="104">
        <f>B13/123658.446036</f>
        <v>0.60150189806967114</v>
      </c>
      <c r="D13" s="31">
        <v>80545.340706000003</v>
      </c>
      <c r="E13" s="104">
        <f>D13/140013.425496</f>
        <v>0.5752686959887362</v>
      </c>
      <c r="F13" s="31">
        <v>117898.257136</v>
      </c>
      <c r="G13" s="104">
        <f>F13/'Raw Data'!B73</f>
        <v>0.65631747577890565</v>
      </c>
      <c r="H13" s="31">
        <v>103631.12315499999</v>
      </c>
      <c r="I13" s="104">
        <f>H13/'Raw Data'!C73</f>
        <v>0.59044381222695275</v>
      </c>
      <c r="J13" s="31">
        <v>208185.45003599999</v>
      </c>
      <c r="K13" s="104">
        <f>J13/'Raw Data'!D73</f>
        <v>0.57027183340348275</v>
      </c>
      <c r="L13" s="31">
        <v>282439.38509</v>
      </c>
      <c r="M13" s="104">
        <f>L13/'Raw Data'!E73</f>
        <v>0.61725107994588091</v>
      </c>
    </row>
    <row r="14" spans="1:13" x14ac:dyDescent="0.35">
      <c r="A14" s="11" t="s">
        <v>304</v>
      </c>
      <c r="B14" s="31">
        <v>41188.351374999998</v>
      </c>
      <c r="C14" s="104">
        <f>B14/73797.994363</f>
        <v>0.55812291012139681</v>
      </c>
      <c r="D14" s="31">
        <v>81196.959111999997</v>
      </c>
      <c r="E14" s="104">
        <f>D14/107636.556757</f>
        <v>0.75436228692552876</v>
      </c>
      <c r="F14" s="31">
        <v>73638.093764000005</v>
      </c>
      <c r="G14" s="104">
        <f>F14/'Raw Data'!B74</f>
        <v>0.77638737886406073</v>
      </c>
      <c r="H14" s="31">
        <v>55591.524984000003</v>
      </c>
      <c r="I14" s="104">
        <f>H14/'Raw Data'!C74</f>
        <v>0.74471486262214726</v>
      </c>
      <c r="J14" s="31">
        <v>66065.635592999999</v>
      </c>
      <c r="K14" s="104">
        <f>J14/'Raw Data'!D74</f>
        <v>0.77489725130113596</v>
      </c>
      <c r="L14" s="31">
        <v>58441.525573999999</v>
      </c>
      <c r="M14" s="104">
        <f>L14/'Raw Data'!E74</f>
        <v>0.82129426039351394</v>
      </c>
    </row>
    <row r="15" spans="1:13" x14ac:dyDescent="0.35">
      <c r="A15" s="17" t="s">
        <v>184</v>
      </c>
      <c r="B15" s="31">
        <f>B8+B10-(B9)+B11-B12</f>
        <v>622499.73457899969</v>
      </c>
      <c r="C15" s="104">
        <f>B15/(1899471.291516+2916.621493-(612322.153525+485710.294387)+17876.027364-1476.414908)</f>
        <v>0.75844761927629001</v>
      </c>
      <c r="D15" s="31">
        <f t="shared" ref="D15:L15" si="1">D8+D10-(D9)+D11-D12</f>
        <v>177721.32981900009</v>
      </c>
      <c r="E15" s="104">
        <f>D15/(1402092.953452-(554758.00257+415339.81596)+1680.107483+( 7480.346769)-6456.808962)</f>
        <v>0.40883788478156413</v>
      </c>
      <c r="F15" s="31">
        <f t="shared" si="1"/>
        <v>673363.87020799972</v>
      </c>
      <c r="G15" s="104">
        <f>F15/'FCF Forecast'!B10</f>
        <v>1.0108827081481702</v>
      </c>
      <c r="H15" s="31">
        <f t="shared" si="1"/>
        <v>1741489.0159389996</v>
      </c>
      <c r="I15" s="104">
        <f>H15/'FCF Forecast'!C10</f>
        <v>0.49155694163868086</v>
      </c>
      <c r="J15" s="31">
        <f t="shared" si="1"/>
        <v>5227100.977159</v>
      </c>
      <c r="K15" s="104">
        <f>J15/'FCF Forecast'!D10</f>
        <v>0.82914135413704326</v>
      </c>
      <c r="L15" s="31">
        <f t="shared" si="1"/>
        <v>352835.8994829997</v>
      </c>
      <c r="M15" s="104">
        <f>L15/'FCF Forecast'!E10</f>
        <v>1.1724151067694706</v>
      </c>
    </row>
    <row r="16" spans="1:13" x14ac:dyDescent="0.35">
      <c r="A16" s="98" t="s">
        <v>185</v>
      </c>
      <c r="B16" s="31">
        <f>116766.90207+(-20961.987308)</f>
        <v>95804.914762</v>
      </c>
      <c r="C16" s="104">
        <f>B16/(147299.819968+10841.508544)</f>
        <v>0.60581832506061295</v>
      </c>
      <c r="D16" s="31">
        <f>29215.647419+(-3930.317568)</f>
        <v>25285.329851000002</v>
      </c>
      <c r="E16" s="104">
        <f>D16/(90454.83298-12239.055688)</f>
        <v>0.32327659107194234</v>
      </c>
      <c r="F16" s="31">
        <f>117578.128281+2937.289721</f>
        <v>120515.41800199999</v>
      </c>
      <c r="G16" s="104">
        <f>F16/'FCF Forecast'!B17</f>
        <v>0.823918221746337</v>
      </c>
      <c r="H16" s="31">
        <f>253056.869794+33733.010522</f>
        <v>286789.88031599997</v>
      </c>
      <c r="I16" s="104">
        <f>H16/'FCF Forecast'!C17</f>
        <v>0.45670456626843825</v>
      </c>
      <c r="J16" s="31">
        <f>853873.377969+49234.044681</f>
        <v>903107.42265000008</v>
      </c>
      <c r="K16" s="104">
        <f>J16/'FCF Forecast'!D17</f>
        <v>0.88480032893037541</v>
      </c>
      <c r="L16" s="31">
        <f>40718.046797+100065.58785</f>
        <v>140783.634647</v>
      </c>
      <c r="M16" s="104">
        <f>L16/'FCF Forecast'!E17</f>
        <v>0.87362069723283842</v>
      </c>
    </row>
    <row r="17" spans="1:13" x14ac:dyDescent="0.35">
      <c r="A17" s="12" t="s">
        <v>186</v>
      </c>
      <c r="B17" s="31">
        <f>B15-B16</f>
        <v>526694.81981699972</v>
      </c>
      <c r="C17" s="104">
        <f>B17/((1899471.291516+2916.621493-(612322.153525+485710.294387)+17876.027364-1476.414908)-(147299.819968+10841.508544))</f>
        <v>0.79487457146683782</v>
      </c>
      <c r="D17" s="31">
        <f t="shared" ref="D17:L17" si="2">D15-D16</f>
        <v>152435.99996800011</v>
      </c>
      <c r="E17" s="104">
        <f>D17/((1402092.953452-(554758.00257+415339.81596)+1680.107483+( 7480.346769)-6456.808962)-(90454.83298-12239.055688))</f>
        <v>0.42761085022112266</v>
      </c>
      <c r="F17" s="31">
        <f t="shared" si="2"/>
        <v>552848.45220599975</v>
      </c>
      <c r="G17" s="104">
        <f>F17/'FCF Forecast'!B18</f>
        <v>0.89627250054896757</v>
      </c>
      <c r="H17" s="31">
        <f t="shared" si="2"/>
        <v>1454699.1356229996</v>
      </c>
      <c r="I17" s="104">
        <f>H17/'FCF Forecast'!C18</f>
        <v>0.49906530092710732</v>
      </c>
      <c r="J17" s="31">
        <f t="shared" si="2"/>
        <v>4323993.5545089999</v>
      </c>
      <c r="K17" s="104">
        <f>J17/'FCF Forecast'!D18</f>
        <v>0.81838898717871811</v>
      </c>
      <c r="L17" s="31">
        <f t="shared" si="2"/>
        <v>212052.2648359997</v>
      </c>
      <c r="M17" s="104">
        <f>L17/'FCF Forecast'!E18</f>
        <v>1.5168441568968896</v>
      </c>
    </row>
    <row r="18" spans="1:13" x14ac:dyDescent="0.35">
      <c r="A18" s="11" t="s">
        <v>83</v>
      </c>
      <c r="B18" s="31">
        <v>379851.21613000002</v>
      </c>
      <c r="C18" s="104">
        <f>B18/519256.652582</f>
        <v>0.73152883885298825</v>
      </c>
      <c r="D18" s="31">
        <v>420769.187293</v>
      </c>
      <c r="E18" s="104">
        <f>D18/ 561879.123157</f>
        <v>0.74886068898386327</v>
      </c>
      <c r="F18" s="31">
        <v>411943.46903099999</v>
      </c>
      <c r="G18" s="104">
        <f>F18/'FCF Forecast'!B19</f>
        <v>0.74946721626283397</v>
      </c>
      <c r="H18" s="31">
        <v>403790.25016200001</v>
      </c>
      <c r="I18" s="104">
        <f>H18/'FCF Forecast'!C19</f>
        <v>0.75195660022127209</v>
      </c>
      <c r="J18" s="31">
        <v>388996.46685899998</v>
      </c>
      <c r="K18" s="104">
        <f>J18/'FCF Forecast'!D19</f>
        <v>0.7556241032598664</v>
      </c>
      <c r="L18" s="31">
        <v>300454.42002299998</v>
      </c>
      <c r="M18" s="104">
        <f>L18/'FCF Forecast'!E19</f>
        <v>0.74499160145100252</v>
      </c>
    </row>
    <row r="19" spans="1:13" x14ac:dyDescent="0.35">
      <c r="A19" s="18" t="s">
        <v>187</v>
      </c>
      <c r="B19" s="31">
        <v>-42617.116132000003</v>
      </c>
      <c r="C19" s="104">
        <f>B19/36967.616014</f>
        <v>-1.1528229495745812</v>
      </c>
      <c r="D19" s="31">
        <v>134247.38464800001</v>
      </c>
      <c r="E19" s="104">
        <f>D19/ 167226.193328</f>
        <v>0.80278921606907083</v>
      </c>
      <c r="F19" s="31">
        <v>136285.99384099999</v>
      </c>
      <c r="G19" s="104">
        <f>F19/'FCF Forecast'!B20</f>
        <v>0.70092347350894291</v>
      </c>
      <c r="H19" s="31">
        <v>94296.462184000004</v>
      </c>
      <c r="I19" s="104">
        <f>H19/'FCF Forecast'!C20</f>
        <v>2.6163861407600031</v>
      </c>
      <c r="J19" s="31">
        <v>167869.96758200001</v>
      </c>
      <c r="K19" s="104">
        <f>J19/'FCF Forecast'!D20</f>
        <v>0.50966352327001441</v>
      </c>
      <c r="L19" s="31">
        <v>157565.420778</v>
      </c>
      <c r="M19" s="104">
        <f>L19/'FCF Forecast'!E20</f>
        <v>-0.43215482430943591</v>
      </c>
    </row>
    <row r="20" spans="1:13" x14ac:dyDescent="0.35">
      <c r="A20" s="11" t="s">
        <v>188</v>
      </c>
      <c r="B20" s="31">
        <f>(5360727.743271-5017087.993696)-(2038572.467467-2361887.855663)-((2030658.447567-12511.710821)-(1417572.897676-199470.502806))</f>
        <v>-133089.20410500071</v>
      </c>
      <c r="C20" s="104">
        <f>B20/((5172046.94896-5017087.993696)-(1716919.348616-2361887.855663)-(1513850.189531-1417572.897674))</f>
        <v>-0.18914115236997781</v>
      </c>
      <c r="D20" s="31">
        <f>(5469694.715995-5172046.94896)-(2329975.677779-1716919.348616)-(1594241.026045-1513850.189531)</f>
        <v>-395799.39864199958</v>
      </c>
      <c r="E20" s="104">
        <f>D20/((5943854.074804-5172046.94896)-(2976952.450033-1716919.348616)-(2060713.280767-1513850.189531))</f>
        <v>0.38238197207722457</v>
      </c>
      <c r="F20" s="31">
        <f>(6183205.459219-5943854.074804)-(2177345.076822-2976952.450033)-(2059517.373009-2060713.280767)+(454525.543919-312648.007246)</f>
        <v>1182032.2020570009</v>
      </c>
      <c r="G20" s="104">
        <f>F20/'FCF Forecast'!B21</f>
        <v>0.78404634496616443</v>
      </c>
      <c r="H20" s="31">
        <f>(7692277.213018-6314163.032937)-(2773726.247311-2029198.585342)-(2158584.012045-2026034.102655)+(102189.528573-467511.021812)</f>
        <v>135715.11548300058</v>
      </c>
      <c r="I20" s="104">
        <f>H20/'FCF Forecast'!C21</f>
        <v>6.3486558126362461E-2</v>
      </c>
      <c r="J20" s="31">
        <f>(12683948.261515-9519579.701251)-(3267683.743811-2524115.312966)-(3038067.046062-2151651.816461)+(354631.610438-20327.222568)</f>
        <v>1868689.2876880004</v>
      </c>
      <c r="K20" s="104">
        <f>J20/'FCF Forecast'!D21</f>
        <v>0.46590705793746473</v>
      </c>
      <c r="L20" s="31">
        <f>(10440540.154331-13578923.480222)-(1186950.889877-2083841.053069)-(2135662.543329-2995517.551891)+(44058.764482-375437.72991)</f>
        <v>-1713017.1195649989</v>
      </c>
      <c r="M20" s="104">
        <f>L20/'FCF Forecast'!E21</f>
        <v>0.84477707173794325</v>
      </c>
    </row>
    <row r="21" spans="1:13" x14ac:dyDescent="0.35">
      <c r="A21" s="98" t="s">
        <v>189</v>
      </c>
      <c r="B21" s="31">
        <f>-1398358.77366</f>
        <v>-1398358.7736599999</v>
      </c>
      <c r="C21" s="104">
        <f>B21/(-890564.913641+ 5320.554728)</f>
        <v>1.5796302564153675</v>
      </c>
      <c r="D21" s="31">
        <f>-38799.995518+2082.748047</f>
        <v>-36717.247471000002</v>
      </c>
      <c r="E21" s="104">
        <f>D21/(-117832.821638+ 2828.702473)</f>
        <v>0.31926897695134399</v>
      </c>
      <c r="F21" s="31">
        <v>-40824.391115999999</v>
      </c>
      <c r="G21" s="104">
        <f>F21/'FCF Forecast'!B22</f>
        <v>0.49944000572008351</v>
      </c>
      <c r="H21" s="31">
        <v>-156726.83071000001</v>
      </c>
      <c r="I21" s="104">
        <f>H21/'FCF Forecast'!C22</f>
        <v>0.70712850107624581</v>
      </c>
      <c r="J21" s="31">
        <v>-40141.268900000003</v>
      </c>
      <c r="K21" s="104">
        <f>J21/'FCF Forecast'!D22</f>
        <v>0.53529076771642981</v>
      </c>
      <c r="L21" s="31">
        <v>-135133.53001399999</v>
      </c>
      <c r="M21" s="104">
        <f>L21/'FCF Forecast'!E22</f>
        <v>0.56340345506179523</v>
      </c>
    </row>
    <row r="22" spans="1:13" x14ac:dyDescent="0.35">
      <c r="A22" s="12" t="s">
        <v>190</v>
      </c>
      <c r="B22" s="31">
        <f>B17+B18+B19-B20-B21</f>
        <v>2395376.8975800006</v>
      </c>
      <c r="C22" s="104">
        <f>B22/(((1899471.291516+2916.621493-(612322.153525+485710.294387)+17876.027364-1476.414908)-(147299.819968+10841.508544))+519256.652582+36967.616014-((5172046.94896-5017087.993696)-(1716919.348616-2361887.855663)-(1513850.189531-1417572.897674))-(-890564.913641+ 5320.554728))</f>
        <v>1.7104554487914962</v>
      </c>
      <c r="D22" s="31">
        <f t="shared" ref="D22:L22" si="3">D17+D18+D19-D20-D21</f>
        <v>1139969.2180219996</v>
      </c>
      <c r="E22" s="104">
        <f>D22/(((1402092.953452-(554758.00257+415339.81596)+1680.107483+( 7480.346769)-6456.808962)-(90454.83298-12239.055688))+ 561879.123157+167226.193328-((5943854.074804-5172046.94896)-(2976952.450033-1716919.348616)-(2060713.280767-1513850.189531))-(-117832.821638+ 2828.702473))</f>
        <v>0.50989786124689895</v>
      </c>
      <c r="F22" s="31">
        <f t="shared" si="3"/>
        <v>-40129.895863001249</v>
      </c>
      <c r="G22" s="104">
        <f>F22/'FCF Forecast'!B23</f>
        <v>0.6178798109551582</v>
      </c>
      <c r="H22" s="31">
        <f t="shared" si="3"/>
        <v>1973797.5631959992</v>
      </c>
      <c r="I22" s="104">
        <f>H22/'FCF Forecast'!C23</f>
        <v>1.2557449193687089</v>
      </c>
      <c r="J22" s="31">
        <f t="shared" si="3"/>
        <v>3052311.970162</v>
      </c>
      <c r="K22" s="104">
        <f>J22/'FCF Forecast'!D23</f>
        <v>1.3925761147681084</v>
      </c>
      <c r="L22" s="31">
        <f t="shared" si="3"/>
        <v>2518222.7552159987</v>
      </c>
      <c r="M22" s="104">
        <f>L22/'FCF Forecast'!E23</f>
        <v>1.0294765440445228</v>
      </c>
    </row>
    <row r="23" spans="1:13" x14ac:dyDescent="0.35">
      <c r="A23" s="12" t="s">
        <v>265</v>
      </c>
      <c r="B23" s="31"/>
      <c r="C23" s="104"/>
      <c r="D23" s="31"/>
      <c r="E23" s="104"/>
      <c r="F23" s="31"/>
      <c r="G23" s="104"/>
      <c r="H23" s="31"/>
      <c r="I23" s="104"/>
      <c r="J23" s="31"/>
      <c r="K23" s="104"/>
      <c r="L23" s="31"/>
      <c r="M23" s="104"/>
    </row>
    <row r="24" spans="1:13" x14ac:dyDescent="0.35">
      <c r="A24" t="s">
        <v>261</v>
      </c>
      <c r="B24" s="31">
        <f>2038572.467467</f>
        <v>2038572.467467</v>
      </c>
      <c r="C24" s="104">
        <f>B24/1716919.348616</f>
        <v>1.1873431731725097</v>
      </c>
      <c r="D24" s="31">
        <f>2329975.677779</f>
        <v>2329975.6777789998</v>
      </c>
      <c r="E24" s="104">
        <f>D24/2976952.450033</f>
        <v>0.78267144567699476</v>
      </c>
      <c r="F24" s="31">
        <v>2177345.0768220001</v>
      </c>
      <c r="G24" s="104">
        <f>F24/'Raw Data'!B7</f>
        <v>1.0730073894936367</v>
      </c>
      <c r="H24" s="31">
        <f>2773726.247311</f>
        <v>2773726.2473109998</v>
      </c>
      <c r="I24" s="104">
        <f>H24/'Raw Data'!C7</f>
        <v>1.0988904639430641</v>
      </c>
      <c r="J24" s="31">
        <f>3267683.743811</f>
        <v>3267683.7438110001</v>
      </c>
      <c r="K24" s="104">
        <f>J24/'Raw Data'!D7</f>
        <v>1.5681060433141003</v>
      </c>
      <c r="L24" s="31">
        <v>1186950.8898769999</v>
      </c>
      <c r="M24" s="104">
        <f>L24/'Raw Data'!E7</f>
        <v>0.95601468126797129</v>
      </c>
    </row>
    <row r="25" spans="1:13" x14ac:dyDescent="0.35">
      <c r="A25" s="18" t="s">
        <v>258</v>
      </c>
      <c r="B25" s="31">
        <v>473927.47187100002</v>
      </c>
      <c r="C25" s="104">
        <f>B25/520579.213356</f>
        <v>0.91038493222913797</v>
      </c>
      <c r="D25" s="31">
        <v>309172.86472299998</v>
      </c>
      <c r="E25" s="104">
        <f>D25/289371.734319</f>
        <v>1.0684280047275505</v>
      </c>
      <c r="F25" s="31">
        <v>406301.895143</v>
      </c>
      <c r="G25" s="104">
        <f>F25/340731.443856</f>
        <v>1.1924402706863513</v>
      </c>
      <c r="H25" s="31">
        <v>383867.457735</v>
      </c>
      <c r="I25" s="104">
        <f>H25/488926.629172</f>
        <v>0.78512282790790455</v>
      </c>
      <c r="J25" s="31">
        <v>548990.23546200001</v>
      </c>
      <c r="K25" s="104">
        <f>J25/458327.989385</f>
        <v>1.1978108432754755</v>
      </c>
      <c r="L25" s="31">
        <v>624440.37208600005</v>
      </c>
      <c r="M25" s="104">
        <f>L25/642215.358351</f>
        <v>0.97232238993685804</v>
      </c>
    </row>
    <row r="26" spans="1:13" x14ac:dyDescent="0.35">
      <c r="A26" s="18" t="s">
        <v>259</v>
      </c>
      <c r="B26" s="31">
        <f>1688517.385335</f>
        <v>1688517.385335</v>
      </c>
      <c r="C26" s="104">
        <f>B26/1662663.084855</f>
        <v>1.015549933546672</v>
      </c>
      <c r="D26" s="31">
        <v>1618715.0861539999</v>
      </c>
      <c r="E26" s="104">
        <f>D26/1350638.678171</f>
        <v>1.1984812165649084</v>
      </c>
      <c r="F26" s="31">
        <f>1401379.909769</f>
        <v>1401379.909769</v>
      </c>
      <c r="G26" s="104">
        <f>F26/1468360.37362</f>
        <v>0.95438417907868855</v>
      </c>
      <c r="H26" s="31">
        <v>1757696.4861059999</v>
      </c>
      <c r="I26" s="104">
        <f>H26/2775533.988246</f>
        <v>0.63328227777054791</v>
      </c>
      <c r="J26" s="31">
        <v>2738412.5633390001</v>
      </c>
      <c r="K26" s="104">
        <f>J26/3871453.60435</f>
        <v>0.70733446482791251</v>
      </c>
      <c r="L26" s="31">
        <v>2204585.2726349998</v>
      </c>
      <c r="M26" s="104">
        <f>L26/1910840.607214</f>
        <v>1.1537253627079229</v>
      </c>
    </row>
    <row r="27" spans="1:13" x14ac:dyDescent="0.35">
      <c r="A27" s="18" t="s">
        <v>263</v>
      </c>
      <c r="B27" s="31">
        <f>870000+289710.418598</f>
        <v>1159710.418598</v>
      </c>
      <c r="C27" s="104">
        <f>B27/(955000+316885.302133)</f>
        <v>0.91180424575480312</v>
      </c>
      <c r="D27" s="31">
        <f>935000+276831.087339</f>
        <v>1211831.0873390001</v>
      </c>
      <c r="E27" s="104">
        <f>D27/(1035000+291891.212281)</f>
        <v>0.91328593943718639</v>
      </c>
      <c r="F27" s="31">
        <f>1925000+273178.577485</f>
        <v>2198178.5774849998</v>
      </c>
      <c r="G27" s="104">
        <f>F27/('Raw Data'!B8+'Raw Data'!B11)</f>
        <v>0.88783992792850042</v>
      </c>
      <c r="H27" s="31">
        <f>2495000+281987.021866</f>
        <v>2776987.0218660003</v>
      </c>
      <c r="I27" s="104">
        <f>H27/('Raw Data'!C8+'Raw Data'!C11)</f>
        <v>0.74430024529851713</v>
      </c>
      <c r="J27" s="31">
        <f>5830000+298861.718903</f>
        <v>6128861.7189029995</v>
      </c>
      <c r="K27" s="104">
        <f>J27/('Raw Data'!D8+'Raw Data'!D11)</f>
        <v>0.85535302205908914</v>
      </c>
      <c r="L27" s="31">
        <f>6100000+324563.619732</f>
        <v>6424563.6197319999</v>
      </c>
      <c r="M27" s="104">
        <f>L27/('Raw Data'!E8+'Raw Data'!E11)</f>
        <v>1.1133481325630781</v>
      </c>
    </row>
    <row r="28" spans="1:13" x14ac:dyDescent="0.35">
      <c r="A28" s="18" t="s">
        <v>260</v>
      </c>
      <c r="B28" s="31">
        <v>502572.93029400002</v>
      </c>
      <c r="C28" s="104">
        <f>B28/415701.704589</f>
        <v>1.2089749085606678</v>
      </c>
      <c r="D28" s="31">
        <v>393301.81235000002</v>
      </c>
      <c r="E28" s="104">
        <f>D28/478565.168169</f>
        <v>0.8218354333115816</v>
      </c>
      <c r="F28" s="31">
        <v>430613.30106799997</v>
      </c>
      <c r="G28" s="104">
        <f>F28/452877.108896</f>
        <v>0.95083918486789143</v>
      </c>
      <c r="H28" s="31">
        <v>570825.09199099999</v>
      </c>
      <c r="I28" s="104">
        <f>H28/771382.083149</f>
        <v>0.74000304707717668</v>
      </c>
      <c r="J28" s="31">
        <v>1007013.3226280001</v>
      </c>
      <c r="K28" s="104">
        <f>J28/869008.139154</f>
        <v>1.1588076995554395</v>
      </c>
      <c r="L28" s="31">
        <f>813829.740748</f>
        <v>813829.74074799998</v>
      </c>
      <c r="M28" s="104">
        <f>L28/768442.42949</f>
        <v>1.0590640359201959</v>
      </c>
    </row>
    <row r="29" spans="1:13" x14ac:dyDescent="0.35">
      <c r="A29" s="11" t="s">
        <v>32</v>
      </c>
      <c r="B29" s="31">
        <v>228497.45959700001</v>
      </c>
      <c r="C29" s="104">
        <f>B29/68643.918032</f>
        <v>3.3287356862479855</v>
      </c>
      <c r="D29" s="31">
        <v>92841.621505999996</v>
      </c>
      <c r="E29" s="104">
        <f>D29/80837.10624</f>
        <v>1.1485025358324852</v>
      </c>
      <c r="F29" s="31">
        <v>59837.871070000001</v>
      </c>
      <c r="G29" s="104">
        <f>F29/'Raw Data'!B31</f>
        <v>0.48668255058407939</v>
      </c>
      <c r="H29" s="31">
        <v>366672.90347299998</v>
      </c>
      <c r="I29" s="104">
        <f>H29/'Raw Data'!C31</f>
        <v>2.9500702797891378</v>
      </c>
      <c r="J29" s="31">
        <v>185722.796603</v>
      </c>
      <c r="K29" s="104">
        <f>J29/'Raw Data'!D31</f>
        <v>2.5826412825210157</v>
      </c>
      <c r="L29" s="31">
        <f>162483.632548</f>
        <v>162483.63254799999</v>
      </c>
      <c r="M29" s="104">
        <f>L29/'Raw Data'!E31</f>
        <v>1.3070593507194297</v>
      </c>
    </row>
    <row r="30" spans="1:13" x14ac:dyDescent="0.35">
      <c r="A30" s="11" t="s">
        <v>33</v>
      </c>
      <c r="B30" s="31">
        <v>72.727272999999997</v>
      </c>
      <c r="C30" s="104">
        <f>B30/118.761819</f>
        <v>0.61237924454491555</v>
      </c>
      <c r="D30" s="31">
        <v>72.727272999999997</v>
      </c>
      <c r="E30" s="104">
        <f>D30/18.181819</f>
        <v>3.9999998350000072</v>
      </c>
      <c r="F30" s="31">
        <v>65.454545999999993</v>
      </c>
      <c r="G30" s="104">
        <f>F30/'Raw Data'!B32</f>
        <v>3.9999996333333692</v>
      </c>
      <c r="H30" s="31">
        <v>72.727272999999997</v>
      </c>
      <c r="I30" s="104">
        <f>H30/'Raw Data'!C32</f>
        <v>3.9999998350000072</v>
      </c>
      <c r="J30" s="31">
        <v>1850.5050510000001</v>
      </c>
      <c r="K30" s="104">
        <f>J30/'Raw Data'!D32</f>
        <v>101.78795660066007</v>
      </c>
      <c r="L30" s="31">
        <v>72.727272999999997</v>
      </c>
      <c r="M30" s="104">
        <f>L30/'Raw Data'!E32</f>
        <v>4.0004000550055006</v>
      </c>
    </row>
    <row r="31" spans="1:13" x14ac:dyDescent="0.35">
      <c r="A31" s="11" t="s">
        <v>34</v>
      </c>
      <c r="B31" s="31">
        <v>982703.02900900005</v>
      </c>
      <c r="C31" s="104">
        <f>B31/580230.502931</f>
        <v>1.6936424818153026</v>
      </c>
      <c r="D31" s="31">
        <v>698088.20154499996</v>
      </c>
      <c r="E31" s="104">
        <f>D31/678292.053057</f>
        <v>1.0291852873681484</v>
      </c>
      <c r="F31" s="31">
        <v>540181.27716900001</v>
      </c>
      <c r="G31" s="104">
        <f>F31/'Raw Data'!B33</f>
        <v>1.1824740077582365</v>
      </c>
      <c r="H31" s="31">
        <v>427229.24014100002</v>
      </c>
      <c r="I31" s="104">
        <f>H31/'Raw Data'!C33</f>
        <v>1.264426401526157</v>
      </c>
      <c r="J31" s="31">
        <v>610997.10356299998</v>
      </c>
      <c r="K31" s="104">
        <f>J31/'Raw Data'!D33</f>
        <v>0.76129809806125193</v>
      </c>
      <c r="L31" s="31">
        <v>397119.64846900001</v>
      </c>
      <c r="M31" s="104">
        <f>L31/'Raw Data'!E33</f>
        <v>1.6580166754114265</v>
      </c>
    </row>
    <row r="32" spans="1:13" x14ac:dyDescent="0.35">
      <c r="A32" s="11" t="s">
        <v>35</v>
      </c>
      <c r="B32" s="31">
        <v>65517.238666999998</v>
      </c>
      <c r="C32" s="104">
        <f>B32/201978.485702</f>
        <v>0.3243773139465182</v>
      </c>
      <c r="D32" s="31">
        <v>189613.42569599999</v>
      </c>
      <c r="E32" s="104">
        <f>D32/177270.899255</f>
        <v>1.0696252260967298</v>
      </c>
      <c r="F32" s="31">
        <v>211067.50132499999</v>
      </c>
      <c r="G32" s="104">
        <f>F32/'Raw Data'!B34</f>
        <v>1.1058079136806518</v>
      </c>
      <c r="H32" s="31">
        <v>200605.33403500001</v>
      </c>
      <c r="I32" s="104">
        <f>H32/'Raw Data'!C34</f>
        <v>1.0023560427670068</v>
      </c>
      <c r="J32" s="31">
        <v>294700.83168</v>
      </c>
      <c r="K32" s="104">
        <f>J32/'Raw Data'!D34</f>
        <v>1.4586010480516372</v>
      </c>
      <c r="L32" s="31">
        <v>342718.85909599997</v>
      </c>
      <c r="M32" s="122" t="s">
        <v>266</v>
      </c>
    </row>
    <row r="33" spans="1:13" x14ac:dyDescent="0.35">
      <c r="A33" s="11" t="s">
        <v>38</v>
      </c>
      <c r="B33" s="31">
        <v>36417.884034000002</v>
      </c>
      <c r="C33" s="104">
        <f>B33/23253.103532</f>
        <v>1.5661515454865262</v>
      </c>
      <c r="D33" s="31">
        <v>14486.033476000001</v>
      </c>
      <c r="E33" s="104">
        <f>D33/66288.625026</f>
        <v>0.21852970204644054</v>
      </c>
      <c r="F33" s="31">
        <v>47654.243758999997</v>
      </c>
      <c r="G33" s="104">
        <f>F33/'Raw Data'!B37</f>
        <v>0.81025453894450061</v>
      </c>
      <c r="H33" s="31">
        <v>134352.84668799999</v>
      </c>
      <c r="I33" s="104">
        <f>H33/'Raw Data'!C37</f>
        <v>0.34479876213954003</v>
      </c>
      <c r="J33" s="31">
        <v>223982.10586400001</v>
      </c>
      <c r="K33" s="104">
        <f>J33/'Raw Data'!D37</f>
        <v>0.7544470573287807</v>
      </c>
      <c r="L33" s="31">
        <v>5188.8686029999999</v>
      </c>
      <c r="M33" s="104">
        <f>L33/'Raw Data'!E37</f>
        <v>0.84686910049093211</v>
      </c>
    </row>
    <row r="34" spans="1:13" x14ac:dyDescent="0.35">
      <c r="A34" s="11" t="s">
        <v>39</v>
      </c>
      <c r="B34" s="31">
        <v>87348.299706000005</v>
      </c>
      <c r="C34" s="104">
        <f>B34/113798.450304</f>
        <v>0.7675702039233282</v>
      </c>
      <c r="D34" s="31">
        <v>99229.002361000006</v>
      </c>
      <c r="E34" s="104">
        <f>D34/137134.034081</f>
        <v>0.72359136100662735</v>
      </c>
      <c r="F34" s="31">
        <v>98304.953347000002</v>
      </c>
      <c r="G34" s="104">
        <f>F34/'Raw Data'!B38</f>
        <v>0.73542318610855917</v>
      </c>
      <c r="H34" s="31">
        <v>109165.77134799999</v>
      </c>
      <c r="I34" s="104">
        <f>H34/'Raw Data'!C38</f>
        <v>0.62789150680872563</v>
      </c>
      <c r="J34" s="31">
        <v>160700.36855799999</v>
      </c>
      <c r="K34" s="104">
        <f>J34/'Raw Data'!D38</f>
        <v>0.73289770284755873</v>
      </c>
      <c r="L34" s="31">
        <v>161311.111362</v>
      </c>
      <c r="M34" s="104">
        <f>L34/'Raw Data'!E38</f>
        <v>0.98062646202063708</v>
      </c>
    </row>
    <row r="35" spans="1:13" x14ac:dyDescent="0.35">
      <c r="A35" s="11" t="s">
        <v>40</v>
      </c>
      <c r="B35" s="31">
        <f>28404.409213+86612.758953</f>
        <v>115017.16816599999</v>
      </c>
      <c r="C35" s="104">
        <f>B35/(54325.536302+55799.72632)</f>
        <v>1.0444212837956284</v>
      </c>
      <c r="D35" s="31">
        <f>29634.744092+76973.357746</f>
        <v>106608.101838</v>
      </c>
      <c r="E35" s="104">
        <f>D35/(49543.546341+80115.659533)</f>
        <v>0.82221776016119852</v>
      </c>
      <c r="F35" s="31">
        <f>62566.792454+154700.434352</f>
        <v>217267.22680600002</v>
      </c>
      <c r="G35" s="104">
        <f>F35/'Raw Data'!B39</f>
        <v>1.5246910494460946</v>
      </c>
      <c r="H35" s="31">
        <f>86522.756244+160947.812279</f>
        <v>247470.56852299999</v>
      </c>
      <c r="I35" s="104">
        <f>H35/'Raw Data'!C39</f>
        <v>1.8454588779870396</v>
      </c>
      <c r="J35" s="31">
        <f>78340.617744+120127.783933</f>
        <v>198468.40167699999</v>
      </c>
      <c r="K35" s="104">
        <f>J35/'Raw Data'!D39</f>
        <v>1.2531490884177772</v>
      </c>
      <c r="L35" s="31">
        <f>94117.54756+114761.643188</f>
        <v>208879.19074799999</v>
      </c>
      <c r="M35" s="104">
        <f>L35/'Raw Data'!E39</f>
        <v>1.20458138508446</v>
      </c>
    </row>
    <row r="36" spans="1:13" x14ac:dyDescent="0.35">
      <c r="A36" s="98" t="s">
        <v>49</v>
      </c>
      <c r="B36" s="31">
        <v>3476187.3060039999</v>
      </c>
      <c r="C36" s="104"/>
      <c r="D36" s="31">
        <v>3105032.127146</v>
      </c>
      <c r="E36" s="104">
        <f>D36/3278872.819011</f>
        <v>0.9469815691364829</v>
      </c>
      <c r="F36" s="31">
        <v>3100790.279323</v>
      </c>
      <c r="G36" s="104">
        <f>F36/3052441.964507</f>
        <v>1.0158392249150621</v>
      </c>
      <c r="H36" s="31">
        <v>2158584.0120450002</v>
      </c>
      <c r="I36" s="104">
        <f>H36/3204770.523758</f>
        <v>0.67355337801652848</v>
      </c>
      <c r="J36" s="31">
        <v>3767029.051707</v>
      </c>
      <c r="K36" s="104">
        <f>J36/3681356.971208</f>
        <v>1.0232718753353842</v>
      </c>
      <c r="L36" s="31">
        <v>2748575.8880639998</v>
      </c>
      <c r="M36" s="104">
        <f>L36/1764060.255739</f>
        <v>1.5580963740450955</v>
      </c>
    </row>
    <row r="37" spans="1:13" x14ac:dyDescent="0.35">
      <c r="B37" s="31"/>
      <c r="E37" s="31"/>
    </row>
    <row r="40" spans="1:13" x14ac:dyDescent="0.35">
      <c r="A40" s="1" t="s">
        <v>213</v>
      </c>
      <c r="B40" s="1" t="s">
        <v>214</v>
      </c>
      <c r="C40" s="1" t="s">
        <v>211</v>
      </c>
      <c r="D40" s="1" t="s">
        <v>126</v>
      </c>
      <c r="E40" s="1" t="s">
        <v>191</v>
      </c>
    </row>
    <row r="41" spans="1:13" x14ac:dyDescent="0.35">
      <c r="A41" s="11" t="s">
        <v>64</v>
      </c>
      <c r="B41" s="104" t="s">
        <v>215</v>
      </c>
      <c r="C41" s="105">
        <f>AVERAGE(C6,E6,G6,I6,K6,M6)</f>
        <v>0.72464486452718768</v>
      </c>
      <c r="D41" s="31">
        <f>'Raw Data'!F67</f>
        <v>10332103.90148</v>
      </c>
      <c r="E41" s="31">
        <f>D41/C41</f>
        <v>14258162.042204542</v>
      </c>
    </row>
    <row r="42" spans="1:13" x14ac:dyDescent="0.35">
      <c r="A42" s="11" t="s">
        <v>170</v>
      </c>
      <c r="B42" s="104" t="s">
        <v>215</v>
      </c>
      <c r="C42" s="105">
        <f>AVERAGE(C7,E7,G7,I7,K7,M7)</f>
        <v>0.73524783244406133</v>
      </c>
      <c r="D42" s="31">
        <f>'Raw Data'!F68</f>
        <v>8826829.0624470003</v>
      </c>
      <c r="E42" s="31">
        <f t="shared" ref="E42:E49" si="4">D42/C42</f>
        <v>12005243.229490999</v>
      </c>
    </row>
    <row r="43" spans="1:13" x14ac:dyDescent="0.35">
      <c r="A43" s="107" t="s">
        <v>171</v>
      </c>
      <c r="B43" s="108"/>
      <c r="C43" s="108"/>
      <c r="D43" s="110">
        <f>'Raw Data'!F69</f>
        <v>1505274.8390330002</v>
      </c>
      <c r="E43" s="110">
        <f>E41-E42</f>
        <v>2252918.812713543</v>
      </c>
    </row>
    <row r="44" spans="1:13" x14ac:dyDescent="0.35">
      <c r="A44" s="11" t="s">
        <v>182</v>
      </c>
      <c r="B44" s="104" t="s">
        <v>215</v>
      </c>
      <c r="C44" s="105">
        <f>AVERAGE(C9,E9,G9,I9,K9,M9)</f>
        <v>0.68056725063785406</v>
      </c>
      <c r="D44" s="31">
        <f>SUM('Raw Data'!F70:F71)</f>
        <v>1041279.6066620001</v>
      </c>
      <c r="E44" s="31">
        <f t="shared" si="4"/>
        <v>1530017.2109164412</v>
      </c>
    </row>
    <row r="45" spans="1:13" x14ac:dyDescent="0.35">
      <c r="A45" s="11" t="s">
        <v>71</v>
      </c>
      <c r="B45" s="104" t="s">
        <v>216</v>
      </c>
      <c r="C45" s="105">
        <f>MEDIAN(C10,E10,G10,I10,K10,M10)</f>
        <v>0.55706141233397755</v>
      </c>
      <c r="D45" s="31">
        <f>'Raw Data'!F76</f>
        <v>1107.9685569999999</v>
      </c>
      <c r="E45" s="31">
        <f t="shared" si="4"/>
        <v>1988.9522635535461</v>
      </c>
    </row>
    <row r="46" spans="1:13" x14ac:dyDescent="0.35">
      <c r="A46" s="11" t="s">
        <v>72</v>
      </c>
      <c r="B46" s="104" t="s">
        <v>216</v>
      </c>
      <c r="C46" s="105">
        <f>MEDIAN(C11,E11,G11,I11,K11,M11)</f>
        <v>0.61152232493498226</v>
      </c>
      <c r="D46" s="31">
        <f>'Raw Data'!F77</f>
        <v>6230.0420210000002</v>
      </c>
      <c r="E46" s="31">
        <f t="shared" si="4"/>
        <v>10187.758920596047</v>
      </c>
    </row>
    <row r="47" spans="1:13" x14ac:dyDescent="0.35">
      <c r="A47" s="11" t="s">
        <v>73</v>
      </c>
      <c r="B47" s="104" t="s">
        <v>215</v>
      </c>
      <c r="C47" s="105">
        <f>AVERAGE(C12,E12,G12,I12,K12,M12)</f>
        <v>0.20422399097117605</v>
      </c>
      <c r="D47" s="31">
        <f>'Raw Data'!F78</f>
        <v>3471.6470760000002</v>
      </c>
      <c r="E47" s="31">
        <f t="shared" si="4"/>
        <v>16999.212773635321</v>
      </c>
    </row>
    <row r="48" spans="1:13" x14ac:dyDescent="0.35">
      <c r="A48" s="11" t="s">
        <v>303</v>
      </c>
      <c r="B48" s="104" t="s">
        <v>215</v>
      </c>
      <c r="C48" s="105">
        <f t="shared" ref="C48:C49" si="5">AVERAGE(C13,E13,G13,I13,K13,M13)</f>
        <v>0.60184246590227153</v>
      </c>
      <c r="D48" s="31">
        <f>'Raw Data'!F73</f>
        <v>239499.20525599999</v>
      </c>
      <c r="E48" s="31">
        <f t="shared" si="4"/>
        <v>397943.34701348637</v>
      </c>
    </row>
    <row r="49" spans="1:5" x14ac:dyDescent="0.35">
      <c r="A49" s="11" t="s">
        <v>304</v>
      </c>
      <c r="B49" s="104" t="s">
        <v>215</v>
      </c>
      <c r="C49" s="105">
        <f t="shared" si="5"/>
        <v>0.73829649170463052</v>
      </c>
      <c r="D49" s="31">
        <f>'Raw Data'!F74</f>
        <v>34234.074202000003</v>
      </c>
      <c r="E49" s="31">
        <f t="shared" si="4"/>
        <v>46369.00565917357</v>
      </c>
    </row>
    <row r="50" spans="1:5" x14ac:dyDescent="0.35">
      <c r="A50" s="107" t="s">
        <v>184</v>
      </c>
      <c r="B50" s="108"/>
      <c r="C50" s="108"/>
      <c r="D50" s="110">
        <f>D43-D44+D45+D46-D47</f>
        <v>467861.5958730001</v>
      </c>
      <c r="E50" s="110">
        <f>E43-E47+E46+E45-E44</f>
        <v>718079.10020761588</v>
      </c>
    </row>
    <row r="51" spans="1:5" x14ac:dyDescent="0.35">
      <c r="A51" s="130" t="s">
        <v>300</v>
      </c>
      <c r="B51" s="108"/>
      <c r="C51" s="108"/>
      <c r="D51" s="110">
        <f>D50+D48-D49</f>
        <v>673126.72692699998</v>
      </c>
      <c r="E51" s="110">
        <f>E50+E48-E49</f>
        <v>1069653.4415619287</v>
      </c>
    </row>
    <row r="52" spans="1:5" x14ac:dyDescent="0.35">
      <c r="A52" s="98" t="s">
        <v>185</v>
      </c>
      <c r="B52" s="104" t="s">
        <v>215</v>
      </c>
      <c r="C52" s="105">
        <f>AVERAGE(C16,E16,G16,I16,K16,M16)</f>
        <v>0.66135645505175733</v>
      </c>
      <c r="D52" s="31">
        <f>SUM('Raw Data'!F80:F81)</f>
        <v>103292.639895</v>
      </c>
      <c r="E52" s="31">
        <f>D52/C52</f>
        <v>156183.00706979021</v>
      </c>
    </row>
    <row r="53" spans="1:5" x14ac:dyDescent="0.35">
      <c r="A53" s="109" t="s">
        <v>186</v>
      </c>
      <c r="B53" s="108"/>
      <c r="C53" s="108"/>
      <c r="D53" s="110">
        <f>D50-D52</f>
        <v>364568.95597800007</v>
      </c>
      <c r="E53" s="110">
        <f>E50-E52</f>
        <v>561896.09313782561</v>
      </c>
    </row>
    <row r="54" spans="1:5" x14ac:dyDescent="0.35">
      <c r="A54" s="11" t="s">
        <v>83</v>
      </c>
      <c r="B54" s="104" t="s">
        <v>215</v>
      </c>
      <c r="C54" s="105">
        <f>AVERAGE(C18,E18,G18,I18,K18,M18)</f>
        <v>0.74707150817197121</v>
      </c>
      <c r="D54" s="31">
        <f>'Raw Data'!F92</f>
        <v>294220.36433100002</v>
      </c>
      <c r="E54" s="31">
        <f>D54/C54</f>
        <v>393831.59592170169</v>
      </c>
    </row>
    <row r="55" spans="1:5" x14ac:dyDescent="0.35">
      <c r="A55" s="18" t="s">
        <v>187</v>
      </c>
      <c r="B55" s="104" t="s">
        <v>220</v>
      </c>
      <c r="C55" s="105">
        <f>AVERAGE(E19,G19,K19,M19)</f>
        <v>0.39530534713464804</v>
      </c>
      <c r="D55" s="31">
        <f>'Raw Data'!F94</f>
        <v>100701.33685000001</v>
      </c>
      <c r="E55" s="31">
        <f>D55/C55</f>
        <v>254743.16899563553</v>
      </c>
    </row>
    <row r="56" spans="1:5" x14ac:dyDescent="0.35">
      <c r="A56" s="11" t="s">
        <v>188</v>
      </c>
      <c r="B56" s="104" t="s">
        <v>223</v>
      </c>
      <c r="C56" s="105">
        <f>I20+(I20-C20)</f>
        <v>0.3161142686227027</v>
      </c>
      <c r="D56" s="31">
        <f>('Raw Data'!F16-'Raw Data'!E16)-('Raw Data'!F7-'Raw Data'!E7)-('Raw Data'!F41-'Raw Data'!E41)</f>
        <v>202644.35868699988</v>
      </c>
      <c r="E56" s="31">
        <f>D56/C56</f>
        <v>641047.80707910878</v>
      </c>
    </row>
    <row r="57" spans="1:5" x14ac:dyDescent="0.35">
      <c r="A57" s="98" t="s">
        <v>189</v>
      </c>
      <c r="B57" s="104" t="s">
        <v>217</v>
      </c>
      <c r="C57" s="105">
        <f>AVERAGE(E21,G21,I21,K21,M21)</f>
        <v>0.52490634130517966</v>
      </c>
      <c r="D57" s="31">
        <f>SUM('Raw Data'!F106:F107)</f>
        <v>-87225.457120000006</v>
      </c>
      <c r="E57" s="31">
        <f>D57/C57</f>
        <v>-166173.37276420381</v>
      </c>
    </row>
    <row r="58" spans="1:5" x14ac:dyDescent="0.35">
      <c r="A58" s="109" t="s">
        <v>190</v>
      </c>
      <c r="B58" s="108"/>
      <c r="C58" s="108"/>
      <c r="D58" s="110">
        <f>D53+D54+D55-D56-D57</f>
        <v>644071.75559200021</v>
      </c>
      <c r="E58" s="110">
        <f>E53+E54+E55-E56-E57</f>
        <v>735596.42374025797</v>
      </c>
    </row>
    <row r="59" spans="1:5" x14ac:dyDescent="0.35">
      <c r="A59" s="98" t="s">
        <v>49</v>
      </c>
      <c r="B59" s="104" t="s">
        <v>215</v>
      </c>
      <c r="C59" s="121">
        <f>AVERAGE(E36,G36,I36,K36,M36)</f>
        <v>1.0435484842897105</v>
      </c>
      <c r="D59" s="101">
        <f>'Raw Data'!F49</f>
        <v>5814589.4613589989</v>
      </c>
      <c r="E59" s="31">
        <f>D59/C59</f>
        <v>5571939.9231523862</v>
      </c>
    </row>
    <row r="60" spans="1:5" x14ac:dyDescent="0.35">
      <c r="A60" s="98" t="s">
        <v>261</v>
      </c>
      <c r="B60" s="104" t="s">
        <v>215</v>
      </c>
      <c r="C60" s="121">
        <f>AVERAGE(C24,E24,G24,I24,K24,M24)</f>
        <v>1.1110055328113795</v>
      </c>
      <c r="D60" s="31">
        <v>1186950.8898769999</v>
      </c>
      <c r="E60" s="31">
        <f>D60/C60</f>
        <v>1068357.3167034029</v>
      </c>
    </row>
    <row r="62" spans="1:5" x14ac:dyDescent="0.35">
      <c r="A62" t="s">
        <v>218</v>
      </c>
      <c r="B62" s="31" t="s">
        <v>262</v>
      </c>
    </row>
    <row r="63" spans="1:5" x14ac:dyDescent="0.35">
      <c r="B63" s="31" t="s">
        <v>219</v>
      </c>
    </row>
    <row r="64" spans="1:5" x14ac:dyDescent="0.35">
      <c r="B64" t="s">
        <v>221</v>
      </c>
    </row>
  </sheetData>
  <sheetProtection algorithmName="SHA-512" hashValue="4/4nVAJOq5quWG//M/S9k2Gycm5J4FmYiLqp/AR7Zk4zDGIT2ddQFE0K1aiCgybzprNwcIEBJH1LMMeCMGb6wA==" saltValue="cDPGOqGGgKQLa+AZalWBwg==" spinCount="100000" sheet="1" objects="1" scenarios="1"/>
  <hyperlinks>
    <hyperlink ref="E2" location="'Data sources'!A4" display="Source" xr:uid="{72D64381-FC2D-466D-BF2F-37D52DA8E141}"/>
  </hyperlinks>
  <pageMargins left="0.7" right="0.7" top="0.75" bottom="0.75" header="0.3" footer="0.3"/>
  <ignoredErrors>
    <ignoredError sqref="G15"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0F8E7-7785-4169-BC30-29A0646A9BD2}">
  <dimension ref="A1:M37"/>
  <sheetViews>
    <sheetView topLeftCell="A26" zoomScale="120" zoomScaleNormal="70" workbookViewId="0">
      <selection activeCell="B30" sqref="B30"/>
    </sheetView>
  </sheetViews>
  <sheetFormatPr defaultRowHeight="14.5" x14ac:dyDescent="0.35"/>
  <cols>
    <col min="1" max="1" width="50.7265625" customWidth="1"/>
    <col min="2" max="2" width="14.26953125" bestFit="1" customWidth="1"/>
    <col min="3" max="3" width="15.90625" customWidth="1"/>
    <col min="4" max="4" width="16.54296875" customWidth="1"/>
    <col min="5" max="5" width="16.26953125" customWidth="1"/>
    <col min="6" max="6" width="4.90625" customWidth="1"/>
    <col min="7" max="7" width="12.36328125" customWidth="1"/>
    <col min="8" max="8" width="14.7265625" customWidth="1"/>
    <col min="9" max="9" width="16.36328125" customWidth="1"/>
    <col min="10" max="10" width="14.90625" customWidth="1"/>
    <col min="11" max="11" width="13.81640625" customWidth="1"/>
    <col min="12" max="12" width="14.26953125" customWidth="1"/>
    <col min="13" max="13" width="14.7265625" customWidth="1"/>
  </cols>
  <sheetData>
    <row r="1" spans="1:13" x14ac:dyDescent="0.35">
      <c r="A1" s="1" t="s">
        <v>0</v>
      </c>
      <c r="B1" s="1"/>
      <c r="C1" s="2"/>
      <c r="D1" s="2"/>
      <c r="E1" s="2"/>
      <c r="F1" s="2"/>
    </row>
    <row r="2" spans="1:13" x14ac:dyDescent="0.35">
      <c r="A2" s="1" t="s">
        <v>1</v>
      </c>
      <c r="B2" s="1"/>
      <c r="C2" s="2" t="s">
        <v>2</v>
      </c>
      <c r="D2" s="36"/>
      <c r="E2" s="2"/>
      <c r="F2" s="2"/>
    </row>
    <row r="4" spans="1:13" ht="15" thickBot="1" x14ac:dyDescent="0.4"/>
    <row r="5" spans="1:13" x14ac:dyDescent="0.35">
      <c r="A5" s="116" t="s">
        <v>273</v>
      </c>
    </row>
    <row r="6" spans="1:13" x14ac:dyDescent="0.35">
      <c r="A6" t="s">
        <v>272</v>
      </c>
      <c r="B6" s="97" t="s">
        <v>4</v>
      </c>
      <c r="C6" s="97" t="s">
        <v>5</v>
      </c>
      <c r="D6" s="97" t="s">
        <v>6</v>
      </c>
      <c r="E6" s="97" t="s">
        <v>7</v>
      </c>
      <c r="F6" s="159" t="s">
        <v>191</v>
      </c>
      <c r="G6" s="159"/>
      <c r="H6" s="97" t="s">
        <v>192</v>
      </c>
      <c r="I6" s="97" t="s">
        <v>193</v>
      </c>
      <c r="J6" s="97" t="s">
        <v>194</v>
      </c>
      <c r="K6" s="97" t="s">
        <v>195</v>
      </c>
      <c r="L6" s="97" t="s">
        <v>196</v>
      </c>
      <c r="M6" s="97" t="s">
        <v>281</v>
      </c>
    </row>
    <row r="7" spans="1:13" x14ac:dyDescent="0.35">
      <c r="A7" t="s">
        <v>274</v>
      </c>
      <c r="B7" s="101">
        <f>'FCF Forecast'!B23</f>
        <v>-64947.737653000644</v>
      </c>
      <c r="C7" s="101">
        <f>'FCF Forecast'!C23</f>
        <v>1571814.0943689994</v>
      </c>
      <c r="D7" s="101">
        <f>'FCF Forecast'!D23</f>
        <v>2191845.7007789989</v>
      </c>
      <c r="E7" s="101">
        <f>'FCF Forecast'!E23</f>
        <v>2446119.6029999987</v>
      </c>
      <c r="F7" s="167">
        <f>'FCF Forecast'!F23</f>
        <v>740418.92532974388</v>
      </c>
      <c r="G7" s="167"/>
      <c r="H7" s="101">
        <f>'FCF Forecast'!G23</f>
        <v>1987814.9791236985</v>
      </c>
      <c r="I7" s="101">
        <f>'FCF Forecast'!H23</f>
        <v>2092545.0847187261</v>
      </c>
      <c r="J7" s="101">
        <f>'FCF Forecast'!I23</f>
        <v>2342139.9679260058</v>
      </c>
      <c r="K7" s="101">
        <f>'FCF Forecast'!J23</f>
        <v>2542341.7382011139</v>
      </c>
      <c r="L7" s="101">
        <f>'FCF Forecast'!K23</f>
        <v>2880841.3496592697</v>
      </c>
      <c r="M7" s="101">
        <f>L7*(1+B15)</f>
        <v>3002412.8546148911</v>
      </c>
    </row>
    <row r="9" spans="1:13" ht="15" thickBot="1" x14ac:dyDescent="0.4">
      <c r="A9" s="92" t="s">
        <v>275</v>
      </c>
      <c r="B9" s="92"/>
      <c r="C9" s="92"/>
      <c r="D9" s="92"/>
      <c r="E9" s="92"/>
      <c r="F9" s="92"/>
      <c r="G9" s="92">
        <v>1</v>
      </c>
      <c r="H9" s="92">
        <v>2</v>
      </c>
      <c r="I9" s="92">
        <v>3</v>
      </c>
      <c r="J9" s="92">
        <v>4</v>
      </c>
      <c r="K9" s="92">
        <v>5</v>
      </c>
      <c r="L9" s="92">
        <v>6</v>
      </c>
      <c r="M9" s="92"/>
    </row>
    <row r="10" spans="1:13" ht="15" thickBot="1" x14ac:dyDescent="0.4">
      <c r="A10" s="127" t="s">
        <v>276</v>
      </c>
      <c r="B10" s="92"/>
      <c r="C10" s="92"/>
      <c r="D10" s="92"/>
      <c r="E10" s="92"/>
      <c r="F10" s="168">
        <f>F7/(1+$B$16)^G9</f>
        <v>634502.25658218469</v>
      </c>
      <c r="G10" s="168"/>
      <c r="H10" s="142">
        <f t="shared" ref="H10:L10" si="0">H7/(1+$B$16)^H9</f>
        <v>1459779.5623697757</v>
      </c>
      <c r="I10" s="142">
        <f t="shared" si="0"/>
        <v>1316866.6646321209</v>
      </c>
      <c r="J10" s="142">
        <f t="shared" si="0"/>
        <v>1263093.4572167837</v>
      </c>
      <c r="K10" s="142">
        <f t="shared" si="0"/>
        <v>1174930.6351650027</v>
      </c>
      <c r="L10" s="142">
        <f t="shared" si="0"/>
        <v>1140915.0325232693</v>
      </c>
      <c r="M10" s="142">
        <f>M7/(B16-B15)/(1+B16)^L9</f>
        <v>9533180.1539699007</v>
      </c>
    </row>
    <row r="11" spans="1:13" ht="15" thickBot="1" x14ac:dyDescent="0.4"/>
    <row r="12" spans="1:13" ht="11" customHeight="1" thickBot="1" x14ac:dyDescent="0.4">
      <c r="D12" s="89"/>
      <c r="E12" s="160" t="s">
        <v>1083</v>
      </c>
      <c r="F12" s="161"/>
      <c r="G12" s="92"/>
      <c r="H12" s="92"/>
      <c r="I12" s="92"/>
      <c r="J12" s="92"/>
      <c r="K12" s="92"/>
      <c r="L12" s="92"/>
    </row>
    <row r="13" spans="1:13" ht="15" thickBot="1" x14ac:dyDescent="0.4">
      <c r="A13" s="116" t="s">
        <v>277</v>
      </c>
      <c r="B13" s="91" t="s">
        <v>1081</v>
      </c>
      <c r="C13" s="92" t="s">
        <v>1082</v>
      </c>
      <c r="E13" s="162"/>
      <c r="F13" s="163"/>
      <c r="G13" s="153"/>
      <c r="H13" s="159" t="s">
        <v>279</v>
      </c>
      <c r="I13" s="159"/>
      <c r="J13" s="159"/>
      <c r="K13" s="159"/>
      <c r="L13" s="164"/>
    </row>
    <row r="14" spans="1:13" x14ac:dyDescent="0.35">
      <c r="A14" s="31" t="s">
        <v>278</v>
      </c>
      <c r="B14" s="31">
        <f>SUM(F10:L10)</f>
        <v>6990087.6084891371</v>
      </c>
      <c r="C14" s="31">
        <f>B14*(1+B16)</f>
        <v>8156934.1973930579</v>
      </c>
      <c r="E14" s="87"/>
      <c r="F14" s="152"/>
      <c r="G14" s="101">
        <f>C24</f>
        <v>37302.358864151727</v>
      </c>
      <c r="H14" s="143">
        <f>I14-0.25%</f>
        <v>3.7199999999999997E-2</v>
      </c>
      <c r="I14" s="143">
        <f>J14-0.25%</f>
        <v>3.9699999999999999E-2</v>
      </c>
      <c r="J14" s="143">
        <v>4.2200000000000001E-2</v>
      </c>
      <c r="K14" s="143">
        <f>J14+0.25%</f>
        <v>4.4700000000000004E-2</v>
      </c>
      <c r="L14" s="147">
        <f>K14+0.25%</f>
        <v>4.7200000000000006E-2</v>
      </c>
    </row>
    <row r="15" spans="1:13" x14ac:dyDescent="0.35">
      <c r="A15" s="31" t="s">
        <v>279</v>
      </c>
      <c r="B15" s="105">
        <v>4.2200000000000001E-2</v>
      </c>
      <c r="C15" s="105"/>
      <c r="E15" s="89"/>
      <c r="F15" s="165" t="s">
        <v>280</v>
      </c>
      <c r="G15" s="143">
        <f>G16-0.25%</f>
        <v>0.1619287502901737</v>
      </c>
      <c r="H15" s="146">
        <f t="dataTable" ref="H15:L19" dt2D="1" dtr="1" r1="B15" r2="B16"/>
        <v>38015.904790416469</v>
      </c>
      <c r="I15" s="146">
        <v>38678.202947072627</v>
      </c>
      <c r="J15" s="146">
        <v>39368.159379416582</v>
      </c>
      <c r="K15" s="146">
        <v>40087.543594221592</v>
      </c>
      <c r="L15" s="148">
        <v>40838.279332205631</v>
      </c>
    </row>
    <row r="16" spans="1:13" x14ac:dyDescent="0.35">
      <c r="A16" s="31" t="s">
        <v>280</v>
      </c>
      <c r="B16" s="105">
        <f>Assumptions!B70</f>
        <v>0.16692875029017371</v>
      </c>
      <c r="C16" s="105"/>
      <c r="E16" s="89"/>
      <c r="F16" s="165"/>
      <c r="G16" s="143">
        <f>G17-0.25%</f>
        <v>0.1644287502901737</v>
      </c>
      <c r="H16" s="146">
        <v>37026.485959926467</v>
      </c>
      <c r="I16" s="144">
        <v>37657.309612058874</v>
      </c>
      <c r="J16" s="144">
        <v>38313.938308038778</v>
      </c>
      <c r="K16" s="144">
        <v>38997.988516996484</v>
      </c>
      <c r="L16" s="148">
        <v>39711.214598223771</v>
      </c>
    </row>
    <row r="17" spans="1:12" ht="15" thickBot="1" x14ac:dyDescent="0.4">
      <c r="A17" s="31" t="s">
        <v>282</v>
      </c>
      <c r="B17" s="142">
        <f>M10</f>
        <v>9533180.1539699007</v>
      </c>
      <c r="C17" s="142">
        <f>B17*(1+B16)</f>
        <v>11124542.003363183</v>
      </c>
      <c r="E17" s="89"/>
      <c r="F17" s="165"/>
      <c r="G17" s="143">
        <v>0.16692875029017371</v>
      </c>
      <c r="H17" s="146">
        <v>36075.594051618711</v>
      </c>
      <c r="I17" s="144">
        <v>36676.923710277712</v>
      </c>
      <c r="J17" s="145">
        <v>37302.358864151727</v>
      </c>
      <c r="K17" s="144">
        <v>37953.378635081419</v>
      </c>
      <c r="L17" s="148">
        <v>38631.585684311103</v>
      </c>
    </row>
    <row r="18" spans="1:12" x14ac:dyDescent="0.35">
      <c r="A18" s="31" t="s">
        <v>283</v>
      </c>
      <c r="B18" s="31">
        <f>B17+B14</f>
        <v>16523267.762459038</v>
      </c>
      <c r="C18" s="31">
        <f>SUM(C14:C17)</f>
        <v>19281476.200756241</v>
      </c>
      <c r="E18" s="89"/>
      <c r="F18" s="165"/>
      <c r="G18" s="143">
        <f>G17+0.25%</f>
        <v>0.16942875029017371</v>
      </c>
      <c r="H18" s="146">
        <v>35161.039375293076</v>
      </c>
      <c r="I18" s="144">
        <v>35734.699001190893</v>
      </c>
      <c r="J18" s="144">
        <v>36330.903045099149</v>
      </c>
      <c r="K18" s="144">
        <v>36951.00711376196</v>
      </c>
      <c r="L18" s="148">
        <v>37596.477721278803</v>
      </c>
    </row>
    <row r="19" spans="1:12" ht="15" thickBot="1" x14ac:dyDescent="0.4">
      <c r="A19" s="31" t="s">
        <v>284</v>
      </c>
      <c r="B19" s="31">
        <f>'Raw Data'!E7</f>
        <v>1241561.3621149999</v>
      </c>
      <c r="C19" s="31">
        <f>'2024FinalKeyData'!E60</f>
        <v>1068357.3167034029</v>
      </c>
      <c r="E19" s="89"/>
      <c r="F19" s="166"/>
      <c r="G19" s="150">
        <f>G18+0.25%</f>
        <v>0.17192875029017371</v>
      </c>
      <c r="H19" s="151">
        <v>34280.794827268743</v>
      </c>
      <c r="I19" s="151">
        <v>34828.466742158002</v>
      </c>
      <c r="J19" s="151">
        <v>35397.247004798395</v>
      </c>
      <c r="K19" s="151">
        <v>35988.379929920469</v>
      </c>
      <c r="L19" s="149">
        <v>36603.209593915766</v>
      </c>
    </row>
    <row r="20" spans="1:12" ht="14.5" customHeight="1" x14ac:dyDescent="0.35">
      <c r="A20" s="31" t="s">
        <v>285</v>
      </c>
      <c r="B20" s="31">
        <f>'Raw Data'!E49</f>
        <v>3240377.2040000004</v>
      </c>
      <c r="C20" s="31">
        <f>'2024FinalKeyData'!E59</f>
        <v>5571939.9231523862</v>
      </c>
    </row>
    <row r="21" spans="1:12" x14ac:dyDescent="0.35">
      <c r="A21" s="31" t="s">
        <v>286</v>
      </c>
      <c r="B21" s="31">
        <f>'Raw Data'!E59</f>
        <v>174796.24</v>
      </c>
      <c r="C21" s="31">
        <f>'Raw Data'!F59</f>
        <v>180202.59195</v>
      </c>
    </row>
    <row r="22" spans="1:12" x14ac:dyDescent="0.35">
      <c r="A22" s="128" t="s">
        <v>287</v>
      </c>
      <c r="B22" s="128">
        <f>B18+B19-B20-B21</f>
        <v>14349655.680574039</v>
      </c>
      <c r="C22" s="128">
        <f>C18+C19-C20-C21</f>
        <v>14597691.002357256</v>
      </c>
    </row>
    <row r="23" spans="1:12" x14ac:dyDescent="0.35">
      <c r="A23" s="128" t="s">
        <v>288</v>
      </c>
      <c r="B23" s="128">
        <v>391.33425999999997</v>
      </c>
      <c r="C23" s="128">
        <v>391.33425999999997</v>
      </c>
    </row>
    <row r="24" spans="1:12" ht="15" thickBot="1" x14ac:dyDescent="0.4">
      <c r="A24" s="129" t="s">
        <v>289</v>
      </c>
      <c r="B24" s="129">
        <f>B22/B23</f>
        <v>36668.539270172871</v>
      </c>
      <c r="C24" s="129">
        <f>C22/C23</f>
        <v>37302.358864151727</v>
      </c>
    </row>
    <row r="25" spans="1:12" ht="15" thickBot="1" x14ac:dyDescent="0.4">
      <c r="B25" s="91" t="s">
        <v>1087</v>
      </c>
    </row>
    <row r="26" spans="1:12" x14ac:dyDescent="0.35">
      <c r="A26" s="31" t="s">
        <v>278</v>
      </c>
      <c r="B26" s="31">
        <f>B14*(1+B16)^2</f>
        <v>9518561.0291630626</v>
      </c>
    </row>
    <row r="27" spans="1:12" x14ac:dyDescent="0.35">
      <c r="A27" s="31" t="s">
        <v>279</v>
      </c>
      <c r="B27" s="105">
        <v>4.2200000000000001E-2</v>
      </c>
    </row>
    <row r="28" spans="1:12" x14ac:dyDescent="0.35">
      <c r="A28" s="31" t="s">
        <v>280</v>
      </c>
      <c r="B28" s="105">
        <v>0.16692875029017371</v>
      </c>
    </row>
    <row r="29" spans="1:12" ht="15" thickBot="1" x14ac:dyDescent="0.4">
      <c r="A29" s="31" t="s">
        <v>282</v>
      </c>
      <c r="B29" s="142">
        <f>C17*(1+B28)</f>
        <v>12981547.897535145</v>
      </c>
    </row>
    <row r="30" spans="1:12" x14ac:dyDescent="0.35">
      <c r="A30" s="31" t="s">
        <v>283</v>
      </c>
      <c r="B30" s="31">
        <f>B29+B26</f>
        <v>22500108.926698208</v>
      </c>
    </row>
    <row r="31" spans="1:12" x14ac:dyDescent="0.35">
      <c r="A31" s="31" t="s">
        <v>284</v>
      </c>
      <c r="B31" s="31">
        <f>Assumptions!G46*'FCF Forecast'!G6</f>
        <v>692559.97416114202</v>
      </c>
    </row>
    <row r="32" spans="1:12" x14ac:dyDescent="0.35">
      <c r="A32" s="31" t="s">
        <v>285</v>
      </c>
      <c r="B32" s="31">
        <f>C20*(1+Assumptions!G47)</f>
        <v>6514071.3583188606</v>
      </c>
    </row>
    <row r="33" spans="1:2" x14ac:dyDescent="0.35">
      <c r="A33" s="31" t="s">
        <v>286</v>
      </c>
      <c r="B33" s="31">
        <f>AVERAGE('Raw Data'!B59:F59)</f>
        <v>180376.73809140001</v>
      </c>
    </row>
    <row r="34" spans="1:2" x14ac:dyDescent="0.35">
      <c r="A34" s="128" t="s">
        <v>287</v>
      </c>
      <c r="B34" s="128">
        <f>B30+B31-B32-B33</f>
        <v>16498220.804449087</v>
      </c>
    </row>
    <row r="35" spans="1:2" x14ac:dyDescent="0.35">
      <c r="A35" s="128" t="s">
        <v>288</v>
      </c>
      <c r="B35" s="128">
        <v>391.33425999999997</v>
      </c>
    </row>
    <row r="36" spans="1:2" ht="15" thickBot="1" x14ac:dyDescent="0.4">
      <c r="A36" s="129" t="s">
        <v>289</v>
      </c>
      <c r="B36" s="129">
        <f>B34/B35</f>
        <v>42158.897113810293</v>
      </c>
    </row>
    <row r="37" spans="1:2" x14ac:dyDescent="0.35">
      <c r="B37" s="120">
        <f>(B36-B24)/B24</f>
        <v>0.14972938526906143</v>
      </c>
    </row>
  </sheetData>
  <sheetProtection algorithmName="SHA-512" hashValue="JM+/XKQp+w183mU4+xSgGUErFh9KWjnisksyGlmU027YId5o5udC6MZQSh9WdBncA/B1c9rE4JjZbqNTd0KocQ==" saltValue="Es/zmQL4+W87CwbBiZBq5g==" spinCount="100000" sheet="1" objects="1" scenarios="1"/>
  <mergeCells count="6">
    <mergeCell ref="E12:F13"/>
    <mergeCell ref="H13:L13"/>
    <mergeCell ref="F15:F19"/>
    <mergeCell ref="F6:G6"/>
    <mergeCell ref="F7:G7"/>
    <mergeCell ref="F10:G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2F4079-BA20-442D-B27E-5F2F9A5887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Data sources</vt:lpstr>
      <vt:lpstr>Net Revenue</vt:lpstr>
      <vt:lpstr>Raw Data</vt:lpstr>
      <vt:lpstr>Analysis</vt:lpstr>
      <vt:lpstr>Assumptions</vt:lpstr>
      <vt:lpstr>Beta&amp;MarkPrem</vt:lpstr>
      <vt:lpstr>FCF Forecast</vt:lpstr>
      <vt:lpstr>Net Working Capital</vt:lpstr>
      <vt:lpstr>2024FinalKeyData</vt:lpstr>
      <vt:lpstr>DCF</vt:lpstr>
      <vt:lpstr>E6413213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 Nguyen</dc:creator>
  <cp:lastModifiedBy>Thai Nguyen</cp:lastModifiedBy>
  <dcterms:created xsi:type="dcterms:W3CDTF">2024-12-05T02:53:26Z</dcterms:created>
  <dcterms:modified xsi:type="dcterms:W3CDTF">2025-01-01T15:23:27Z</dcterms:modified>
  <cp:contentStatus/>
</cp:coreProperties>
</file>