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1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jpascu02_syr_edu/Documents/Desktop/SyracuseU/Research/Bioindicators/2025Report/"/>
    </mc:Choice>
  </mc:AlternateContent>
  <xr:revisionPtr revIDLastSave="6054" documentId="11_125B3DD155FE7FC4BF56B86755F4106D9698A3E8" xr6:coauthVersionLast="47" xr6:coauthVersionMax="47" xr10:uidLastSave="{2238072E-EF66-48A0-9987-A46B9E35A72C}"/>
  <bookViews>
    <workbookView xWindow="28680" yWindow="630" windowWidth="29040" windowHeight="15720" tabRatio="712" firstSheet="14" activeTab="21" xr2:uid="{00000000-000D-0000-FFFF-FFFF00000000}"/>
  </bookViews>
  <sheets>
    <sheet name="CONTENTS" sheetId="1" r:id="rId1"/>
    <sheet name="AG SUMMARY" sheetId="19" r:id="rId2"/>
    <sheet name="CORN" sheetId="20" r:id="rId3"/>
    <sheet name="SORGHUM" sheetId="22" r:id="rId4"/>
    <sheet name="BARLEY" sheetId="23" r:id="rId5"/>
    <sheet name="WHEAT" sheetId="21" r:id="rId6"/>
    <sheet name="SOY" sheetId="24" r:id="rId7"/>
    <sheet name="CANOLA" sheetId="25" r:id="rId8"/>
    <sheet name="SUNFLOWERS" sheetId="27" r:id="rId9"/>
    <sheet name="PEANUTS" sheetId="28" r:id="rId10"/>
    <sheet name="COTTON" sheetId="26" r:id="rId11"/>
    <sheet name="ETHANOL" sheetId="2" r:id="rId12"/>
    <sheet name="BIODIESEL" sheetId="4" r:id="rId13"/>
    <sheet name="RENEWABLE DIESEL" sheetId="6" r:id="rId14"/>
    <sheet name="FATS" sheetId="5" r:id="rId15"/>
    <sheet name="RENEWABLE JET FUEL" sheetId="7" r:id="rId16"/>
    <sheet name="WOOD PELLETS" sheetId="8" r:id="rId17"/>
    <sheet name="WASTE TO ENERGY" sheetId="9" r:id="rId18"/>
    <sheet name="BIOGAS" sheetId="10" r:id="rId19"/>
    <sheet name="TRADE" sheetId="17" r:id="rId20"/>
    <sheet name="BIOPRODUCTS" sheetId="11" r:id="rId21"/>
    <sheet name="BIOPLASTICS" sheetId="12" r:id="rId22"/>
    <sheet name="ENZYMES" sheetId="13" r:id="rId23"/>
    <sheet name="APPAREL AND TEXTILES" sheetId="14" r:id="rId24"/>
    <sheet name="FOREST PRODUCTS" sheetId="15" r:id="rId25"/>
    <sheet name="FUNDING" sheetId="16" r:id="rId26"/>
  </sheets>
  <definedNames>
    <definedName name="_xlchart.v1.0" hidden="1">BIOPLASTICS!$O$50:$P$60</definedName>
    <definedName name="_xlchart.v1.1" hidden="1">BIOPLASTICS!$Q$50:$Q$60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7" l="1"/>
  <c r="O26" i="7"/>
  <c r="Q32" i="5" l="1"/>
  <c r="Q24" i="5"/>
  <c r="Q25" i="5"/>
  <c r="Q27" i="5"/>
  <c r="Q28" i="5"/>
  <c r="Q29" i="5"/>
  <c r="Q31" i="5"/>
  <c r="Q33" i="5"/>
  <c r="Q34" i="5"/>
  <c r="Q36" i="5"/>
  <c r="Q37" i="5"/>
  <c r="Q38" i="5"/>
  <c r="Q18" i="5"/>
  <c r="Q19" i="5"/>
  <c r="Q20" i="5"/>
  <c r="Q21" i="5"/>
  <c r="Q22" i="5"/>
  <c r="Q17" i="5"/>
  <c r="Q7" i="5"/>
  <c r="Q5" i="5"/>
  <c r="Q6" i="5"/>
  <c r="G20" i="7" l="1"/>
  <c r="H20" i="7"/>
  <c r="H21" i="7" s="1"/>
  <c r="I20" i="7"/>
  <c r="I21" i="7" s="1"/>
  <c r="J20" i="7"/>
  <c r="K20" i="7"/>
  <c r="K21" i="7" s="1"/>
  <c r="L20" i="7"/>
  <c r="M20" i="7"/>
  <c r="M21" i="7" s="1"/>
  <c r="N20" i="7"/>
  <c r="N21" i="7" s="1"/>
  <c r="O20" i="7"/>
  <c r="O21" i="7" s="1"/>
  <c r="P20" i="7"/>
  <c r="G21" i="7"/>
  <c r="J21" i="7"/>
  <c r="L21" i="7"/>
  <c r="P21" i="7"/>
  <c r="F20" i="7"/>
  <c r="F21" i="7"/>
  <c r="F18" i="7"/>
  <c r="G18" i="7"/>
  <c r="H18" i="7"/>
  <c r="I18" i="7"/>
  <c r="J18" i="7"/>
  <c r="K18" i="7"/>
  <c r="L18" i="7"/>
  <c r="M18" i="7"/>
  <c r="N18" i="7"/>
  <c r="O18" i="7"/>
  <c r="P18" i="7"/>
  <c r="B24" i="25"/>
  <c r="D24" i="25"/>
  <c r="E24" i="25"/>
  <c r="F24" i="25"/>
  <c r="G24" i="25"/>
  <c r="H24" i="25"/>
  <c r="I24" i="25"/>
  <c r="J24" i="25"/>
  <c r="K24" i="25"/>
  <c r="L24" i="25"/>
  <c r="M24" i="25"/>
  <c r="N24" i="25"/>
  <c r="O24" i="25"/>
  <c r="P24" i="25"/>
  <c r="C24" i="25"/>
  <c r="C27" i="24"/>
  <c r="D27" i="24"/>
  <c r="E27" i="24"/>
  <c r="F27" i="24"/>
  <c r="G27" i="24"/>
  <c r="H27" i="24"/>
  <c r="I27" i="24"/>
  <c r="J27" i="24"/>
  <c r="K27" i="24"/>
  <c r="L27" i="24"/>
  <c r="M27" i="24"/>
  <c r="N27" i="24"/>
  <c r="O27" i="24"/>
  <c r="P27" i="24"/>
  <c r="B27" i="24"/>
  <c r="C35" i="20" l="1"/>
  <c r="D35" i="20"/>
  <c r="E35" i="20"/>
  <c r="F35" i="20"/>
  <c r="G35" i="20"/>
  <c r="H35" i="20"/>
  <c r="I35" i="20"/>
  <c r="J35" i="20"/>
  <c r="K35" i="20"/>
  <c r="L35" i="20"/>
  <c r="M35" i="20"/>
  <c r="N35" i="20"/>
  <c r="O35" i="20"/>
  <c r="P35" i="20"/>
  <c r="B35" i="20"/>
  <c r="C34" i="20" l="1"/>
  <c r="D34" i="20"/>
  <c r="E34" i="20"/>
  <c r="F34" i="20"/>
  <c r="G34" i="20"/>
  <c r="H34" i="20"/>
  <c r="I34" i="20"/>
  <c r="J34" i="20"/>
  <c r="K34" i="20"/>
  <c r="L34" i="20"/>
  <c r="M34" i="20"/>
  <c r="N34" i="20"/>
  <c r="O34" i="20"/>
  <c r="P34" i="20"/>
  <c r="B34" i="20"/>
  <c r="C7" i="20" l="1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B27" i="20"/>
  <c r="B7" i="20"/>
  <c r="K20" i="17"/>
  <c r="K19" i="17"/>
  <c r="K18" i="17"/>
  <c r="K17" i="17"/>
  <c r="K16" i="17"/>
  <c r="W18" i="17"/>
  <c r="W17" i="17"/>
  <c r="W16" i="17"/>
  <c r="T8" i="17"/>
  <c r="Q6" i="17"/>
  <c r="P23" i="15"/>
  <c r="P24" i="15"/>
  <c r="P25" i="15"/>
  <c r="P26" i="15"/>
  <c r="P27" i="15"/>
  <c r="P18" i="15"/>
  <c r="O23" i="12"/>
  <c r="P23" i="12"/>
  <c r="P14" i="12"/>
  <c r="O18" i="11"/>
  <c r="O17" i="11"/>
  <c r="O16" i="11"/>
  <c r="O15" i="11"/>
  <c r="O14" i="11"/>
  <c r="O13" i="11"/>
  <c r="O12" i="11"/>
  <c r="O11" i="11"/>
  <c r="O10" i="11"/>
  <c r="O9" i="11"/>
  <c r="O8" i="11"/>
  <c r="O6" i="11"/>
  <c r="O5" i="11"/>
  <c r="L4" i="11"/>
  <c r="M4" i="11" s="1"/>
  <c r="B19" i="8"/>
  <c r="P19" i="8"/>
  <c r="P36" i="5"/>
  <c r="H15" i="5"/>
  <c r="D9" i="5"/>
  <c r="E9" i="5"/>
  <c r="F9" i="5"/>
  <c r="G9" i="5"/>
  <c r="H9" i="5"/>
  <c r="I9" i="5"/>
  <c r="J9" i="5"/>
  <c r="K9" i="5"/>
  <c r="L9" i="5"/>
  <c r="M9" i="5"/>
  <c r="N9" i="5"/>
  <c r="O9" i="5"/>
  <c r="P9" i="5"/>
  <c r="C9" i="5"/>
  <c r="P15" i="5"/>
  <c r="O15" i="5" l="1"/>
  <c r="P37" i="5"/>
  <c r="P38" i="5"/>
  <c r="P28" i="5"/>
  <c r="P34" i="5"/>
  <c r="P22" i="5"/>
  <c r="P28" i="2"/>
  <c r="O23" i="15"/>
  <c r="O24" i="15"/>
  <c r="O25" i="15"/>
  <c r="O26" i="15"/>
  <c r="O27" i="15"/>
  <c r="G87" i="16" l="1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I95" i="16"/>
  <c r="I94" i="16"/>
  <c r="I93" i="16"/>
  <c r="I92" i="16"/>
  <c r="I91" i="16"/>
  <c r="I90" i="16"/>
  <c r="I89" i="16"/>
  <c r="I88" i="16"/>
  <c r="I87" i="16"/>
  <c r="K91" i="16"/>
  <c r="K90" i="16"/>
  <c r="K89" i="16"/>
  <c r="K88" i="16"/>
  <c r="K87" i="16"/>
  <c r="K95" i="16"/>
  <c r="K94" i="16"/>
  <c r="K93" i="16"/>
  <c r="K92" i="16"/>
  <c r="J87" i="16"/>
  <c r="J88" i="16"/>
  <c r="J89" i="16"/>
  <c r="J90" i="16"/>
  <c r="J91" i="16"/>
  <c r="J93" i="16"/>
  <c r="J94" i="16"/>
  <c r="J95" i="16"/>
  <c r="J92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B50" i="16"/>
  <c r="B49" i="16"/>
  <c r="B48" i="16"/>
  <c r="D88" i="16"/>
  <c r="E88" i="16"/>
  <c r="F88" i="16"/>
  <c r="D89" i="16"/>
  <c r="E89" i="16"/>
  <c r="F89" i="16"/>
  <c r="D90" i="16"/>
  <c r="E90" i="16"/>
  <c r="F90" i="16"/>
  <c r="D91" i="16"/>
  <c r="E91" i="16"/>
  <c r="F91" i="16"/>
  <c r="F87" i="16"/>
  <c r="E87" i="16"/>
  <c r="D87" i="16"/>
  <c r="E95" i="16"/>
  <c r="D95" i="16"/>
  <c r="D93" i="16"/>
  <c r="E93" i="16"/>
  <c r="F93" i="16"/>
  <c r="D94" i="16"/>
  <c r="E94" i="16"/>
  <c r="F94" i="16"/>
  <c r="F95" i="16"/>
  <c r="F92" i="16"/>
  <c r="E92" i="16"/>
  <c r="D92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35" i="16"/>
  <c r="E15" i="8" l="1"/>
  <c r="F15" i="8"/>
  <c r="G15" i="8"/>
  <c r="D15" i="8"/>
  <c r="N34" i="5"/>
  <c r="E34" i="5"/>
  <c r="F34" i="5"/>
  <c r="G34" i="5"/>
  <c r="H34" i="5"/>
  <c r="I34" i="5"/>
  <c r="J34" i="5"/>
  <c r="K34" i="5"/>
  <c r="L34" i="5"/>
  <c r="M34" i="5"/>
  <c r="O34" i="5"/>
  <c r="D34" i="5"/>
  <c r="E28" i="5"/>
  <c r="F28" i="5"/>
  <c r="G28" i="5"/>
  <c r="H28" i="5"/>
  <c r="I28" i="5"/>
  <c r="J28" i="5"/>
  <c r="L28" i="5"/>
  <c r="M28" i="5"/>
  <c r="N28" i="5"/>
  <c r="M15" i="5" l="1"/>
  <c r="O22" i="5"/>
  <c r="O14" i="12"/>
  <c r="O19" i="8"/>
  <c r="O36" i="5"/>
  <c r="O37" i="5"/>
  <c r="O38" i="5"/>
  <c r="O25" i="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N14" i="12"/>
  <c r="N23" i="12" s="1"/>
  <c r="M14" i="12"/>
  <c r="M23" i="12" s="1"/>
  <c r="L14" i="12"/>
  <c r="L23" i="12" s="1"/>
  <c r="K14" i="12"/>
  <c r="K23" i="12" s="1"/>
  <c r="J14" i="12"/>
  <c r="J23" i="12" s="1"/>
  <c r="I14" i="12"/>
  <c r="I23" i="12" s="1"/>
  <c r="H14" i="12"/>
  <c r="H23" i="12" s="1"/>
  <c r="G14" i="12"/>
  <c r="G23" i="12" s="1"/>
  <c r="F14" i="12"/>
  <c r="F23" i="12" s="1"/>
  <c r="E14" i="12"/>
  <c r="E23" i="12" s="1"/>
  <c r="D14" i="12"/>
  <c r="D23" i="12" s="1"/>
  <c r="C14" i="12"/>
  <c r="C23" i="12" s="1"/>
  <c r="B14" i="12"/>
  <c r="B23" i="12" s="1"/>
  <c r="I13" i="9"/>
  <c r="G13" i="9"/>
  <c r="B13" i="9"/>
  <c r="H12" i="9"/>
  <c r="G12" i="9"/>
  <c r="F12" i="9"/>
  <c r="E12" i="9"/>
  <c r="D12" i="9"/>
  <c r="C12" i="9"/>
  <c r="B12" i="9"/>
  <c r="N19" i="8"/>
  <c r="M19" i="8"/>
  <c r="L19" i="8"/>
  <c r="J19" i="8"/>
  <c r="I19" i="8"/>
  <c r="H19" i="8"/>
  <c r="G19" i="8"/>
  <c r="F19" i="8"/>
  <c r="E19" i="8"/>
  <c r="D19" i="8"/>
  <c r="C19" i="8"/>
  <c r="K19" i="8"/>
  <c r="N39" i="5"/>
  <c r="M39" i="5"/>
  <c r="L39" i="5"/>
  <c r="K39" i="5"/>
  <c r="J39" i="5"/>
  <c r="I39" i="5"/>
  <c r="H39" i="5"/>
  <c r="G39" i="5"/>
  <c r="F39" i="5"/>
  <c r="E39" i="5"/>
  <c r="D39" i="5"/>
  <c r="C39" i="5"/>
  <c r="N38" i="5"/>
  <c r="M38" i="5"/>
  <c r="L38" i="5"/>
  <c r="K38" i="5"/>
  <c r="J38" i="5"/>
  <c r="I38" i="5"/>
  <c r="H38" i="5"/>
  <c r="G38" i="5"/>
  <c r="F38" i="5"/>
  <c r="E38" i="5"/>
  <c r="D38" i="5"/>
  <c r="C38" i="5"/>
  <c r="N37" i="5"/>
  <c r="M37" i="5"/>
  <c r="L37" i="5"/>
  <c r="K37" i="5"/>
  <c r="J37" i="5"/>
  <c r="I37" i="5"/>
  <c r="H37" i="5"/>
  <c r="G37" i="5"/>
  <c r="F37" i="5"/>
  <c r="E37" i="5"/>
  <c r="D37" i="5"/>
  <c r="C37" i="5"/>
  <c r="N36" i="5"/>
  <c r="M36" i="5"/>
  <c r="L36" i="5"/>
  <c r="K36" i="5"/>
  <c r="J36" i="5"/>
  <c r="I36" i="5"/>
  <c r="H36" i="5"/>
  <c r="G36" i="5"/>
  <c r="F36" i="5"/>
  <c r="E36" i="5"/>
  <c r="D36" i="5"/>
  <c r="C36" i="5"/>
  <c r="D26" i="5"/>
  <c r="C26" i="5"/>
  <c r="K25" i="5"/>
  <c r="K28" i="5" s="1"/>
  <c r="D25" i="5"/>
  <c r="C25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15" i="5"/>
  <c r="L15" i="5"/>
  <c r="K15" i="5"/>
  <c r="J15" i="5"/>
  <c r="I15" i="5"/>
  <c r="N22" i="4"/>
  <c r="M22" i="4"/>
  <c r="L22" i="4"/>
  <c r="O21" i="4"/>
  <c r="N21" i="4"/>
  <c r="M21" i="4"/>
  <c r="L21" i="4"/>
  <c r="K21" i="4"/>
  <c r="O20" i="4"/>
  <c r="N20" i="4"/>
  <c r="M20" i="4"/>
  <c r="L20" i="4"/>
  <c r="O19" i="4"/>
  <c r="N19" i="4"/>
  <c r="M19" i="4"/>
  <c r="L19" i="4"/>
  <c r="O18" i="4"/>
  <c r="N18" i="4"/>
  <c r="M18" i="4"/>
  <c r="L18" i="4"/>
  <c r="K18" i="4"/>
  <c r="O30" i="2"/>
  <c r="N30" i="2"/>
  <c r="M30" i="2"/>
  <c r="O29" i="2"/>
  <c r="N29" i="2"/>
  <c r="M29" i="2"/>
  <c r="O28" i="5" l="1"/>
  <c r="C28" i="5"/>
  <c r="D28" i="5"/>
  <c r="L28" i="12"/>
  <c r="M28" i="12"/>
  <c r="N2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CCBB91CF-23B8-4859-8899-7B3FB00DD7B7}">
      <text>
        <r>
          <rPr>
            <sz val="11"/>
            <color theme="1"/>
            <rFont val="Calibri"/>
            <family val="2"/>
            <scheme val="minor"/>
          </rPr>
          <t>Source: https://www.eia.gov/dnav/pet/pet_move_expc_a_EPOOXE_EEX_mbbl_a.htm</t>
        </r>
      </text>
    </comment>
    <comment ref="D2" authorId="0" shapeId="0" xr:uid="{4B670116-0999-45CC-8241-E204199C6D08}">
      <text>
        <r>
          <rPr>
            <sz val="11"/>
            <color theme="1"/>
            <rFont val="Calibri"/>
            <family val="2"/>
            <scheme val="minor"/>
          </rPr>
          <t>Source: https://www.eia.gov/dnav/pet/pet_move_expc_a_EPOORDB_EEX_mbbl_a.htm</t>
        </r>
      </text>
    </comment>
    <comment ref="G2" authorId="0" shapeId="0" xr:uid="{2A3FD799-00FC-467A-B475-765B7F72FBCF}">
      <text>
        <r>
          <rPr>
            <sz val="11"/>
            <color theme="1"/>
            <rFont val="Calibri"/>
            <family val="2"/>
            <scheme val="minor"/>
          </rPr>
          <t>Source: https://comtrade.un.org/data/</t>
        </r>
      </text>
    </comment>
    <comment ref="J2" authorId="0" shapeId="0" xr:uid="{3E75CDC1-F9D3-4E01-A7EB-736B76B06347}">
      <text>
        <r>
          <rPr>
            <sz val="11"/>
            <color theme="1"/>
            <rFont val="Calibri"/>
            <family val="2"/>
            <scheme val="minor"/>
          </rPr>
          <t xml:space="preserve"> Source:  https://rendermagazine.com/wp-content/uploads/2019/07/Render_Apr19.pdf</t>
        </r>
      </text>
    </comment>
    <comment ref="M2" authorId="0" shapeId="0" xr:uid="{49BCCC4B-B43B-4DDC-897A-0BA32AD5DEC5}">
      <text>
        <r>
          <rPr>
            <sz val="11"/>
            <color theme="1"/>
            <rFont val="Calibri"/>
            <family val="2"/>
            <scheme val="minor"/>
          </rPr>
          <t>======
ID#AAABCKao9ow
Pascual, Janire    (2023-12-11 18:13:14)
Source: https://www.eia.gov/dnav/pet/pet_move_expc_a_EPOOXE_EEX_mbbl_a.htm</t>
        </r>
      </text>
    </comment>
    <comment ref="P2" authorId="0" shapeId="0" xr:uid="{6E6A46C5-9F0C-43D1-8CE8-D143E39A8215}">
      <text>
        <r>
          <rPr>
            <sz val="11"/>
            <color theme="1"/>
            <rFont val="Calibri"/>
            <family val="2"/>
            <scheme val="minor"/>
          </rPr>
          <t>======
ID#AAABCKao9o4
Pascual, Janire    (2023-12-11 18:13:14)
Source: https://www.eia.gov/dnav/pet/pet_move_expc_a_EPOORDB_EEX_mbbl_a.htm</t>
        </r>
      </text>
    </comment>
    <comment ref="S2" authorId="0" shapeId="0" xr:uid="{B33A7D1E-3C96-4971-9E94-9FF6B80D7D6A}">
      <text>
        <r>
          <rPr>
            <sz val="11"/>
            <color theme="1"/>
            <rFont val="Calibri"/>
            <family val="2"/>
            <scheme val="minor"/>
          </rPr>
          <t>======
ID#AAABCKao9pg
Pascual, Janire    (2023-12-11 18:13:14)
Source: https://comtrade.un.org/data/</t>
        </r>
      </text>
    </comment>
    <comment ref="V2" authorId="0" shapeId="0" xr:uid="{F4C1A541-EC35-4532-8508-599E23D0C08D}">
      <text>
        <r>
          <rPr>
            <sz val="11"/>
            <color theme="1"/>
            <rFont val="Calibri"/>
            <family val="2"/>
            <scheme val="minor"/>
          </rPr>
          <t>======
ID#AAABCKao9pA
tc={CE891A85-F1AE-41EE-9BF2-6EBCD4AC02D4}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A12" authorId="0" shapeId="0" xr:uid="{DDDFCDD0-19AB-4419-B440-15736E27CF83}">
      <text>
        <r>
          <rPr>
            <sz val="11"/>
            <color theme="1"/>
            <rFont val="Calibri"/>
            <family val="2"/>
            <scheme val="minor"/>
          </rPr>
          <t>======
ID#AAABCKao9oQ
tc={B94A4057-F063-4D2D-9CB5-0D7A6F2EED8E}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D12" authorId="0" shapeId="0" xr:uid="{C2A54291-3440-4BD6-9B7D-75E87703E9AF}">
      <text>
        <r>
          <rPr>
            <sz val="11"/>
            <color theme="1"/>
            <rFont val="Calibri"/>
            <family val="2"/>
            <scheme val="minor"/>
          </rPr>
          <t>======
ID#AAABCKao9n0
tc={7868D2DF-CD0A-484F-8199-465A1A24F93C}    (2023-12-11 18:13:14)
[Threaded comment]
Comment:
    Source:  https://rendermagazine.com/wp-content/uploads/2019/07/Render_Apr19.pdf</t>
        </r>
      </text>
    </comment>
    <comment ref="G12" authorId="0" shapeId="0" xr:uid="{FA364BDE-681A-497F-9788-EC0677551CE9}">
      <text>
        <r>
          <rPr>
            <sz val="11"/>
            <color theme="1"/>
            <rFont val="Calibri"/>
            <family val="2"/>
            <scheme val="minor"/>
          </rPr>
          <t>======
ID#AAABCKao9nw
tc={DE318791-6C83-48A0-8077-859295D79241}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J12" authorId="0" shapeId="0" xr:uid="{721B1F68-1246-489C-B15D-B9DABCCD2EC4}">
      <text>
        <r>
          <rPr>
            <sz val="11"/>
            <color theme="1"/>
            <rFont val="Calibri"/>
            <family val="2"/>
            <scheme val="minor"/>
          </rPr>
          <t>======
ID#AAABCKao9oI
tc={3F138D6C-1C1B-4068-AECF-5975FA13B5FC}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M12" authorId="0" shapeId="0" xr:uid="{7D14D53A-A4D6-4795-B17D-6C58F418CDEA}">
      <text>
        <r>
          <rPr>
            <sz val="11"/>
            <color theme="1"/>
            <rFont val="Calibri"/>
            <family val="2"/>
            <scheme val="minor"/>
          </rPr>
          <t>======
ID#AAABCKao9oQ
tc={B94A4057-F063-4D2D-9CB5-0D7A6F2EED8E}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P12" authorId="0" shapeId="0" xr:uid="{6DE56353-F9EF-4A8E-9B96-819A90947AD4}">
      <text>
        <r>
          <rPr>
            <sz val="11"/>
            <color theme="1"/>
            <rFont val="Calibri"/>
            <family val="2"/>
            <scheme val="minor"/>
          </rPr>
          <t>======
ID#AAABCKao9n0
tc={7868D2DF-CD0A-484F-8199-465A1A24F93C}    (2023-12-11 18:13:14)
[Threaded comment]
Comment:
    Source:  https://rendermagazine.com/wp-content/uploads/2019/07/Render_Apr19.pdf</t>
        </r>
      </text>
    </comment>
    <comment ref="S12" authorId="0" shapeId="0" xr:uid="{1D69F776-E09A-4118-B097-6A141FD09BD3}">
      <text>
        <r>
          <rPr>
            <sz val="11"/>
            <color theme="1"/>
            <rFont val="Calibri"/>
            <family val="2"/>
            <scheme val="minor"/>
          </rPr>
          <t>======
ID#AAABCKao9nw
tc={DE318791-6C83-48A0-8077-859295D79241}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V12" authorId="0" shapeId="0" xr:uid="{639D00C2-ED70-4212-B8A7-CC1C4BC29EC3}">
      <text>
        <r>
          <rPr>
            <sz val="11"/>
            <color theme="1"/>
            <rFont val="Calibri"/>
            <family val="2"/>
            <scheme val="minor"/>
          </rPr>
          <t>======
ID#AAABCKao9oI
tc={3F138D6C-1C1B-4068-AECF-5975FA13B5FC}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A22" authorId="0" shapeId="0" xr:uid="{800D49A5-9377-44C6-80E7-0B757006C775}">
      <text>
        <r>
          <rPr>
            <sz val="11"/>
            <color theme="1"/>
            <rFont val="Calibri"/>
            <family val="2"/>
            <scheme val="minor"/>
          </rPr>
          <t>======
ID#AAABCKao9pI
Pascual, Janire    (2023-12-11 18:13:14)
Source: https://www.eia.gov/dnav/pet/pet_move_impcus_a2_nus_epooxe_im0_mbbl_a.htm</t>
        </r>
      </text>
    </comment>
    <comment ref="D22" authorId="0" shapeId="0" xr:uid="{E7F9EF9B-5569-4B7F-8B83-A42F671086D3}">
      <text>
        <r>
          <rPr>
            <sz val="11"/>
            <color theme="1"/>
            <rFont val="Calibri"/>
            <family val="2"/>
            <scheme val="minor"/>
          </rPr>
          <t>Source: https://www.eia.gov/dnav/pet/pet_move_impcus_a2_nus_EPOORDB_im0_mbbl_a.htm</t>
        </r>
      </text>
    </comment>
    <comment ref="G22" authorId="0" shapeId="0" xr:uid="{ADED3C03-0B6D-42AF-902D-BF303D6E8DAD}">
      <text>
        <r>
          <rPr>
            <sz val="11"/>
            <color theme="1"/>
            <rFont val="Calibri"/>
            <family val="2"/>
            <scheme val="minor"/>
          </rPr>
          <t>======
ID#AAABCKao9oA
Pascual, Janire    (2023-12-11 18:13:14)
Source: https://comtrade.un.org/data/</t>
        </r>
      </text>
    </comment>
    <comment ref="M22" authorId="0" shapeId="0" xr:uid="{B6D2842A-E2B3-459D-9012-2C20DD0D460B}">
      <text>
        <r>
          <rPr>
            <sz val="11"/>
            <color theme="1"/>
            <rFont val="Calibri"/>
            <family val="2"/>
            <scheme val="minor"/>
          </rPr>
          <t>======
ID#AAABCKao9pI
Pascual, Janire    (2023-12-11 18:13:14)
Source: https://www.eia.gov/dnav/pet/pet_move_impcus_a2_nus_epooxe_im0_mbbl_a.htm</t>
        </r>
      </text>
    </comment>
    <comment ref="P22" authorId="0" shapeId="0" xr:uid="{E5E5B003-DDC7-476A-B68A-827AC4D7485A}">
      <text>
        <r>
          <rPr>
            <sz val="11"/>
            <color theme="1"/>
            <rFont val="Calibri"/>
            <family val="2"/>
            <scheme val="minor"/>
          </rPr>
          <t>======
ID#AAABCKao9pY
Pascual, Janire    (2023-12-11 18:13:14)
Source: https://www.eia.gov/dnav/pet/pet_move_impcus_a2_nus_EPOORDB_im0_mbbl_a.htm</t>
        </r>
      </text>
    </comment>
    <comment ref="S22" authorId="0" shapeId="0" xr:uid="{53CF1B5B-4457-4BBE-8D03-4026F08D2291}">
      <text>
        <r>
          <rPr>
            <sz val="11"/>
            <color theme="1"/>
            <rFont val="Calibri"/>
            <family val="2"/>
            <scheme val="minor"/>
          </rPr>
          <t>======
ID#AAABCKao9oA
Pascual, Janire    (2023-12-11 18:13:14)
Source: https://comtrade.un.org/data/</t>
        </r>
      </text>
    </comment>
    <comment ref="A31" authorId="0" shapeId="0" xr:uid="{716873B4-A1F6-4781-8BD2-15FD57163DDE}">
      <text>
        <r>
          <rPr>
            <sz val="11"/>
            <color theme="1"/>
            <rFont val="Calibri"/>
            <family val="2"/>
            <scheme val="minor"/>
          </rPr>
          <t>======
ID#AAABCKao9og
Pascual, Janire    (2023-12-11 18:13:14)
Source: https://www.eia.gov/dnav/pet/pet_move_expc_a_EPOOXE_EEX_mbbl_a.htm</t>
        </r>
      </text>
    </comment>
    <comment ref="D31" authorId="0" shapeId="0" xr:uid="{F60397A0-8DB3-4B54-B52F-B966154B57DD}">
      <text>
        <r>
          <rPr>
            <sz val="11"/>
            <color theme="1"/>
            <rFont val="Calibri"/>
            <family val="2"/>
            <scheme val="minor"/>
          </rPr>
          <t>======
ID#AAABCKao9oc
Pascual, Janire    (2023-12-11 18:13:14)
Source: https://www.eia.gov/dnav/pet/pet_move_expc_a_EPOORDB_EEX_mbbl_a.htm</t>
        </r>
      </text>
    </comment>
    <comment ref="G31" authorId="0" shapeId="0" xr:uid="{528F8D38-C62E-425D-B636-9F7D814B8AF9}">
      <text>
        <r>
          <rPr>
            <sz val="11"/>
            <color theme="1"/>
            <rFont val="Calibri"/>
            <family val="2"/>
            <scheme val="minor"/>
          </rPr>
          <t>======
ID#AAABCKao9pM
Pascual, Janire    (2023-12-11 18:13:14)
Source: https://comtrade.un.org/data/</t>
        </r>
      </text>
    </comment>
    <comment ref="J31" authorId="0" shapeId="0" xr:uid="{030CBAAC-0574-40FB-8BBE-0F9A77BDF0C8}">
      <text>
        <r>
          <rPr>
            <sz val="11"/>
            <color theme="1"/>
            <rFont val="Calibri"/>
            <family val="2"/>
            <scheme val="minor"/>
          </rPr>
          <t>======
ID#AAABCKao9os
Source    (2023-12-11 18:13:14)
https://pubs.rendermagazine.com/2022-04/page_16.html</t>
        </r>
      </text>
    </comment>
    <comment ref="M31" authorId="0" shapeId="0" xr:uid="{5124A45F-434E-494C-925B-2650ECF85316}">
      <text>
        <r>
          <rPr>
            <sz val="11"/>
            <color theme="1"/>
            <rFont val="Calibri"/>
            <family val="2"/>
            <scheme val="minor"/>
          </rPr>
          <t>======
ID#AAABCKao9o8
Pascual, Janire    (2023-12-11 18:13:14)
Source: https://www.eia.gov/dnav/pet/pet_move_expc_a_EPOOXE_EEX_mbbl_a.htm</t>
        </r>
      </text>
    </comment>
    <comment ref="P31" authorId="0" shapeId="0" xr:uid="{008D7FAB-FB7C-4CCA-B1EC-610FB1459FB5}">
      <text>
        <r>
          <rPr>
            <sz val="11"/>
            <color theme="1"/>
            <rFont val="Calibri"/>
            <family val="2"/>
            <scheme val="minor"/>
          </rPr>
          <t>======
ID#AAABCKao9o0
Pascual, Janire    (2023-12-11 18:13:14)
Source: https://www.eia.gov/dnav/pet/pet_move_expc_a_EPOORDB_EEX_mbbl_a.htm</t>
        </r>
      </text>
    </comment>
    <comment ref="S31" authorId="0" shapeId="0" xr:uid="{7FF38ABC-4F6F-44C8-BD78-18750AE429DE}">
      <text>
        <r>
          <rPr>
            <sz val="11"/>
            <color theme="1"/>
            <rFont val="Calibri"/>
            <family val="2"/>
            <scheme val="minor"/>
          </rPr>
          <t>======
ID#AAABCKao9n4
Pascual, Janire    (2023-12-11 18:13:14)
Source: https://comtrade.un.org/data/</t>
        </r>
      </text>
    </comment>
    <comment ref="V31" authorId="0" shapeId="0" xr:uid="{5F219BD4-4939-4680-9C9A-B0299C11B221}">
      <text>
        <r>
          <rPr>
            <sz val="11"/>
            <color theme="1"/>
            <rFont val="Calibri"/>
            <family val="2"/>
            <scheme val="minor"/>
          </rPr>
          <t>======
ID#AAABCKao9pE
Source    (2023-12-11 18:13:14)
https://pubs.rendermagazine.com/2022-04/page_16.html</t>
        </r>
      </text>
    </comment>
    <comment ref="A41" authorId="0" shapeId="0" xr:uid="{C76DFA81-F2AF-4262-B99B-139BF64CD1C3}">
      <text>
        <r>
          <rPr>
            <sz val="11"/>
            <color theme="1"/>
            <rFont val="Calibri"/>
            <family val="2"/>
            <scheme val="minor"/>
          </rPr>
          <t>======
ID#AAABCKao9n8
Source    (2023-12-11 18:13:14)
https://pubs.rendermagazine.com/2022-04/page_16.html</t>
        </r>
      </text>
    </comment>
    <comment ref="D41" authorId="0" shapeId="0" xr:uid="{62C1295E-86D2-45E7-9664-E45C52CF1C85}">
      <text>
        <r>
          <rPr>
            <sz val="11"/>
            <color theme="1"/>
            <rFont val="Calibri"/>
            <family val="2"/>
            <scheme val="minor"/>
          </rPr>
          <t>======
ID#AAABCKao9ok
Source    (2023-12-11 18:13:14)
https://pubs.rendermagazine.com/2022-04/page_16.html</t>
        </r>
      </text>
    </comment>
    <comment ref="G41" authorId="0" shapeId="0" xr:uid="{EA91B5E7-5F97-458E-9EE9-870C9F40587D}">
      <text>
        <r>
          <rPr>
            <sz val="11"/>
            <color theme="1"/>
            <rFont val="Calibri"/>
            <family val="2"/>
            <scheme val="minor"/>
          </rPr>
          <t>======
ID#AAABCKao9po
Source    (2023-12-11 18:13:14)
https://pubs.rendermagazine.com/2022-04/page_16.html</t>
        </r>
      </text>
    </comment>
    <comment ref="J41" authorId="0" shapeId="0" xr:uid="{DFFE3E51-E0A1-4E31-BA4B-5D301189F7A3}">
      <text>
        <r>
          <rPr>
            <sz val="11"/>
            <color theme="1"/>
            <rFont val="Calibri"/>
            <family val="2"/>
            <scheme val="minor"/>
          </rPr>
          <t>======
ID#AAABCKao9oo
Source    (2023-12-11 18:13:14)
https://pubs.rendermagazine.com/2022-04/page_16.html</t>
        </r>
      </text>
    </comment>
    <comment ref="M41" authorId="0" shapeId="0" xr:uid="{1C00A3CE-C261-470F-979D-80E9AD80D30D}">
      <text>
        <r>
          <rPr>
            <sz val="11"/>
            <color theme="1"/>
            <rFont val="Calibri"/>
            <family val="2"/>
            <scheme val="minor"/>
          </rPr>
          <t>======
ID#AAABCKao9oE
Source    (2023-12-11 18:13:14)
https://pubs.rendermagazine.com/2022-04/page_16.html</t>
        </r>
      </text>
    </comment>
    <comment ref="P41" authorId="0" shapeId="0" xr:uid="{7923507B-869C-47B5-9973-C338B6BFDA6B}">
      <text>
        <r>
          <rPr>
            <sz val="11"/>
            <color theme="1"/>
            <rFont val="Calibri"/>
            <family val="2"/>
            <scheme val="minor"/>
          </rPr>
          <t>======
ID#AAABCKao9oU
Source    (2023-12-11 18:13:14)
https://pubs.rendermagazine.com/2022-04/page_16.html</t>
        </r>
      </text>
    </comment>
    <comment ref="S41" authorId="0" shapeId="0" xr:uid="{FC199198-B5CB-4C48-8B1E-05648FA208E7}">
      <text>
        <r>
          <rPr>
            <sz val="11"/>
            <color theme="1"/>
            <rFont val="Calibri"/>
            <family val="2"/>
            <scheme val="minor"/>
          </rPr>
          <t>======
ID#AAABCKao9oM
Source    (2023-12-11 18:13:14)
https://pubs.rendermagazine.com/2022-04/page_16.html</t>
        </r>
      </text>
    </comment>
    <comment ref="V41" authorId="0" shapeId="0" xr:uid="{868F59D2-B53B-42B0-AA79-A9289E660B1C}">
      <text>
        <r>
          <rPr>
            <sz val="11"/>
            <color theme="1"/>
            <rFont val="Calibri"/>
            <family val="2"/>
            <scheme val="minor"/>
          </rPr>
          <t>======
ID#AAABCKao9pk
Source    (2023-12-11 18:13:14)
https://pubs.rendermagazine.com/2022-04/page_16.html</t>
        </r>
      </text>
    </comment>
    <comment ref="A51" authorId="0" shapeId="0" xr:uid="{E211B4DF-572B-4111-9DD9-FFBA38ABD98A}">
      <text>
        <r>
          <rPr>
            <sz val="11"/>
            <color theme="1"/>
            <rFont val="Calibri"/>
            <family val="2"/>
            <scheme val="minor"/>
          </rPr>
          <t>======
ID#AAABCKao9pQ
Pascual, Janire    (2023-12-11 18:13:14)
Source: https://www.eia.gov/dnav/pet/pet_move_impcus_a2_nus_epooxe_im0_mbbl_a.htm</t>
        </r>
      </text>
    </comment>
    <comment ref="D51" authorId="0" shapeId="0" xr:uid="{DD45CEF2-1205-4B82-86B3-82FA1F15033B}">
      <text>
        <r>
          <rPr>
            <sz val="11"/>
            <color theme="1"/>
            <rFont val="Calibri"/>
            <family val="2"/>
            <scheme val="minor"/>
          </rPr>
          <t>======
ID#AAABCKao9oY
Pascual, Janire    (2023-12-11 18:13:14)
Source: https://www.eia.gov/dnav/pet/pet_move_impcus_a2_nus_EPOORDB_im0_mbbl_a.htm</t>
        </r>
      </text>
    </comment>
    <comment ref="G51" authorId="0" shapeId="0" xr:uid="{8DCE3181-F214-4742-A617-6F9BBECF9A76}">
      <text>
        <r>
          <rPr>
            <sz val="11"/>
            <color theme="1"/>
            <rFont val="Calibri"/>
            <family val="2"/>
            <scheme val="minor"/>
          </rPr>
          <t>======
ID#AAABCKao9ps
Pascual, Janire    (2023-12-11 18:13:14)
Source: https://comtrade.un.org/data/</t>
        </r>
      </text>
    </comment>
    <comment ref="M51" authorId="0" shapeId="0" xr:uid="{D169E54B-9868-4550-A7DB-AF5946463D5B}">
      <text>
        <r>
          <rPr>
            <sz val="11"/>
            <color theme="1"/>
            <rFont val="Calibri"/>
            <family val="2"/>
            <scheme val="minor"/>
          </rPr>
          <t>======
ID#AAABCKao9pc
Pascual, Janire    (2023-12-11 18:13:14)
Source: https://www.eia.gov/dnav/pet/pet_move_impcus_a2_nus_epooxe_im0_mbbl_a.htm</t>
        </r>
      </text>
    </comment>
    <comment ref="P51" authorId="0" shapeId="0" xr:uid="{C1BD7145-1498-4FF3-8FA4-1510A2370FE9}">
      <text>
        <r>
          <rPr>
            <sz val="11"/>
            <color theme="1"/>
            <rFont val="Calibri"/>
            <family val="2"/>
            <scheme val="minor"/>
          </rPr>
          <t>======
ID#AAABCKao9pU
Pascual, Janire    (2023-12-11 18:13:14)
Source: https://www.eia.gov/dnav/pet/pet_move_impcus_a2_nus_EPOORDB_im0_mbbl_a.htm</t>
        </r>
      </text>
    </comment>
    <comment ref="S51" authorId="0" shapeId="0" xr:uid="{5F9BCCA4-5058-41E0-A069-04483506D44C}">
      <text>
        <r>
          <rPr>
            <sz val="11"/>
            <color theme="1"/>
            <rFont val="Calibri"/>
            <family val="2"/>
            <scheme val="minor"/>
          </rPr>
          <t>======
ID#AAABCKao9pw
Pascual, Janire    (2023-12-11 18:13:14)
Source: https://comtrade.un.org/data/</t>
        </r>
      </text>
    </comment>
  </commentList>
</comments>
</file>

<file path=xl/sharedStrings.xml><?xml version="1.0" encoding="utf-8"?>
<sst xmlns="http://schemas.openxmlformats.org/spreadsheetml/2006/main" count="2745" uniqueCount="791">
  <si>
    <t>TABLE OF CONTENTS</t>
  </si>
  <si>
    <t>Bioenergy</t>
  </si>
  <si>
    <t>Ethanol</t>
  </si>
  <si>
    <t>Biodiesel</t>
  </si>
  <si>
    <t>Fats</t>
  </si>
  <si>
    <t>Renewable Diesel</t>
  </si>
  <si>
    <t>Renewable Jet Fuel</t>
  </si>
  <si>
    <t>Wood Pellets</t>
  </si>
  <si>
    <t xml:space="preserve">Waste to Energy </t>
  </si>
  <si>
    <t>Biogas</t>
  </si>
  <si>
    <t>Trade</t>
  </si>
  <si>
    <t>Biobased products</t>
  </si>
  <si>
    <t>BioProducts</t>
  </si>
  <si>
    <t>Bioplastics</t>
  </si>
  <si>
    <t>Enzymes</t>
  </si>
  <si>
    <t>Forest Products</t>
  </si>
  <si>
    <t>Investment and Finance</t>
  </si>
  <si>
    <t>Funding</t>
  </si>
  <si>
    <t>ETHANOL</t>
  </si>
  <si>
    <t>PHYSICAL</t>
  </si>
  <si>
    <t>Source Name</t>
  </si>
  <si>
    <t>Source URL</t>
  </si>
  <si>
    <t>Comments</t>
  </si>
  <si>
    <t>Number of Ethanol Plants installed in the United States</t>
  </si>
  <si>
    <t xml:space="preserve">RFA </t>
  </si>
  <si>
    <t>http://www.ethanolrfa.org/pocket-guide/</t>
  </si>
  <si>
    <t xml:space="preserve">     Number Ethanol Plants in the United States-Starch</t>
  </si>
  <si>
    <t>Ethanol producer
RFA</t>
  </si>
  <si>
    <t xml:space="preserve">     Number Ethanol Plants in the United States-Cellulosic</t>
  </si>
  <si>
    <t xml:space="preserve">     Number Ethanol Plants in the United States-Corn</t>
  </si>
  <si>
    <t xml:space="preserve">     Number Ethanol Plants in the United States-Sorghum</t>
  </si>
  <si>
    <t xml:space="preserve">     Number Ethanol Plants in the United States-Other (Tobacco, crop residue, waste stream)</t>
  </si>
  <si>
    <t>Number of Ethanol Plants Operational in the United States</t>
  </si>
  <si>
    <t xml:space="preserve">Number of Existing Plants Under Construction </t>
  </si>
  <si>
    <t>Number Proposed Ethanol Plants in the United States</t>
  </si>
  <si>
    <t>Number of States which have an Ethanol Production Facility </t>
  </si>
  <si>
    <t>Ethanol plant capacities (billion gallons)</t>
  </si>
  <si>
    <t>PRODUCTION</t>
  </si>
  <si>
    <t>Total Volume of Ethanol  Produced in US (billion gallons)</t>
  </si>
  <si>
    <t>EIA</t>
  </si>
  <si>
    <t>https://www.eia.gov/totalenergy/data/monthly/pdf/mer.pdf</t>
  </si>
  <si>
    <t>Total Volume of Ethanol Consumed (billion gallons)</t>
  </si>
  <si>
    <t>Total Volume of Ethanol Consumed: Transportation  (billion gallons)</t>
  </si>
  <si>
    <t>Total Volume of Ethanol Consumed: Industrial sector  (billion gallons)</t>
  </si>
  <si>
    <t>https://www.eia.gov/totalenergy/data/monthly/pdf/sec10_5.pdf</t>
  </si>
  <si>
    <t>Total Volume of Ethanol Imported into the US (billion gallons)</t>
  </si>
  <si>
    <t>Total Volume of Ethanol Exported From the US (billion gallons)</t>
  </si>
  <si>
    <t xml:space="preserve">CORN FOR ETHANOL </t>
  </si>
  <si>
    <t xml:space="preserve">Total corn used for Fuel ethanol use (million metric tons) </t>
  </si>
  <si>
    <t>USDA</t>
  </si>
  <si>
    <t>https://www.ers.usda.gov/data-products/us-bioenergy-statistics/#:~:text=Ethanol%2C%20made%20mostly%20from%20corn,all%20biofuel%20production%20in%202012.&amp;text=ERS%20analysts%20track%20U.S.%20ethanol,production%2C%20consumption%2C%20and%20trade.</t>
  </si>
  <si>
    <t>ECONOMICS</t>
  </si>
  <si>
    <t>Price for Ethanol Per gallon (dollar per gallon)</t>
  </si>
  <si>
    <t>https://www.ers.usda.gov/data-products/us-bioenergy-statistics/</t>
  </si>
  <si>
    <t>Price for Ethanol Per gallon (dollar per gge)</t>
  </si>
  <si>
    <t>Price for E85 Per gallon (dollar per gge)</t>
  </si>
  <si>
    <t>AFD</t>
  </si>
  <si>
    <t>https://www.afdc.energy.gov/fuels/prices.html</t>
  </si>
  <si>
    <t>Price for gasoline Per gallon (dollar per gge)</t>
  </si>
  <si>
    <t>Number of direct jobs working with ethanol production</t>
  </si>
  <si>
    <t>RFA</t>
  </si>
  <si>
    <t>Number of indirect and induced jobs working with ethanol production</t>
  </si>
  <si>
    <t>GDP contribution/influence (billion dollars)</t>
  </si>
  <si>
    <t xml:space="preserve">Household income from industry (billion dollars) </t>
  </si>
  <si>
    <t>Tax Revenue (billion dollars)</t>
  </si>
  <si>
    <t>"[2013-2014] http://www.ethanolrfa.org/pocket-guide/
[2019-2021] https://ethanolrfa.org/library/reports-studies-and-white-papers/ethanol-and-the-economy"</t>
  </si>
  <si>
    <t>Crude oil (dollar per barrel)</t>
  </si>
  <si>
    <t>Macrotrends</t>
  </si>
  <si>
    <t>https://www.macrotrends.net/1369/crude-oil-price-history-chart</t>
  </si>
  <si>
    <t>EPA</t>
  </si>
  <si>
    <t>https://www.epa.gov/fuels-registration-reporting-and-compliance-help/rins-generated-transactions</t>
  </si>
  <si>
    <t>BIODIESEL</t>
  </si>
  <si>
    <t>Number of Biodiesel Plants in the United States</t>
  </si>
  <si>
    <t>Retrieved February 2024</t>
  </si>
  <si>
    <t>Number of Proposed Biodiesel Plants</t>
  </si>
  <si>
    <t>Biodiesel Magazine</t>
  </si>
  <si>
    <t>http://www.biodieselmagazine.com/plants/listplants/USA/proposed/</t>
  </si>
  <si>
    <t>http://www.biodieselmagazine.com/plants/listplants/USA/construction/</t>
  </si>
  <si>
    <t xml:space="preserve">Number of States which have a Biodiesel Production Facility </t>
  </si>
  <si>
    <t>Total Production of Biodiesel in US (billion gallons)</t>
  </si>
  <si>
    <t xml:space="preserve">[2010-2019] https://www.eia.gov/biofuels/biodiesel/production/archive/
[2020-2021] https://www.eia.gov/totalenergy/data/monthly/pdf/mer.pdf </t>
  </si>
  <si>
    <t>Total Volume of Biodiesel Consumed in US (billion gallons)</t>
  </si>
  <si>
    <t>https://www.eia.gov/totalenergy/data/monthly/pdf/sec10_8.pdf</t>
  </si>
  <si>
    <t xml:space="preserve">Number of Biodiesel stations </t>
  </si>
  <si>
    <t xml:space="preserve">Price Per Gallon of Biodiesel (dollar per gallon) </t>
  </si>
  <si>
    <t>Price Per Gallon of B99/100 (dollar per gge)</t>
  </si>
  <si>
    <t>AFDC</t>
  </si>
  <si>
    <t>Price Per Gallon of B20 (dollar per gge)</t>
  </si>
  <si>
    <t xml:space="preserve">Price Per Gallon of Diesel (dollar per gge) </t>
  </si>
  <si>
    <t>Average Soy Price (dollar per metric tons)</t>
  </si>
  <si>
    <t>https://www.ers.usda.gov/data-products/oil-crops-yearbook/oil-crops-yearbook/</t>
  </si>
  <si>
    <t>Number of direct jobs working with biodiesel production</t>
  </si>
  <si>
    <t>ANIMAL FATS AND RECYCLED GREASES</t>
  </si>
  <si>
    <t>Production</t>
  </si>
  <si>
    <t>Poultry Fat (Thousand metric tons)</t>
  </si>
  <si>
    <t>Render Magazine</t>
  </si>
  <si>
    <t>Tallow (Thousand metric tons)</t>
  </si>
  <si>
    <t>White Grease (Thousand metric tons)</t>
  </si>
  <si>
    <t>Yellow Grease (Thousand metric tons)</t>
  </si>
  <si>
    <t>TOTAL (Thousand metric tons)</t>
  </si>
  <si>
    <t>Calculation</t>
  </si>
  <si>
    <t>Consumtpion for Biofuels</t>
  </si>
  <si>
    <t>Poultry Going to Biodiesel (Thousand metric tons)</t>
  </si>
  <si>
    <t>Tallow Going to Biodiesel (Thousand metric tons)</t>
  </si>
  <si>
    <t>White Grease Going to Biodiesel (Thousand metric tons)</t>
  </si>
  <si>
    <t>Yellow Grease to Biodiesel (Thousand metric tons)</t>
  </si>
  <si>
    <t>Other fats Going to Biodiesel (Thousand metric tons)</t>
  </si>
  <si>
    <t>W</t>
  </si>
  <si>
    <t>Exports</t>
  </si>
  <si>
    <t>Imports</t>
  </si>
  <si>
    <t>Percent into Biodiesel</t>
  </si>
  <si>
    <t>Poultry Fat (%)</t>
  </si>
  <si>
    <t>Tallow (%)</t>
  </si>
  <si>
    <t>White Grease (%)</t>
  </si>
  <si>
    <t>Yellow Grease (%)</t>
  </si>
  <si>
    <t>Price</t>
  </si>
  <si>
    <t>Poultry Fat (dollar per metric ton)</t>
  </si>
  <si>
    <t>Tallow (dollar per metric ton)</t>
  </si>
  <si>
    <t>White Grease (dollar per metric ton)</t>
  </si>
  <si>
    <t>Yellow Grease (dollar per metric ton)</t>
  </si>
  <si>
    <t>RENEWABLE DIESEL</t>
  </si>
  <si>
    <t xml:space="preserve">Number of Renewable Diesel Plants </t>
  </si>
  <si>
    <t>https://www.eia.gov/biofuels/renewable/capacity/</t>
  </si>
  <si>
    <t>Number of States which have Renewable Diesel Plants in the United States</t>
  </si>
  <si>
    <t>Renewable Diesel plant capacities (billion gallons)</t>
  </si>
  <si>
    <t>Total Production of Renewable diesel in the US (million gallons)</t>
  </si>
  <si>
    <t>Total Consumption of Renewable diesel in the US (million gallons)</t>
  </si>
  <si>
    <t>Total Volume of Renewable diesel Exported from the US (million gallons)</t>
  </si>
  <si>
    <t>Total Volume of Renewable diesel Imported into the US (million gallons)</t>
  </si>
  <si>
    <t xml:space="preserve"> </t>
  </si>
  <si>
    <t>RENEWABLE JET FUEL</t>
  </si>
  <si>
    <t>ICAO</t>
  </si>
  <si>
    <t>https://www.icao.int/environmental-protection/GFAAF/Pages/Offtake-Agreements.aspx#InplviewHashef347ce3-9fcc-4b72-be6a-207e60680777=ShowInGrid%3DTrue</t>
  </si>
  <si>
    <t>Number of Eligible Producers</t>
  </si>
  <si>
    <t>https://www.icao.int/environmental-protection/GFAAF/Pages/Production-Facilities.aspx</t>
  </si>
  <si>
    <t>Number of Facilities in Service</t>
  </si>
  <si>
    <t>Number of States with SAF available at airports</t>
  </si>
  <si>
    <t>WOOD PELLETS</t>
  </si>
  <si>
    <t>Total Operational Capacity of Pellet Mill Facilities (million metric tons)</t>
  </si>
  <si>
    <t>Biomass Industry Directory</t>
  </si>
  <si>
    <t>Biomass Industry Directory, published by BBI International</t>
  </si>
  <si>
    <t>Number of WP Plants in the United States</t>
  </si>
  <si>
    <t>Number of Proposed WP Plants</t>
  </si>
  <si>
    <t>Number of Existing Plants that Were Put on Standby</t>
  </si>
  <si>
    <t>Number of States which have an WP Production Facility </t>
  </si>
  <si>
    <t>PRODUCTION + CONSUMPTION</t>
  </si>
  <si>
    <t>Wood pellets Production (million metric tons)</t>
  </si>
  <si>
    <t>FAOSTAT</t>
  </si>
  <si>
    <t>http://www.fao.org/faostat/en/#data/FO</t>
  </si>
  <si>
    <t>Wood pellets Exports (million metric tons)</t>
  </si>
  <si>
    <t>Wood pellets Consumption (million metric tons)</t>
  </si>
  <si>
    <t>Estimation</t>
  </si>
  <si>
    <t>Electricity Net Generation from Wood (trillion BTUs)</t>
  </si>
  <si>
    <t xml:space="preserve">     Industrial Sector</t>
  </si>
  <si>
    <t xml:space="preserve">     Electric Power Sector</t>
  </si>
  <si>
    <t>Heating from Wood in the US (trillion BTUs)</t>
  </si>
  <si>
    <t>Energy Consumption from Wood in US (trillion BTUs)</t>
  </si>
  <si>
    <t xml:space="preserve">     Residential Sector</t>
  </si>
  <si>
    <t xml:space="preserve">     Commercial Sector</t>
  </si>
  <si>
    <t>Wood pellet production worldwide (million metric tons)</t>
  </si>
  <si>
    <t>Average Annual Densified Biomass Capacity (million metric tons)</t>
  </si>
  <si>
    <t>http://www.eia.gov/biofuels/biomass/</t>
  </si>
  <si>
    <t>Wood Pellets Exported from US (in million $)</t>
  </si>
  <si>
    <t>Wood Pellets Imported from US (in million $)</t>
  </si>
  <si>
    <t>Total Jobs Created in the Wood Pellet Industry</t>
  </si>
  <si>
    <t>NAICS</t>
  </si>
  <si>
    <t>https://data.bls.gov/cew/apps/data_views/data_views.htm#tab=Tables</t>
  </si>
  <si>
    <t>WASTE TO ENERGY</t>
  </si>
  <si>
    <t>Number of WTE Plants in the United States</t>
  </si>
  <si>
    <t>https://www.eia.gov/electricity/data/eia860m/</t>
  </si>
  <si>
    <t>Number of WTE Plants Proposed in US</t>
  </si>
  <si>
    <t>Number of WTE Existing Plants that Were Put on Standby</t>
  </si>
  <si>
    <t>Number of WTE Existing Plants that Were Closed-Shut Down</t>
  </si>
  <si>
    <t>Number of WTE Fuel Switching Plants in US</t>
  </si>
  <si>
    <t>Number of States which have an WTE Fuel Switching Production Facility </t>
  </si>
  <si>
    <t>Municipal solid waste generation in the United States (million metric tons)</t>
  </si>
  <si>
    <r>
      <rPr>
        <sz val="11"/>
        <color rgb="FF0563C1"/>
        <rFont val="Calibri"/>
        <family val="2"/>
      </rPr>
      <t>[2010-2018]</t>
    </r>
    <r>
      <rPr>
        <u/>
        <sz val="11"/>
        <color rgb="FF0563C1"/>
        <rFont val="Calibri"/>
        <family val="2"/>
      </rPr>
      <t>https://www.epa.gov/facts-and-figures-about-materials-waste-and-recycling/advancing-sustainable-materials-management</t>
    </r>
  </si>
  <si>
    <t>Retrieved February 2024
1  ton = 0.9072 metric tons</t>
  </si>
  <si>
    <t xml:space="preserve">     Recycled and composted</t>
  </si>
  <si>
    <t>[2010-2018]https://www.epa.gov/facts-and-figures-about-materials-waste-and-recycling/advancing-sustainable-materials-management</t>
  </si>
  <si>
    <t xml:space="preserve">     Combusted with Energy recovery</t>
  </si>
  <si>
    <t xml:space="preserve">     Landfilled</t>
  </si>
  <si>
    <t>Biogenic Municipal Solid Waste: Consumption for Electricity Generation (million metric tons)</t>
  </si>
  <si>
    <t>http://www.eia.gov/electricity/annual/html/epa_05_07_a.html</t>
  </si>
  <si>
    <t>Biogenic Municipal Solid Waste: Consumption for Heating Generation (million metric tons)</t>
  </si>
  <si>
    <t>http://www.eia.gov/electricity/annual/html/epa_05_07_b.html</t>
  </si>
  <si>
    <t>Biogenic Municipal Solid Waste: Consumption for Energy Generation (million metric tons)</t>
  </si>
  <si>
    <t>http://www.eia.gov/electricity/annual/html/epa_05_07_c.html</t>
  </si>
  <si>
    <t xml:space="preserve">     Electric utilities</t>
  </si>
  <si>
    <t xml:space="preserve">     Independent power producers</t>
  </si>
  <si>
    <t xml:space="preserve">     Commercial sector</t>
  </si>
  <si>
    <t>Biogenic Municipal Solid Waste: Consumption for Electricity Generation (Trillion BTUs)</t>
  </si>
  <si>
    <t>http://www.eia.gov/electricity/annual/html/epa_05_07_d.html</t>
  </si>
  <si>
    <t>Biogenic Municipal Solid Waste: Consumption for Heating Generation (Trillion BTUs)</t>
  </si>
  <si>
    <t>http://www.eia.gov/electricity/annual/html/epa_05_07_e.html</t>
  </si>
  <si>
    <t>Biogenic Municipal Solid Waste: Consumption for Energy Generation (Trillion BTUs)</t>
  </si>
  <si>
    <t>http://www.eia.gov/electricity/annual/html/epa_05_07_f.html</t>
  </si>
  <si>
    <t>Revenue from waste electricity generation in the U.S. (million dollars)</t>
  </si>
  <si>
    <t>Jobs in WTE Facilities</t>
  </si>
  <si>
    <t>BIOGAS</t>
  </si>
  <si>
    <t>Number of anaerobic digestion (AD) Plants</t>
  </si>
  <si>
    <t>https://www.epa.gov/agstar/livestock-anaerobic-digester-database</t>
  </si>
  <si>
    <t xml:space="preserve">     Used for Electricity</t>
  </si>
  <si>
    <t xml:space="preserve">     Used for Boiler/Furnace</t>
  </si>
  <si>
    <t xml:space="preserve">     Used for "Flare Full Time"</t>
  </si>
  <si>
    <t xml:space="preserve">     Used for Cogeneration</t>
  </si>
  <si>
    <t xml:space="preserve">Number of Existing AD Plants Under Construction </t>
  </si>
  <si>
    <t>Number of AD Plants that Shut Down</t>
  </si>
  <si>
    <t>Number of States which have an AD Production Facility </t>
  </si>
  <si>
    <t>Number of landfill Plants</t>
  </si>
  <si>
    <t xml:space="preserve">[2010-2019] https://www.epa.gov/lmop/landfill-technical-data
[2020-2021] https://www.epa.gov/lmop/landfill-gas-energy-project-data </t>
  </si>
  <si>
    <t>Number of States which have a landfill Facility </t>
  </si>
  <si>
    <r>
      <rPr>
        <u/>
        <sz val="11"/>
        <color theme="10"/>
        <rFont val="Calibri"/>
        <family val="2"/>
      </rPr>
      <t xml:space="preserve">[2010-2019] </t>
    </r>
    <r>
      <rPr>
        <u/>
        <sz val="11"/>
        <color theme="10"/>
        <rFont val="Calibri"/>
        <family val="2"/>
      </rPr>
      <t xml:space="preserve">https://www.epa.gov/lmop/landfill-technical-data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 xml:space="preserve">https://www.epa.gov/lmop/landfill-gas-energy-project-data </t>
    </r>
  </si>
  <si>
    <t xml:space="preserve">PRODUCTION </t>
  </si>
  <si>
    <t>Biogas potential from landfills (billion cubic feet)</t>
  </si>
  <si>
    <t>Biogas potential from wastewater (billion cubic feet)</t>
  </si>
  <si>
    <t>American biogas Council</t>
  </si>
  <si>
    <t>[2018] https://americanbiogascouncil.org/biogas-market-snapshot/
[2020] https://americanbiogascouncil.org/resources/state-profiles/</t>
  </si>
  <si>
    <t>Biogas potential from animal manure (billion cubic feet)</t>
  </si>
  <si>
    <r>
      <rPr>
        <u/>
        <sz val="11"/>
        <color theme="10"/>
        <rFont val="Calibri"/>
        <family val="2"/>
      </rPr>
      <t xml:space="preserve">[2018] </t>
    </r>
    <r>
      <rPr>
        <u/>
        <sz val="11"/>
        <color theme="10"/>
        <rFont val="Calibri"/>
        <family val="2"/>
      </rPr>
      <t xml:space="preserve">https://americanbiogascouncil.org/biogas-market-snapshot/
</t>
    </r>
    <r>
      <rPr>
        <u/>
        <sz val="11"/>
        <color theme="10"/>
        <rFont val="Calibri"/>
        <family val="2"/>
      </rPr>
      <t xml:space="preserve">[2020] </t>
    </r>
    <r>
      <rPr>
        <u/>
        <sz val="11"/>
        <color theme="10"/>
        <rFont val="Calibri"/>
        <family val="2"/>
      </rPr>
      <t>https://americanbiogascouncil.org/resources/state-profiles/</t>
    </r>
  </si>
  <si>
    <t>Anaerobic digestion: Biogas generated (trillion BTU)</t>
  </si>
  <si>
    <t>Anaerobic digestion: Biogas generated (billion cubic feet)</t>
  </si>
  <si>
    <t>Anaerobic digestion: Total Methane Emission Reductions (million metric tons of CO2)</t>
  </si>
  <si>
    <t>Agriculture: total methane emissions (million metric tons of CO2)</t>
  </si>
  <si>
    <t>https://www3.epa.gov/climatechange/ghgemissions/inventoryexplorer/index.html#iallsectors/methane/inventsect/all</t>
  </si>
  <si>
    <t>Landfill gas: energy consumption (trillion BTU)</t>
  </si>
  <si>
    <t>https://www.eia.gov/electricity/annual/html/epa_05_06_f.html</t>
  </si>
  <si>
    <t>Landfill gas: energy consumption (billion cubic feet)</t>
  </si>
  <si>
    <t>https://www.eia.gov/electricity/annual/html/epa_05_06_c.html</t>
  </si>
  <si>
    <t>Landfill gas: Total Methane Emission Reductions (million metric tons of CO2)</t>
  </si>
  <si>
    <t>https://www.epa.gov/lmop/landfill-technical-data</t>
  </si>
  <si>
    <t>Waste: total methane emissions (million metric tons of CO2)</t>
  </si>
  <si>
    <t>ECONOMICS IN THEORY</t>
  </si>
  <si>
    <t>In theory, if 11,000 biogas systems made it would generate:</t>
  </si>
  <si>
    <t>Short Term Construction Jobs</t>
  </si>
  <si>
    <t>[2014] https://19january2017snapshot.epa.gov/sites/production/files/2015-12/documents/biogas-roadmap.pdf 
[2020] https://americanbiogascouncil.org/resources/state-profiles/</t>
  </si>
  <si>
    <t>Permanent Jobs</t>
  </si>
  <si>
    <t>In theory, if  2,647 dairy operations were installed it would have a market potential of (billion dollars):</t>
  </si>
  <si>
    <t>https://19january2017snapshot.epa.gov/sites/production/files/2015-12/documents/biogas-roadmap.pdf</t>
  </si>
  <si>
    <t>BIOPRODUCTS SUMMARY</t>
  </si>
  <si>
    <t>USDA BIOPREFFERED PROGRAM</t>
  </si>
  <si>
    <t>Source  Name</t>
  </si>
  <si>
    <t>Source  URL</t>
  </si>
  <si>
    <t xml:space="preserve">USDA BioPreferred product certifications </t>
  </si>
  <si>
    <t>Baby and Kids</t>
  </si>
  <si>
    <t>Construction</t>
  </si>
  <si>
    <t>Custodial Services</t>
  </si>
  <si>
    <t>Films and Packaging</t>
  </si>
  <si>
    <t>Food Services/Cafeteria</t>
  </si>
  <si>
    <t>Grounds Maintenance</t>
  </si>
  <si>
    <t>Household Supplies</t>
  </si>
  <si>
    <t>Intermediates</t>
  </si>
  <si>
    <t>Miscellaneous</t>
  </si>
  <si>
    <t>Office Supplies</t>
  </si>
  <si>
    <t>Operations and Maintenance</t>
  </si>
  <si>
    <t>Personal Care and Toiletries</t>
  </si>
  <si>
    <t>Safety Equipment</t>
  </si>
  <si>
    <t>Vehicles and Equipment Maintenance</t>
  </si>
  <si>
    <t xml:space="preserve">       </t>
  </si>
  <si>
    <t xml:space="preserve">   </t>
  </si>
  <si>
    <t>PLASTICS</t>
  </si>
  <si>
    <t>US/GLOBAL PLASTICS</t>
  </si>
  <si>
    <t>U.S. Plastic and Rubber Products Value Added (billion dollars)</t>
  </si>
  <si>
    <t>Bureau of Economic Analysis</t>
  </si>
  <si>
    <t>https://apps.bea.gov/iTable/?reqid=19&amp;step=2&amp;isuri=1&amp;categories=survey&amp;_gl=1*1r7rqrk*_ga*MTM3MDkyNjc3LjE3MDg2OTk4NjU.*_ga_J4698JNNFT*MTcwODk1ODU4NC4yLjEuMTcwODk2MDEzMy42MC4wLjA.</t>
  </si>
  <si>
    <t>Value Added of Manufacturing US Plastic and Rubber Products as Percentage of GDP (%)</t>
  </si>
  <si>
    <t>https://www.bea.gov/iTable/iTable.cfm?ReqID=51&amp;step=1#reqid=51&amp;step=51&amp;isuri=1&amp;5114=a&amp;5102=5</t>
  </si>
  <si>
    <t>Gross Output of US Plastic and Rubber Products (billion dollars)</t>
  </si>
  <si>
    <t>https://apps.bea.gov/iTable/iTable.cfm?reqid=19&amp;step=2&amp;isuri=1&amp;1921=survey#</t>
  </si>
  <si>
    <t>Full and Part Time Employees (thousands)</t>
  </si>
  <si>
    <t>https://apps.bea.gov/iTable/iTable.cfm?reqid=19&amp;step=2&amp;isuri=1&amp;1921=survey</t>
  </si>
  <si>
    <t>Global Plastic Production (million metric tons)</t>
  </si>
  <si>
    <t>Plastics Europe</t>
  </si>
  <si>
    <t>https://plasticseurope.org/resources/market-data/</t>
  </si>
  <si>
    <t>GLOBAL BIOPLASTIC</t>
  </si>
  <si>
    <t>Global production capacity of biodegradable bioplastics (million metric tons)</t>
  </si>
  <si>
    <t>Global production capacity of non-biodegradable bioplastics (million metric tons)</t>
  </si>
  <si>
    <t>Global production capacities of biodegradable and non-biodegradable bioplastics (million metric tons)</t>
  </si>
  <si>
    <t>Percentage of Bioplastic in Total Global Plastic Consumption</t>
  </si>
  <si>
    <t>Land Used for Bioplastics (million ha)</t>
  </si>
  <si>
    <t>Land Used for Bioplastics/Total Amount of Arable Land (%)</t>
  </si>
  <si>
    <t xml:space="preserve">GLOBAL BIO-BASED STRUCTURAL POLYMERS </t>
  </si>
  <si>
    <t>Total Production Capacity</t>
  </si>
  <si>
    <t xml:space="preserve">Nova Institute for Ecology and Innovation </t>
  </si>
  <si>
    <t>Starch Blends (%)</t>
  </si>
  <si>
    <t>Polylactic Acid (PLA) (%)</t>
  </si>
  <si>
    <t>Poly (butylene adipate-co-terephthalate) (PBAT) (%)</t>
  </si>
  <si>
    <t>Polyethylene (PE) (%)</t>
  </si>
  <si>
    <t>Polyamides (PA) (%)</t>
  </si>
  <si>
    <t>Polyethylene Terephthalate (PET) (%)</t>
  </si>
  <si>
    <t>Polytrimethylene Terephthalate (PTT) (%)</t>
  </si>
  <si>
    <t>Polybutylene Succinate (PBS) (%)</t>
  </si>
  <si>
    <t>Other (%)</t>
  </si>
  <si>
    <t>Polyhydroxyalkanoates (PHA) (%)</t>
  </si>
  <si>
    <t>Polyproprylene (PP) (%)</t>
  </si>
  <si>
    <t>ENZYMES</t>
  </si>
  <si>
    <t>GLOBAL</t>
  </si>
  <si>
    <t>Global Industrial Enzyme Market (billion dollars)
By market:</t>
  </si>
  <si>
    <t>BBC Research</t>
  </si>
  <si>
    <t>https://www.bccresearch.com/market-research/biotechnology/global-markets-for-enzymes-in-industrial-applications.html</t>
  </si>
  <si>
    <t>* Food (billion dollars)</t>
  </si>
  <si>
    <t>“Global Markets for Enzymes in Industrial Applications.” BCC Research (September 2018)</t>
  </si>
  <si>
    <t>* Feed (billion dollars)</t>
  </si>
  <si>
    <t>* Technical (billion dollars)</t>
  </si>
  <si>
    <t>* Biofuel (billion dollars)</t>
  </si>
  <si>
    <t>* Other (billion dollars)</t>
  </si>
  <si>
    <t>* Detergent (billion dollars)</t>
  </si>
  <si>
    <t>APPAREL AND TEXTILES</t>
  </si>
  <si>
    <t>US TEXTILE MILLS AND TEXTILE PRODUCT MILLS (NAICS)</t>
  </si>
  <si>
    <t>U.S. Textile Mills and Textile Product Mills Value Added (billion dollars)</t>
  </si>
  <si>
    <t>https://apps.bea.gov/iTable/?reqid=150&amp;step=2&amp;isuri=1&amp;categories=gdpxind&amp;_gl=1*14rxqpt*_ga*MTM3MDkyNjc3LjE3MDg2OTk4NjU.*_ga_J4698JNNFT*MTcwODk1ODU4NC4yLjEuMTcwODk2MjUwMS42MC4wLjA.#eyJhcHBpZCI6MTUwLCJzdGVwcyI6WzEsMiwzXSwiZGF0YSI6W1siY2F0ZWdvcmllcyIsIkdkcHhJbmQiXSxbIlRhYmxlX0xpc3QiLCIxNSJdXX0=</t>
  </si>
  <si>
    <t>Value Added of Manufacturing US Textile Mills and Textile Product Mills as a Percentage of GDP (%)</t>
  </si>
  <si>
    <t>Gross Output of US Textile Mills and Textile Product Mills (billion dollars)</t>
  </si>
  <si>
    <t>US APPAREL AND LEATHER AND ALLIED PRODUCTS (NAICS)</t>
  </si>
  <si>
    <t>Apparel and Leather and Allied Products Value Added (billion dollars)</t>
  </si>
  <si>
    <t>Valued Added of Manufacturing US Apparel and Leather and Allied Products as a Percentage of GDP (%)</t>
  </si>
  <si>
    <t>Gross Output of US Apparel and Leather and Allied Products  (billion dollars)</t>
  </si>
  <si>
    <t>FOREST PRODUCTS</t>
  </si>
  <si>
    <t>US WOOD PRODUCTS (NAICS)</t>
  </si>
  <si>
    <t>U.S. Wood Products Real Value Added (billion dollars)</t>
  </si>
  <si>
    <t>Value Added of Manufacturing US Wood Products as Percentage of GDP (%)</t>
  </si>
  <si>
    <t>Gross Output of US Wood Products (billion dollars)</t>
  </si>
  <si>
    <r>
      <rPr>
        <sz val="11"/>
        <color rgb="FF0563C1"/>
        <rFont val="Calibri"/>
        <family val="2"/>
      </rPr>
      <t xml:space="preserve">[Table 6.2D]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</si>
  <si>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r>
      <rPr>
        <sz val="11"/>
        <color theme="10"/>
        <rFont val="Calibri"/>
        <family val="2"/>
      </rPr>
      <t xml:space="preserve">[6.4D]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</si>
  <si>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US PAPER PRODUCTS (NAICS)</t>
  </si>
  <si>
    <t>U.S. Paper Products Value Added (billion dollars)</t>
  </si>
  <si>
    <t>Value Added of Manufacturing US Paper Products as Percentage of GDP (%)</t>
  </si>
  <si>
    <t>Gross Output of US Paper Products (billion dollars)</t>
  </si>
  <si>
    <r>
      <rPr>
        <u/>
        <sz val="11"/>
        <color rgb="FF000000"/>
        <rFont val="Calibri"/>
        <family val="2"/>
      </rPr>
      <t xml:space="preserve">[6.2D]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</si>
  <si>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r>
      <rPr>
        <u/>
        <sz val="11"/>
        <color rgb="FF000000"/>
        <rFont val="Calibri"/>
        <family val="2"/>
      </rPr>
      <t xml:space="preserve">[6.4D]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</si>
  <si>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Wood fuel (million m3)</t>
  </si>
  <si>
    <t>Wood residues ( million m3)</t>
  </si>
  <si>
    <t>Roundwood  (million m3)</t>
  </si>
  <si>
    <t>Sawnwood (million m3)</t>
  </si>
  <si>
    <t>Wood-based panels (million m3)</t>
  </si>
  <si>
    <t>Wood fuel (million tonnes)</t>
  </si>
  <si>
    <t>Wood residues ( mililon tonnes)</t>
  </si>
  <si>
    <t>Roundwood  (million tonnes)</t>
  </si>
  <si>
    <t>Sawnwood (million tonnes)</t>
  </si>
  <si>
    <t>Wood-based panels (million tonnes)</t>
  </si>
  <si>
    <t>Wood pulp (million tonnes)</t>
  </si>
  <si>
    <t>Paper and paperboard (million tonnes)</t>
  </si>
  <si>
    <t>Wood pellets (million tonnes)</t>
  </si>
  <si>
    <t>Forest products Imports (billion dollars)</t>
  </si>
  <si>
    <t>Forest products Exports (billion dollars)</t>
  </si>
  <si>
    <t>FUNDING</t>
  </si>
  <si>
    <t>NIFA</t>
  </si>
  <si>
    <t>Keyword</t>
  </si>
  <si>
    <t>https://portal.nifa.usda.gov/enterprise-search/project_details</t>
  </si>
  <si>
    <t xml:space="preserve">Biodiesel </t>
  </si>
  <si>
    <t>Renewable diesel</t>
  </si>
  <si>
    <t>Sustainable aviation fuel</t>
  </si>
  <si>
    <t>Recycled greases</t>
  </si>
  <si>
    <t>Animal Fats</t>
  </si>
  <si>
    <t>Wood pellets</t>
  </si>
  <si>
    <t>Waste to energy</t>
  </si>
  <si>
    <t>Bioproducts</t>
  </si>
  <si>
    <t>Biochemicals</t>
  </si>
  <si>
    <t>Biofuels</t>
  </si>
  <si>
    <t>NSF</t>
  </si>
  <si>
    <t>https://www.nsf.gov/awardsearch/advancedSearch.jsp</t>
  </si>
  <si>
    <t>0-250K</t>
  </si>
  <si>
    <t>250K-500K</t>
  </si>
  <si>
    <t>500K-1M</t>
  </si>
  <si>
    <t>&gt;1M</t>
  </si>
  <si>
    <t>&lt;50K</t>
  </si>
  <si>
    <t>50K-100K</t>
  </si>
  <si>
    <t>100K-500K</t>
  </si>
  <si>
    <t>Amount awarded 2023 NIFA</t>
  </si>
  <si>
    <t>Amount awarded 2023 NSF</t>
  </si>
  <si>
    <t xml:space="preserve">2023 Top Exports </t>
  </si>
  <si>
    <t xml:space="preserve">2022 Top Exports </t>
  </si>
  <si>
    <t xml:space="preserve">2021 Top Exports </t>
  </si>
  <si>
    <t>million gallons</t>
  </si>
  <si>
    <t>million metric tons</t>
  </si>
  <si>
    <t>Poultry Fat</t>
  </si>
  <si>
    <t>metric tons</t>
  </si>
  <si>
    <t>Brazil</t>
  </si>
  <si>
    <t>Canada</t>
  </si>
  <si>
    <t>United Kingdom</t>
  </si>
  <si>
    <t>Netherlands</t>
  </si>
  <si>
    <t>Belgium</t>
  </si>
  <si>
    <t>Peru</t>
  </si>
  <si>
    <t>South Korea</t>
  </si>
  <si>
    <t>India</t>
  </si>
  <si>
    <t>Denmark</t>
  </si>
  <si>
    <t>Mexico</t>
  </si>
  <si>
    <t>Guatemala</t>
  </si>
  <si>
    <t>Norway</t>
  </si>
  <si>
    <t>China</t>
  </si>
  <si>
    <t>Singapore</t>
  </si>
  <si>
    <t>France</t>
  </si>
  <si>
    <t>Colombia</t>
  </si>
  <si>
    <t>Germany</t>
  </si>
  <si>
    <t>Dominican Republic</t>
  </si>
  <si>
    <t>Chile</t>
  </si>
  <si>
    <t>Inedible tallow</t>
  </si>
  <si>
    <t>Edible tallow</t>
  </si>
  <si>
    <t>Yellow grease</t>
  </si>
  <si>
    <t>White grease</t>
  </si>
  <si>
    <t>Ghana</t>
  </si>
  <si>
    <t>Honduras</t>
  </si>
  <si>
    <t>Japan</t>
  </si>
  <si>
    <t>*EU27</t>
  </si>
  <si>
    <t>Morocco</t>
  </si>
  <si>
    <t xml:space="preserve">Canada </t>
  </si>
  <si>
    <t>*EU27 =the 27 European Union countries after the UK left the EU, So EU28 = 76,665 + 77,345</t>
  </si>
  <si>
    <t xml:space="preserve">2023 Top Imports </t>
  </si>
  <si>
    <t xml:space="preserve">2022 Top Imports </t>
  </si>
  <si>
    <t xml:space="preserve">2021 Top Imports </t>
  </si>
  <si>
    <t>Thousand metric tons</t>
  </si>
  <si>
    <t>Viet Nam</t>
  </si>
  <si>
    <t>Spain</t>
  </si>
  <si>
    <t>Italy</t>
  </si>
  <si>
    <t>Ukraine</t>
  </si>
  <si>
    <t>Indonesia</t>
  </si>
  <si>
    <t>Trinidad and Tabago</t>
  </si>
  <si>
    <t>Ecuador</t>
  </si>
  <si>
    <t>Retrieved April 2024</t>
  </si>
  <si>
    <t>https://www.biopreferred.gov/BioPreferred/faces/catalog/Catalog.xhtml</t>
  </si>
  <si>
    <t>https://www.european-bioplastics.org/market/#</t>
  </si>
  <si>
    <t>https://www.trade.gov/data-visualization/tradestats-express-us-trade-product</t>
  </si>
  <si>
    <t>Total consumption of jet fuel major US Airlines (million gallons)</t>
  </si>
  <si>
    <t>Renewable Natural Gas</t>
  </si>
  <si>
    <t>Ag RNG projects</t>
  </si>
  <si>
    <t>https://www.epa.gov/lmop/renewable-natural-gas</t>
  </si>
  <si>
    <t>Retriaved May 8 2023</t>
  </si>
  <si>
    <t>Landfill RNG projects</t>
  </si>
  <si>
    <t>Retriaved May 8 2024</t>
  </si>
  <si>
    <t>Total Volume of Biodiesel Imported into the US (million gallons)</t>
  </si>
  <si>
    <t>Total Volume of Biodiesel Exported from the US (million gallons)</t>
  </si>
  <si>
    <t>Packaging</t>
  </si>
  <si>
    <t>Textiles</t>
  </si>
  <si>
    <t>Consumer Goods</t>
  </si>
  <si>
    <t>Agriculture &amp; Horticulture</t>
  </si>
  <si>
    <t>Automotive &amp; Transport</t>
  </si>
  <si>
    <t>Building &amp; Construction</t>
  </si>
  <si>
    <t>Electronics</t>
  </si>
  <si>
    <t>Others</t>
  </si>
  <si>
    <t>TRADE</t>
  </si>
  <si>
    <t>ITA</t>
  </si>
  <si>
    <t>Value of the U.S. apparel exports worldwide (billion dollars)</t>
  </si>
  <si>
    <t>Value of the U.S. apparel imports worldwide (billion dollars)</t>
  </si>
  <si>
    <t>Value of the U.S. textiles exports worldwide (billion dollars)</t>
  </si>
  <si>
    <t>Value of the U.S. textiles imports worldwide (billion dollars)</t>
  </si>
  <si>
    <t>Total production of renewable jet fuel (million gallons)</t>
  </si>
  <si>
    <t>Total consumption of renewable jet fuel (million gallons)</t>
  </si>
  <si>
    <t>Wood pellets Imports (million metric tons)</t>
  </si>
  <si>
    <t>Malaysia</t>
  </si>
  <si>
    <t>Thailand</t>
  </si>
  <si>
    <t xml:space="preserve">https://www.epa.gov/lmop/landfill-gas-energy-project-data </t>
  </si>
  <si>
    <t>Biodegradable</t>
  </si>
  <si>
    <t>Biobased</t>
  </si>
  <si>
    <t>Starch Blends</t>
  </si>
  <si>
    <t>PLA</t>
  </si>
  <si>
    <t>PBTA</t>
  </si>
  <si>
    <t>PBS</t>
  </si>
  <si>
    <t>PHA</t>
  </si>
  <si>
    <t>PE</t>
  </si>
  <si>
    <t>PA</t>
  </si>
  <si>
    <t>PET</t>
  </si>
  <si>
    <t>PTT</t>
  </si>
  <si>
    <t>Other</t>
  </si>
  <si>
    <t>PP</t>
  </si>
  <si>
    <t>Korea</t>
  </si>
  <si>
    <t>Tallow</t>
  </si>
  <si>
    <t>Plant capacity (billion gallons)</t>
  </si>
  <si>
    <t>https://www.icao.int/environmental-protection/GFAAF/Pages/Airports.aspx</t>
  </si>
  <si>
    <t>Number of Airports with SAF (Ongoing Delivery)</t>
  </si>
  <si>
    <t>Number of Airports with SAF (Batch Delivery)</t>
  </si>
  <si>
    <t>Domestic CO2 emissions from aviation sector (Million metric tons)</t>
  </si>
  <si>
    <t>https://www.iea.org/energy-system/transport/aviation#tracking</t>
  </si>
  <si>
    <t>Retrieved January 2025</t>
  </si>
  <si>
    <t>IEA</t>
  </si>
  <si>
    <t>Retrieved February 2025</t>
  </si>
  <si>
    <t>NIFA+NSF</t>
  </si>
  <si>
    <t>Traditional biofuel</t>
  </si>
  <si>
    <t>Emergent biofuel</t>
  </si>
  <si>
    <t>TOTAL</t>
  </si>
  <si>
    <t>Renewable Jet fuel</t>
  </si>
  <si>
    <t>Agriculture</t>
  </si>
  <si>
    <t>Agricultural Summary</t>
  </si>
  <si>
    <t>Corn</t>
  </si>
  <si>
    <t>Wheat</t>
  </si>
  <si>
    <t>Barley</t>
  </si>
  <si>
    <t>Sorghum</t>
  </si>
  <si>
    <t>Soy</t>
  </si>
  <si>
    <t>Cotton</t>
  </si>
  <si>
    <t>Peanuts</t>
  </si>
  <si>
    <t>Sunflowers</t>
  </si>
  <si>
    <t>Canola</t>
  </si>
  <si>
    <t>https://ethanolproducer.com/plants/list/ethanol</t>
  </si>
  <si>
    <t>Retrieved January 2026</t>
  </si>
  <si>
    <t>https://ethanolrfa.org/file/2909/2024%20Ethanol%20Trade%20Summary.pdf</t>
  </si>
  <si>
    <t>Retrieved January 2026, Table 10.2c
1 gallon of ethanol = 77566 BTUs</t>
  </si>
  <si>
    <t>Retrieved January 2026, Table 10.2b
1 gallon of ethanol = 77566 BTUs</t>
  </si>
  <si>
    <t>Retrieved January 2026 
1 bushel of corn=0.025 metric tons</t>
  </si>
  <si>
    <t>Retrieved January 2026
1.5 gallons ethanol =  1 gallon gasoline</t>
  </si>
  <si>
    <t>https://www.eia.gov/biofuels/biodiesel/capacity/archive/2024/index.php</t>
  </si>
  <si>
    <t>https://afdc.energy.gov/stations/states?count=total&amp;include_temporarily_unavailable=false&amp;date=</t>
  </si>
  <si>
    <t>Retrieved January 2026
1 barrel of biodiesel = 42 gallons</t>
  </si>
  <si>
    <t>Retrieved January 2026   1 barrel of biodiesel = 42 gallons</t>
  </si>
  <si>
    <t>Retrieved January 2026
1 gallon of biodiesel = 127,595 BTUs</t>
  </si>
  <si>
    <t>107,4</t>
  </si>
  <si>
    <t>https://cleanfuels.org/new-study-shows-clean-fuels-industry-contributes-42-4-billion-to-us-economy/</t>
  </si>
  <si>
    <t>Clean Fuels Alliance</t>
  </si>
  <si>
    <t>Retrieved January 2026
1 bushel of soy=0.027 metric tons</t>
  </si>
  <si>
    <t>-</t>
  </si>
  <si>
    <t>https://rendermagazine.com/archives/2020s/</t>
  </si>
  <si>
    <t>https://www.eia.gov/dnav/pet/PET_PNP_FEEDBIOFUEL_DCU_NUS_M.htm</t>
  </si>
  <si>
    <t>Retrieved January 2026
1 metric ton = 2,204.622 pounds</t>
  </si>
  <si>
    <t>NASS</t>
  </si>
  <si>
    <t>Consumption</t>
  </si>
  <si>
    <t>https://www.nass.usda.gov/</t>
  </si>
  <si>
    <t>https://data.bts.gov/stories/s/Fuel-Consumption/bwcv-dxgx/</t>
  </si>
  <si>
    <t>US Department of Transportation</t>
  </si>
  <si>
    <t>Airline off-take agreement (cumulative by year)</t>
  </si>
  <si>
    <t>Airline off-take agreement (million gallons)</t>
  </si>
  <si>
    <t>Retrieved January 2026 1 liter = 0.26172 gallons</t>
  </si>
  <si>
    <t>International CO2 emissions form aviation sector (Million metric tons)</t>
  </si>
  <si>
    <t>Retrieved January 2026
1 kwh= 3412.14 BTUs</t>
  </si>
  <si>
    <t>Retrieved January 2026
1  ton = 0.9072 metric tons</t>
  </si>
  <si>
    <t>IBIS World</t>
  </si>
  <si>
    <t>https://www.ibisworld.com/united-states/industry/waste-to-energy-plant-operation/4496/#:~:text=The%20market%20size%20of%20the,industry%20in%20the%20United%20States?</t>
  </si>
  <si>
    <t>Retrieved January 2026
1 kwh = 3412 BTUs</t>
  </si>
  <si>
    <t>Compensation of Employees, Plastics and Rubber Products (billion dollars)</t>
  </si>
  <si>
    <t>https://docs.european-bioplastics.org/publications/market_data/2024/EUBP_Market_Data_Report_2024.pdf</t>
  </si>
  <si>
    <t>European Plastics</t>
  </si>
  <si>
    <t>https://www.european-bioplastics.org/bioplastics/feedstock/</t>
  </si>
  <si>
    <t>Compensation of Employees, Wood Products (billion dollars)</t>
  </si>
  <si>
    <t>Compensation of Employees, Paper Products (billion dollars)</t>
  </si>
  <si>
    <t>Compensation of Employees, Textile Mills &amp; Textile Product Mills (billion dollars)</t>
  </si>
  <si>
    <t>Compensation of Employees, Apparel and Leather and Allied Products (billion dollars)</t>
  </si>
  <si>
    <t>https://apps.fas.usda.gov/gats/default.aspx</t>
  </si>
  <si>
    <t>FAS</t>
  </si>
  <si>
    <t>AGRICULTURE</t>
  </si>
  <si>
    <t>LAND USE</t>
  </si>
  <si>
    <t>Number of Farms in the United States (million farms)</t>
  </si>
  <si>
    <t>Acreage of Agriculture in the United States (million acres)</t>
  </si>
  <si>
    <t>U.S. Farmland Used as Permanent Pasture (million acres)</t>
  </si>
  <si>
    <t>U.S. Farmland Used as Cropland (million acres)</t>
  </si>
  <si>
    <t>U.S. Cropland Harvested (million acres)</t>
  </si>
  <si>
    <t>U.S. Farmland Used as Woodland (million acres)</t>
  </si>
  <si>
    <t>U.S. Farmland Used for other purposes (million acres)</t>
  </si>
  <si>
    <t>Average Farm Size (acres)</t>
  </si>
  <si>
    <t>https://quickstats.nass.usda.gov/results/FE8787AE-F141-38C3-A8D7-17EC943640FB</t>
  </si>
  <si>
    <t>Net cash income (billion dollars)</t>
  </si>
  <si>
    <t>Net farm income (billion dollars)</t>
  </si>
  <si>
    <t>Total Farm Assets (billion dollars)</t>
  </si>
  <si>
    <t>Total Farm Debt (billion dollars)</t>
  </si>
  <si>
    <t>Total Farm Equity (billion dollars)</t>
  </si>
  <si>
    <t>ENVIRONMENTAL</t>
  </si>
  <si>
    <t>https://www.ers.usda.gov/data-products/fertilizer-use-and-price.aspx</t>
  </si>
  <si>
    <t>Retrieved April 2018
1 short ton=0.907185 metric tons</t>
  </si>
  <si>
    <t>WATER</t>
  </si>
  <si>
    <t>Irrigated Land in the U.S. (million acres)</t>
  </si>
  <si>
    <t>USGS</t>
  </si>
  <si>
    <r>
      <rPr>
        <u/>
        <sz val="11"/>
        <color rgb="FF0563C1"/>
        <rFont val="Calibri"/>
        <family val="2"/>
      </rPr>
      <t xml:space="preserve">[2010] </t>
    </r>
    <r>
      <rPr>
        <u/>
        <sz val="11"/>
        <color theme="10"/>
        <rFont val="Calibri"/>
        <family val="2"/>
      </rPr>
      <t xml:space="preserve">https://pubs.usgs.gov/circ/1405/pdf/circ1405.pdf
</t>
    </r>
    <r>
      <rPr>
        <u/>
        <sz val="11"/>
        <color rgb="FF0563C1"/>
        <rFont val="Calibri"/>
        <family val="2"/>
      </rPr>
      <t xml:space="preserve">[2015] </t>
    </r>
    <r>
      <rPr>
        <u/>
        <sz val="11"/>
        <color theme="10"/>
        <rFont val="Calibri"/>
        <family val="2"/>
      </rPr>
      <t>https://pubs.usgs.gov/circ/1441/circ1441.pdf</t>
    </r>
  </si>
  <si>
    <t>Retrieved June 2018
Retrieved October 2018</t>
  </si>
  <si>
    <t>Withdrawals (million acre-feet year)</t>
  </si>
  <si>
    <t xml:space="preserve">     Groundwater withdrawals (million acre-feet year)</t>
  </si>
  <si>
    <t xml:space="preserve">     Surface water withdrawals (million acre-feet year)</t>
  </si>
  <si>
    <t>USDA-NASS</t>
  </si>
  <si>
    <t xml:space="preserve">Agriculture Production (billion dollars) </t>
  </si>
  <si>
    <t>Agriculture Imports (billion dollars)</t>
  </si>
  <si>
    <t>Agriculture Exports (billion dollars)</t>
  </si>
  <si>
    <t>https://esmis.nal.usda.gov/sites/default/release-files/5712m6524/z316rz25j/db78w849h/fnlo0225.pdf</t>
  </si>
  <si>
    <t>https://www.nass.usda.gov/Publications/Highlights/2024/Census22_HL_FarmsFarmland.pdf</t>
  </si>
  <si>
    <t>Value Added of Farms (billion dollars)</t>
  </si>
  <si>
    <t>https://apps.bea.gov/iTable/?reqid=1603&amp;step=2&amp;Categories=GDPxInd&amp;isURI=1&amp;_gl=1*bg4lgp*_ga*MTU2MDMwOTkxNy4xNzY3ODk4NTU4*_ga_J4698JNNFT*czE3Njc5NzYxNDUkbzMkZzEkdDE3Njc5NzYxNjYkajM5JGwwJGgw#eyJhcHBpZCI6MTYwMywic3RlcHMiOlsxLDIsNCw0XSwiZGF0YSI6W1siY2F0ZWdvcmllcyIsIkdEUHhJbmQiXSxbIlRhYmxlX0xpc3QiLCJUVkExMDUiXSxbIlNjYWxlIiwiLTkiXSxbIkZpcnN0X1llYXIiLCIyMDEwIl0sWyJMYXN0X1llYXIiLCIyMDI1Il0sWyJSb3dzIixbIjIyUiIsIkdEUCIsIlBWVCIsIjExIiwiMTExQ0EiLCIxMTNGRiIsIjIxIiwiMjExIiwiMjEyIiwiMjEzIiwiMjIiLCIyMyIsIjMxRyIsIjMzREciLCIzMjEiLCIzMjciLCIzMzEiLCIzMzIiLCIzMzMiLCIzMzQiLCIzMzUiLCIzMzYxTVYiLCIzMzY0T1QiLCIzMzciLCIzMzkiLCIzMU5EIiwiMzExRlQiLCIzMTNUVCIsIjMxNUFMIiwiMzIyIiwiMzIzIiwiMzI0IiwiMzI1IiwiMzI2IiwiNDIiLCI0NFJUIiwiNDQxIiwiNDQ1IiwiNDUyIiwiNEEwIiwiNDhUVyIsIjQ4MSIsIjQ4MiIsIjQ4MyIsIjQ4NCIsIjQ4NSIsIjQ4NiIsIjQ4N09TIiwiNDkzIiwiNTEiLCI1MTEiLCI1MTIiLCI1MTMiLCI1MTQiLCJGSVJFIiwiNTIiLCI1MjFDSSIsIjUyMyIsIjUyNCIsIjUyNSIsIjUzIiwiNTMxIiwiSFMiLCJPUkUiLCI1MzJSTCIsIlBST0YiLCI1NCIsIjU0MTEiLCI1NDE1IiwiNTQxMk9QIiwiNTUiLCI1NiIsIjU2MSIsIjU2MiIsIjYiLCI2MSIsIjYyIiwiNjIxIiwiNjIyIiwiNjIzIiwiNjI0IiwiNyIsIjcxIiwiNzExQVMiLCI3MTMiLCI3MiIsIjcyMSIsIjcyMiIsIjgxIiwiRyIsIkdGIiwiR0ZHIiwiR0ZHRCIsIkdGR04iLCJHRkUiLCJHU0wiLCJHU0xHIiwiR1NMRSIsIiIsIlBHT09EIiwiUFNFUlYiLCJJQ1QiXV0sWyJTZXJpZXMiLCJBIl0sWyJDb2x1bW5zIixbIjIwMjAiXV1dfQ==</t>
  </si>
  <si>
    <t>Census Bureau</t>
  </si>
  <si>
    <t>Gross Output of Farms (billion dollars)</t>
  </si>
  <si>
    <t>Value Addes as percentage of GDP farms (%)</t>
  </si>
  <si>
    <t>Full time and part time employees by farms (Thousands)</t>
  </si>
  <si>
    <t>https://www.ers.usda.gov/data-products/foreign-agricultural-trade-of-the-united-states-fatus/calendar-year</t>
  </si>
  <si>
    <t>https://www.ers.usda.gov/data-products/farm-income-and-wealth-statistics/data-files-us-and-state-level-farm-income-and-wealth-statistics</t>
  </si>
  <si>
    <t>Fertilizer Consumption in US (million metric tons)</t>
  </si>
  <si>
    <t xml:space="preserve">        Phosphate products (million metric tons)</t>
  </si>
  <si>
    <t xml:space="preserve">        Nitrogen products (million metric tons)</t>
  </si>
  <si>
    <t xml:space="preserve">        Potash products (million metric tons)</t>
  </si>
  <si>
    <t>IFA</t>
  </si>
  <si>
    <t>https://www.ifastat.org/databases/plant-nutrition</t>
  </si>
  <si>
    <r>
      <t xml:space="preserve">[2010] </t>
    </r>
    <r>
      <rPr>
        <u/>
        <sz val="11"/>
        <color theme="10"/>
        <rFont val="Calibri"/>
        <family val="2"/>
      </rPr>
      <t xml:space="preserve">https://pubs.usgs.gov/circ/1405/pdf/circ1405.pdf
</t>
    </r>
    <r>
      <rPr>
        <u/>
        <sz val="11"/>
        <color rgb="FF0563C1"/>
        <rFont val="Calibri"/>
        <family val="2"/>
      </rPr>
      <t xml:space="preserve">[2015] </t>
    </r>
    <r>
      <rPr>
        <u/>
        <sz val="11"/>
        <color theme="10"/>
        <rFont val="Calibri"/>
        <family val="2"/>
      </rPr>
      <t>https://pubs.usgs.gov/circ/1441/circ1441.pdf</t>
    </r>
  </si>
  <si>
    <t>US BIOPLASTIC</t>
  </si>
  <si>
    <t>Revenue (million dollars)</t>
  </si>
  <si>
    <t>Employment</t>
  </si>
  <si>
    <t>Exports (million dollars)</t>
  </si>
  <si>
    <t>Imports (million dollars)</t>
  </si>
  <si>
    <t>Key Success Factors - OD4512 Bioplastics Manufacturing in the US - MyIBISWorld</t>
  </si>
  <si>
    <t xml:space="preserve">2024 Top Exports </t>
  </si>
  <si>
    <t xml:space="preserve">2024 Top Imports </t>
  </si>
  <si>
    <t>Bahama Islands</t>
  </si>
  <si>
    <t>Portugal</t>
  </si>
  <si>
    <t>Jamaica</t>
  </si>
  <si>
    <t>CORN</t>
  </si>
  <si>
    <t>Number of Farms Growing Corn in the United States (thousand farms)</t>
  </si>
  <si>
    <t>Planted Acreage of Corn in the United States (million acres)</t>
  </si>
  <si>
    <t>https://quickstats.nass.usda.gov/results/5C42EA33-506B-37F7-871A-178A7B2FDB70</t>
  </si>
  <si>
    <t>Yield of Corn grown in U.S. (metric tons per acre)</t>
  </si>
  <si>
    <t>USDA-PSD</t>
  </si>
  <si>
    <t>https://apps.fas.usda.gov/psdonline/app/index.html#/app/downloads</t>
  </si>
  <si>
    <t>Planted acreage of corn for ethanol production in the United States (million acres)</t>
  </si>
  <si>
    <t>Total Volume of Corn Grown in the US (million metric tons)</t>
  </si>
  <si>
    <t>Total Volume of Corn consumption (million metric tons)</t>
  </si>
  <si>
    <t>https://www.ers.usda.gov/data-products/feed-grains-database/feed-grains-yearbook-tables.aspx</t>
  </si>
  <si>
    <t>Corn imports (million metric tons)</t>
  </si>
  <si>
    <t>Corn exports (million metric tons)</t>
  </si>
  <si>
    <t>Beginning stocks (million metric tons)</t>
  </si>
  <si>
    <t>Ending stocks (million metric tons)</t>
  </si>
  <si>
    <t>Uses</t>
  </si>
  <si>
    <t>Total Volume of Corn Consumed for Feed (million metric tons)</t>
  </si>
  <si>
    <t>Total Volume of Corn Consumed for Food, alcohol and industrial use (million metric tons):</t>
  </si>
  <si>
    <t xml:space="preserve">     Corn Processed into Fuel Alcohol (million metric tons)</t>
  </si>
  <si>
    <t xml:space="preserve">     Corn Processed into High Fructose Corn Syrup (million metric tons)</t>
  </si>
  <si>
    <t xml:space="preserve">     Corn Processed into Glucose and Dextrose (million metric tons)</t>
  </si>
  <si>
    <t xml:space="preserve">     Corn Processed into Starch (million metric tons)</t>
  </si>
  <si>
    <t xml:space="preserve">     Corn Used as Cereal (million metric tons)</t>
  </si>
  <si>
    <t xml:space="preserve">     Corn Processed into Alcoholic Beverages (million metric tons)</t>
  </si>
  <si>
    <t xml:space="preserve">     Corn Saved for Seed (million metric tons)</t>
  </si>
  <si>
    <t>Corn into Biofuels</t>
  </si>
  <si>
    <t>Ethanol production as percent of total corn use</t>
  </si>
  <si>
    <t>Corn Oil Going to Biodiesel (million metric tons)</t>
  </si>
  <si>
    <t>https://www.eia.gov/biofuels/biodiesel/production/archive/</t>
  </si>
  <si>
    <t>Corn Prices (dollars per metric ton)</t>
  </si>
  <si>
    <t>https://quickstats.nass.usda.gov/results/B064DE81-3626-3F18-B562-BBF6B877613A</t>
  </si>
  <si>
    <t>Corn Oil Price (dollars per metric ton)</t>
  </si>
  <si>
    <t>USDA-ERS (Oil Crops Outlook 2018)</t>
  </si>
  <si>
    <t>https://www.ers.usda.gov/publications/pub-details/?pubid=86740</t>
  </si>
  <si>
    <t>Retrieved April 2018
1 metric ton = 2,204.622 pounds</t>
  </si>
  <si>
    <t>Direct Value of All Corn Grown in the United States (billion dollars)</t>
  </si>
  <si>
    <t>https://quickstats.nass.usda.gov/results/6470F0BD-2744-3376-97E7-7B7F46D09C66</t>
  </si>
  <si>
    <t>Value of Corn Used for Starch Ethanol (billion dollars)</t>
  </si>
  <si>
    <t>Value of Corn Used for Biodiesel (billion dollars)</t>
  </si>
  <si>
    <t>Fertilizer Use</t>
  </si>
  <si>
    <t>Nitrogen (million metric tons)</t>
  </si>
  <si>
    <t>NA</t>
  </si>
  <si>
    <t>Phosphate (million metric tons)</t>
  </si>
  <si>
    <t xml:space="preserve"> NA </t>
  </si>
  <si>
    <t>Potash (million metric tons)</t>
  </si>
  <si>
    <t>Retrieved January 2026
1 acre=0.404686 Ha</t>
  </si>
  <si>
    <t>Retrieved January 2026
1 bushel of corn=0.025 metric tons</t>
  </si>
  <si>
    <t>SORGHUM</t>
  </si>
  <si>
    <t>Planted Acreage of Sorghum Planted in the United States (million acres)</t>
  </si>
  <si>
    <t>Total Volume of Sorghum Grown in the US (million metric tons)</t>
  </si>
  <si>
    <t>Direct Value of All Sorghum Grown in the United States (billion dollars)</t>
  </si>
  <si>
    <t>Total Volume of Sorghum consumption (million metric tons)</t>
  </si>
  <si>
    <t>Sorghum imports (million metric tons)</t>
  </si>
  <si>
    <t>Sorghum exports (million metric tons)</t>
  </si>
  <si>
    <t>Total Volume of Sorghum Consumed for Feed (million metric tons)</t>
  </si>
  <si>
    <t>Total Volume of Sorghum Consumed for Food, alcohol and industrial use (million metric tons):</t>
  </si>
  <si>
    <t>Sorghum into Biofuels</t>
  </si>
  <si>
    <t>Ethanol production as percent of total Sorghum use</t>
  </si>
  <si>
    <t>Sorghum Prices (dollars per metric ton)</t>
  </si>
  <si>
    <t>https://quickstats.nass.usda.gov/results/22AB96F9-09A2-3278-8198-B3E4D37A2F10</t>
  </si>
  <si>
    <t>Retrieved January 2026
1 cwt = 0.04536 metric tons</t>
  </si>
  <si>
    <t>https://quickstats.nass.usda.gov/results/10684D48-7FE1-37D9-A4A7-34DDD9A43959</t>
  </si>
  <si>
    <t>https://quickstats.nass.usda.gov/results/356755E1-3FFF-3783-93D1-9A40207DD05C</t>
  </si>
  <si>
    <t>Retrieved January 2026
1 bushel of sorghum=0.025 metric tons</t>
  </si>
  <si>
    <t>Sorghum Saved for Seed (million metric tons)</t>
  </si>
  <si>
    <t>BARLEY</t>
  </si>
  <si>
    <t>Planted Acreage of barley Planted in the United States (million acres)</t>
  </si>
  <si>
    <t>Total Volume of barley Grown in the US (million metric tons)</t>
  </si>
  <si>
    <t>Total Volume of barley consumption (million metric tons)</t>
  </si>
  <si>
    <t>Total Volume of barley Consumed for Feed (million metric tons)</t>
  </si>
  <si>
    <t>Total Volume of barley Consumed for Food, alcohol and industrial use (million metric tons):</t>
  </si>
  <si>
    <t>Direct Value of All barley Grown in the United States (billion dollars)</t>
  </si>
  <si>
    <t>Barley imports (million metric tons)</t>
  </si>
  <si>
    <t>Barley exports (million metric tons)</t>
  </si>
  <si>
    <t>Barley Saved for Seed (million metric tons)</t>
  </si>
  <si>
    <t>Barley Prices (dollars per metric ton)</t>
  </si>
  <si>
    <t>Retrieved January 2026
1 bushel of barley=0.021 metric tons</t>
  </si>
  <si>
    <t>https://quickstats.nass.usda.gov/results/616E13D1-D39B-350E-9E93-142A3459195C</t>
  </si>
  <si>
    <t>https://quickstats.nass.usda.gov/results/775E91AB-2C7E-3E11-8F6F-1E6167569EC2</t>
  </si>
  <si>
    <t>https://quickstats.nass.usda.gov/results/BCCC15CB-5216-3401-B519-C2BB83E644E4</t>
  </si>
  <si>
    <t xml:space="preserve">WHEAT </t>
  </si>
  <si>
    <t>Planted Acreage of Wheat in the United States (million acres)</t>
  </si>
  <si>
    <t>https://quickstats.nass.usda.gov/results/7539B9E8-3C98-3BA5-AB49-19F9CC39402E</t>
  </si>
  <si>
    <t>Retrieved April 2018</t>
  </si>
  <si>
    <t>Total Volume of Wheat Grown in the US (million metric tons)</t>
  </si>
  <si>
    <t>Total Volume of Wheat consumed in the US (million metric tons)</t>
  </si>
  <si>
    <t>Retrieved June 2018</t>
  </si>
  <si>
    <t>Wheat Imports (million metric tons)</t>
  </si>
  <si>
    <t>Wheat Exports (million metric tons)</t>
  </si>
  <si>
    <t>Wheat Prices (dollars per metric ton)</t>
  </si>
  <si>
    <t>https://quickstats.nass.usda.gov/results/FDBAF890-6232-3032-8271-F98ED7B43DEE</t>
  </si>
  <si>
    <t>Direct Value of All wheat Grown in the United States (billion dollars)</t>
  </si>
  <si>
    <t>https://quickstats.nass.usda.gov/results/25621CF1-71CE-3AF9-9CE4-69B2C52D0D72</t>
  </si>
  <si>
    <t>Feed</t>
  </si>
  <si>
    <t>Fuel Alcohol</t>
  </si>
  <si>
    <t>High Fructose wheat Syrup</t>
  </si>
  <si>
    <t>Glucose and Dextrose</t>
  </si>
  <si>
    <t>Starch</t>
  </si>
  <si>
    <t>Cereal</t>
  </si>
  <si>
    <t>Alcoholic Beverages</t>
  </si>
  <si>
    <t>Seed</t>
  </si>
  <si>
    <t>Retrieved January 2026
1 bushel of wheat=0.027 metric tons</t>
  </si>
  <si>
    <t>SOY</t>
  </si>
  <si>
    <t>Acreage of Soybeans planted in the United States (million acres)</t>
  </si>
  <si>
    <t>Acreage of Soybeans harvested in the United States (million acres)</t>
  </si>
  <si>
    <t>Yield of Soy grown in the United States (metric tons per acre)</t>
  </si>
  <si>
    <t>Total Volume of Soybean Grown in the US (million metric tons)</t>
  </si>
  <si>
    <t>Total volume of soy consumption (million metric tons)</t>
  </si>
  <si>
    <t>Soybean Imports (million metric tons)</t>
  </si>
  <si>
    <t>Soybean Exports (million metric tons)</t>
  </si>
  <si>
    <t>Total Volume of Soy Consumed for Crush (million metric tons)</t>
  </si>
  <si>
    <t>Total Volume of Soy Consumed for Seed, feed and residual (million metric tons)</t>
  </si>
  <si>
    <t>Soy into Biofuels</t>
  </si>
  <si>
    <t>Soybean Oil Going to Biodiesel (million metric tons)</t>
  </si>
  <si>
    <t>https://www.ers.usda.gov/data-products/us-bioenergy-statistics/us-bioenergy-statistics/</t>
  </si>
  <si>
    <t>Percent Soybean Oil Used for Biodiesel</t>
  </si>
  <si>
    <t>Soybean Oil Price (dollars per metric ton)</t>
  </si>
  <si>
    <t>Direct Value of All Soy Grown in the United States (billion dollars)</t>
  </si>
  <si>
    <t>Value of Soybeans Used for Biodiesel (billion dollars)</t>
  </si>
  <si>
    <t>High Fructose Corn Syrup</t>
  </si>
  <si>
    <t>CANOLA</t>
  </si>
  <si>
    <t>Planted Acreage of Canola Planted in the United States (million acres)</t>
  </si>
  <si>
    <t>Total Volume of Canola Grown in the U.S. (million metric tons)</t>
  </si>
  <si>
    <t>Total volume of Canola consumption (million metric tons)</t>
  </si>
  <si>
    <t>Canola imports (million metric tons)</t>
  </si>
  <si>
    <t>Canola exports (million metric tons)</t>
  </si>
  <si>
    <t>Volume of Canola Crushed (million metric tons)</t>
  </si>
  <si>
    <t>Canola into Biofuels</t>
  </si>
  <si>
    <t>Canola Oil Going to Biodiesel (million metric tons)</t>
  </si>
  <si>
    <t>Percent Canola Oil Used for Biodiesel</t>
  </si>
  <si>
    <t>Calculation (Oil for biodiesel/total oil)</t>
  </si>
  <si>
    <t>Average Canola Price (dollar per metric tons)</t>
  </si>
  <si>
    <t>Canola Oil Price (dollars per metric ton)</t>
  </si>
  <si>
    <t>Total Volume of Canola Grown in the U.S. (billion dollars)</t>
  </si>
  <si>
    <t>https://quickstats.nass.usda.gov/results/3E507DA6-3070-3BED-B57D-AF15AA455D65</t>
  </si>
  <si>
    <t>Value of Canola Used for Biodiesel (billion dollars)</t>
  </si>
  <si>
    <t>SUNFLOWERS</t>
  </si>
  <si>
    <t>Planted Acreage of Sunflower Planted in the United States (million acres)</t>
  </si>
  <si>
    <t>Total Volume of Sunflowers Grown in the US (million metric tons)</t>
  </si>
  <si>
    <t>Total volume of Sunflowers consumption (million metric tons)</t>
  </si>
  <si>
    <t>Sunflowers imports (million metric tons)</t>
  </si>
  <si>
    <t>Sunflowers exports (million metric tons)</t>
  </si>
  <si>
    <t>Volume of Sunflowers Crushed (million metric tons)</t>
  </si>
  <si>
    <t>Average Sunflowers Price (dollar per metric tons)</t>
  </si>
  <si>
    <t>Sunflower Oil Price (dollars per metric ton)</t>
  </si>
  <si>
    <t>Total Volume of Sunflowers Grown in the US (billion dollars)</t>
  </si>
  <si>
    <t>PEANUTS</t>
  </si>
  <si>
    <t>Planted Acreage of Peanuts Planted in the United States (million acres)</t>
  </si>
  <si>
    <t>Total Volume of Peanuts Grown in the U.S. (million metric tons)</t>
  </si>
  <si>
    <t>Total volume of Peanuts consumption (million metric tons)</t>
  </si>
  <si>
    <t>Peanuts imports (million metric tons)</t>
  </si>
  <si>
    <t>Peanuts exports (million metric tons)</t>
  </si>
  <si>
    <t>Volume of Peanuts Crushed (million metric tons)</t>
  </si>
  <si>
    <t>Average Peanuts Price (dollar per metric tons)</t>
  </si>
  <si>
    <t>Peanut Oil Price (dollars per metric ton)</t>
  </si>
  <si>
    <t>Total Volume of Peanuts Grown in the U.S. (billion dollars)</t>
  </si>
  <si>
    <t>COTTON</t>
  </si>
  <si>
    <t>Planted Acreage of Cotton Planted in the United States (million acres)</t>
  </si>
  <si>
    <t>Total Volume of Cotton Grown in the US (million metric tons)</t>
  </si>
  <si>
    <t>Total volume of Cotton consumption (million metric tons)</t>
  </si>
  <si>
    <t>Cotton imports (million metric tons)</t>
  </si>
  <si>
    <t>Cotton exports (million metric tons)</t>
  </si>
  <si>
    <t>Volume of Cottonseed Crushed  (million metric tons)</t>
  </si>
  <si>
    <t>Average Cotton Price (dollar per metric tons)</t>
  </si>
  <si>
    <t>Cottonseed Oil Price (dollars per metric ton)</t>
  </si>
  <si>
    <t>Total Volume of Cotton Grown in the US (billion dollars)</t>
  </si>
  <si>
    <t>https://quickstats.nass.usda.gov/results/453C1E4E-CA2D-37D4-AE93-56531E28FED8</t>
  </si>
  <si>
    <t>Number of Farms Growing Sorghum in the United States (thousand farms)</t>
  </si>
  <si>
    <t>https://quickstats.nass.usda.gov/results/4FF74281-332C-3441-88F0-C0D86B06FC6F</t>
  </si>
  <si>
    <t>Number of Farms Growing Barley in the United States (thousand farms)</t>
  </si>
  <si>
    <t>https://quickstats.nass.usda.gov/results/F560C69D-E59A-302C-8EBF-A1DD58243BD2</t>
  </si>
  <si>
    <t>Number of Farms Growing Wheat in the United States (thousand farms)</t>
  </si>
  <si>
    <t>Number of Farms Growing Soy in the United States (thousand farms)</t>
  </si>
  <si>
    <t>https://quickstats.nass.usda.gov/results/110FC2E2-86FA-3DD3-9E05-1D109EDE0FFD</t>
  </si>
  <si>
    <t>https://quickstats.nass.usda.gov/results/924115B3-CA65-385F-877C-351EC14F9F6B</t>
  </si>
  <si>
    <t>Number of Farms Growing Canola in the United States (thousand farms)</t>
  </si>
  <si>
    <t>https://quickstats.nass.usda.gov/results/D152A1E1-36F0-3C4E-889E-CC202E0A2E27</t>
  </si>
  <si>
    <t>Number of Farms Growing Cotton  in the United States (thousand farms)</t>
  </si>
  <si>
    <t>https://quickstats.nass.usda.gov/results/EBCC6EA4-210F-34A1-B822-4B50728DA70D</t>
  </si>
  <si>
    <t>Number of Farms Growing Peanuts in the United States (thousand farms)</t>
  </si>
  <si>
    <t>https://quickstats.nass.usda.gov/results/D8B4A523-8516-3545-ACC8-8CB860F8EAAE</t>
  </si>
  <si>
    <t>Number of Farms Growing Sunflowers in the United States (thousand farms)</t>
  </si>
  <si>
    <t>https://quickstats.nass.usda.gov/results/2EE254E7-6090-3BDD-AEDA-0C962B3A0E6C</t>
  </si>
  <si>
    <t>Retrieved January 2026
1 cwt = 0.0508023 metric ton</t>
  </si>
  <si>
    <t>Volume of Sunflowers Nonoil use and seed (million metric tons)</t>
  </si>
  <si>
    <t>Volume of Peanuts Food (million metric tons)</t>
  </si>
  <si>
    <t>Volume of Peanuts Seed, loss, shrinkage, and residual (million metric tons)</t>
  </si>
  <si>
    <t xml:space="preserve">     Peanut candy</t>
  </si>
  <si>
    <t xml:space="preserve">     Snack peanuts</t>
  </si>
  <si>
    <t xml:space="preserve">     Peanut butter</t>
  </si>
  <si>
    <t xml:space="preserve">     Other uses</t>
  </si>
  <si>
    <t xml:space="preserve">     Clean in-shell</t>
  </si>
  <si>
    <t>Index Mundi</t>
  </si>
  <si>
    <t>https://www.indexmundi.com/commodities/?commodity=peanut-oil&amp;months=240</t>
  </si>
  <si>
    <t>Retrieved January 2026
1 short ton=0.907185 metric tons</t>
  </si>
  <si>
    <t>Volume of Cottonseed  Other  (million metric tons)</t>
  </si>
  <si>
    <t>https://www.eia.gov/biofuels/biomass/?year=2024&amp;month=12#table_data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</si>
</sst>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0.000000000000000"/>
    <numFmt numFmtId="166" formatCode="#,##0.0"/>
    <numFmt numFmtId="167" formatCode="_(* #,##0_);_(* \(#,##0\);_(* &quot;-&quot;??_);_(@_)"/>
    <numFmt numFmtId="168" formatCode="#,##0\ \ \ \ \ \ \ \ \ "/>
    <numFmt numFmtId="169" formatCode="0.0000"/>
    <numFmt numFmtId="170" formatCode="0.000000000"/>
    <numFmt numFmtId="171" formatCode="0.000"/>
    <numFmt numFmtId="172" formatCode="0.0%"/>
  </numFmts>
  <fonts count="10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u/>
      <sz val="12"/>
      <color theme="10"/>
      <name val="Arial"/>
      <family val="2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9"/>
      <color theme="1"/>
      <name val="Times New Roman"/>
      <family val="1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Arial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rgb="FF0563C1"/>
      <name val="Calibri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9"/>
      <color rgb="FF212529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0"/>
      <name val="Arial"/>
    </font>
    <font>
      <sz val="12"/>
      <color rgb="FF08306C"/>
      <name val="Arial"/>
    </font>
    <font>
      <sz val="12"/>
      <color theme="1"/>
      <name val="Arial"/>
    </font>
    <font>
      <u/>
      <sz val="12"/>
      <color rgb="FF08306C"/>
      <name val="Arial"/>
    </font>
    <font>
      <sz val="11"/>
      <color theme="1"/>
      <name val="Calibri"/>
    </font>
    <font>
      <sz val="8"/>
      <color rgb="FF7F7F7F"/>
      <name val="Calibri"/>
      <family val="2"/>
    </font>
    <font>
      <sz val="10"/>
      <name val="Arial"/>
      <family val="2"/>
    </font>
    <font>
      <sz val="12"/>
      <name val="Arial"/>
      <family val="2"/>
    </font>
    <font>
      <sz val="12"/>
      <name val="Helv"/>
    </font>
    <font>
      <sz val="12"/>
      <color rgb="FF5A5C5E"/>
      <name val="Pangea Text"/>
    </font>
    <font>
      <u/>
      <sz val="11"/>
      <color rgb="FF0563C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08306C"/>
        <bgColor rgb="FF08306C"/>
      </patternFill>
    </fill>
    <fill>
      <patternFill patternType="solid">
        <fgColor rgb="FF993404"/>
        <bgColor rgb="FF993404"/>
      </patternFill>
    </fill>
    <fill>
      <patternFill patternType="solid">
        <fgColor rgb="FFC00000"/>
        <bgColor rgb="FFC0000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44546A"/>
        <bgColor rgb="FF44546A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441B"/>
        <bgColor rgb="FF00441B"/>
      </patternFill>
    </fill>
    <fill>
      <patternFill patternType="solid">
        <fgColor rgb="FFFFFFFF"/>
        <bgColor indexed="64"/>
      </patternFill>
    </fill>
    <fill>
      <patternFill patternType="solid">
        <fgColor rgb="FF666666"/>
        <bgColor rgb="FF666666"/>
      </patternFill>
    </fill>
    <fill>
      <patternFill patternType="solid">
        <fgColor rgb="FF00441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F7F7F"/>
        <bgColor indexed="6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1F2F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75" fillId="0" borderId="0" applyNumberFormat="0" applyFill="0" applyBorder="0" applyAlignment="0" applyProtection="0"/>
    <xf numFmtId="0" fontId="79" fillId="0" borderId="3"/>
    <xf numFmtId="9" fontId="35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3" fillId="0" borderId="3"/>
    <xf numFmtId="43" fontId="90" fillId="0" borderId="3" applyFont="0" applyFill="0" applyBorder="0" applyAlignment="0" applyProtection="0"/>
    <xf numFmtId="0" fontId="90" fillId="0" borderId="3"/>
    <xf numFmtId="0" fontId="91" fillId="0" borderId="3"/>
    <xf numFmtId="0" fontId="90" fillId="0" borderId="3"/>
    <xf numFmtId="9" fontId="3" fillId="0" borderId="3" applyFont="0" applyFill="0" applyBorder="0" applyAlignment="0" applyProtection="0"/>
    <xf numFmtId="0" fontId="92" fillId="0" borderId="3"/>
  </cellStyleXfs>
  <cellXfs count="646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6" fillId="2" borderId="1" xfId="0" applyFont="1" applyFill="1" applyBorder="1"/>
    <xf numFmtId="0" fontId="5" fillId="0" borderId="0" xfId="0" applyFont="1" applyAlignment="1">
      <alignment horizontal="left"/>
    </xf>
    <xf numFmtId="164" fontId="5" fillId="0" borderId="0" xfId="0" applyNumberFormat="1" applyFont="1"/>
    <xf numFmtId="2" fontId="5" fillId="0" borderId="0" xfId="0" applyNumberFormat="1" applyFont="1"/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/>
    <xf numFmtId="164" fontId="8" fillId="3" borderId="1" xfId="0" applyNumberFormat="1" applyFont="1" applyFill="1" applyBorder="1"/>
    <xf numFmtId="2" fontId="8" fillId="3" borderId="1" xfId="0" applyNumberFormat="1" applyFont="1" applyFill="1" applyBorder="1"/>
    <xf numFmtId="0" fontId="9" fillId="0" borderId="0" xfId="0" applyFont="1" applyAlignment="1">
      <alignment horizontal="left"/>
    </xf>
    <xf numFmtId="0" fontId="6" fillId="0" borderId="0" xfId="0" applyFont="1"/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/>
    <xf numFmtId="164" fontId="8" fillId="4" borderId="1" xfId="0" applyNumberFormat="1" applyFont="1" applyFill="1" applyBorder="1"/>
    <xf numFmtId="2" fontId="8" fillId="4" borderId="1" xfId="0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7" fillId="5" borderId="1" xfId="0" applyFont="1" applyFill="1" applyBorder="1" applyAlignment="1">
      <alignment horizontal="left"/>
    </xf>
    <xf numFmtId="0" fontId="8" fillId="5" borderId="1" xfId="0" applyFont="1" applyFill="1" applyBorder="1"/>
    <xf numFmtId="164" fontId="8" fillId="5" borderId="1" xfId="0" applyNumberFormat="1" applyFont="1" applyFill="1" applyBorder="1"/>
    <xf numFmtId="2" fontId="8" fillId="5" borderId="1" xfId="0" applyNumberFormat="1" applyFont="1" applyFill="1" applyBorder="1"/>
    <xf numFmtId="0" fontId="11" fillId="0" borderId="0" xfId="0" applyFont="1" applyAlignment="1">
      <alignment horizontal="left" vertical="center"/>
    </xf>
    <xf numFmtId="1" fontId="11" fillId="0" borderId="0" xfId="0" applyNumberFormat="1" applyFont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7" xfId="0" applyFont="1" applyBorder="1" applyAlignment="1">
      <alignment wrapText="1"/>
    </xf>
    <xf numFmtId="0" fontId="11" fillId="0" borderId="4" xfId="0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7" xfId="0" applyFont="1" applyBorder="1"/>
    <xf numFmtId="1" fontId="11" fillId="0" borderId="4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8" borderId="11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center" vertical="center"/>
    </xf>
    <xf numFmtId="165" fontId="11" fillId="8" borderId="12" xfId="0" applyNumberFormat="1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 wrapText="1"/>
    </xf>
    <xf numFmtId="0" fontId="11" fillId="8" borderId="13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2" fontId="11" fillId="0" borderId="0" xfId="0" applyNumberFormat="1" applyFont="1" applyAlignment="1">
      <alignment horizontal="left" vertical="center"/>
    </xf>
    <xf numFmtId="0" fontId="20" fillId="0" borderId="4" xfId="0" applyFont="1" applyBorder="1" applyAlignment="1">
      <alignment horizontal="left" vertical="center" wrapText="1"/>
    </xf>
    <xf numFmtId="0" fontId="11" fillId="8" borderId="12" xfId="0" applyFont="1" applyFill="1" applyBorder="1" applyAlignment="1">
      <alignment horizontal="left" vertical="center"/>
    </xf>
    <xf numFmtId="0" fontId="21" fillId="0" borderId="5" xfId="0" applyFont="1" applyBorder="1"/>
    <xf numFmtId="0" fontId="23" fillId="0" borderId="0" xfId="0" applyFont="1" applyAlignment="1">
      <alignment horizontal="left" vertical="center"/>
    </xf>
    <xf numFmtId="0" fontId="25" fillId="0" borderId="4" xfId="0" applyFont="1" applyBorder="1"/>
    <xf numFmtId="0" fontId="11" fillId="0" borderId="0" xfId="0" applyFont="1"/>
    <xf numFmtId="0" fontId="26" fillId="0" borderId="0" xfId="0" applyFont="1"/>
    <xf numFmtId="3" fontId="11" fillId="0" borderId="4" xfId="0" applyNumberFormat="1" applyFont="1" applyBorder="1" applyAlignment="1">
      <alignment horizontal="center" vertical="center"/>
    </xf>
    <xf numFmtId="0" fontId="27" fillId="0" borderId="4" xfId="0" applyFont="1" applyBorder="1"/>
    <xf numFmtId="0" fontId="11" fillId="0" borderId="9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 wrapText="1"/>
    </xf>
    <xf numFmtId="0" fontId="29" fillId="0" borderId="4" xfId="0" applyFont="1" applyBorder="1" applyAlignment="1">
      <alignment wrapText="1"/>
    </xf>
    <xf numFmtId="0" fontId="13" fillId="0" borderId="7" xfId="0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0" fontId="30" fillId="0" borderId="4" xfId="0" applyFont="1" applyBorder="1" applyAlignment="1">
      <alignment horizontal="left" vertical="center"/>
    </xf>
    <xf numFmtId="0" fontId="31" fillId="0" borderId="4" xfId="0" applyFont="1" applyBorder="1" applyAlignment="1">
      <alignment horizontal="left" vertical="center" wrapText="1"/>
    </xf>
    <xf numFmtId="0" fontId="32" fillId="0" borderId="0" xfId="0" applyFont="1" applyAlignment="1">
      <alignment horizontal="right" vertical="center" wrapText="1"/>
    </xf>
    <xf numFmtId="1" fontId="11" fillId="0" borderId="0" xfId="0" applyNumberFormat="1" applyFont="1"/>
    <xf numFmtId="0" fontId="11" fillId="0" borderId="5" xfId="0" applyFont="1" applyBorder="1" applyAlignment="1">
      <alignment horizontal="left" vertical="center" wrapText="1"/>
    </xf>
    <xf numFmtId="1" fontId="11" fillId="0" borderId="4" xfId="0" applyNumberFormat="1" applyFont="1" applyBorder="1"/>
    <xf numFmtId="0" fontId="13" fillId="0" borderId="4" xfId="0" applyFont="1" applyBorder="1" applyAlignment="1">
      <alignment horizontal="left" vertical="center"/>
    </xf>
    <xf numFmtId="0" fontId="37" fillId="0" borderId="0" xfId="0" applyFont="1"/>
    <xf numFmtId="164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left" vertical="center" wrapText="1"/>
    </xf>
    <xf numFmtId="0" fontId="46" fillId="0" borderId="4" xfId="0" applyFont="1" applyBorder="1" applyAlignment="1">
      <alignment wrapText="1"/>
    </xf>
    <xf numFmtId="0" fontId="47" fillId="0" borderId="4" xfId="0" applyFont="1" applyBorder="1"/>
    <xf numFmtId="16" fontId="11" fillId="0" borderId="0" xfId="0" applyNumberFormat="1" applyFont="1" applyAlignment="1">
      <alignment horizontal="left" vertical="center"/>
    </xf>
    <xf numFmtId="0" fontId="48" fillId="0" borderId="0" xfId="0" applyFont="1"/>
    <xf numFmtId="0" fontId="11" fillId="0" borderId="4" xfId="0" applyFont="1" applyBorder="1" applyAlignment="1">
      <alignment horizontal="center"/>
    </xf>
    <xf numFmtId="0" fontId="11" fillId="8" borderId="19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1" fillId="8" borderId="20" xfId="0" applyFont="1" applyFill="1" applyBorder="1" applyAlignment="1">
      <alignment horizontal="left" vertical="center"/>
    </xf>
    <xf numFmtId="0" fontId="49" fillId="0" borderId="0" xfId="0" applyFont="1"/>
    <xf numFmtId="0" fontId="50" fillId="0" borderId="0" xfId="0" applyFont="1"/>
    <xf numFmtId="0" fontId="52" fillId="0" borderId="4" xfId="0" applyFont="1" applyBorder="1"/>
    <xf numFmtId="0" fontId="11" fillId="0" borderId="8" xfId="0" applyFont="1" applyBorder="1"/>
    <xf numFmtId="0" fontId="54" fillId="0" borderId="4" xfId="0" applyFont="1" applyBorder="1" applyAlignment="1">
      <alignment wrapText="1"/>
    </xf>
    <xf numFmtId="0" fontId="55" fillId="0" borderId="7" xfId="0" applyFont="1" applyBorder="1" applyAlignment="1">
      <alignment wrapText="1"/>
    </xf>
    <xf numFmtId="0" fontId="11" fillId="8" borderId="20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center"/>
    </xf>
    <xf numFmtId="0" fontId="56" fillId="0" borderId="4" xfId="0" applyFont="1" applyBorder="1"/>
    <xf numFmtId="0" fontId="57" fillId="0" borderId="4" xfId="0" applyFont="1" applyBorder="1" applyAlignment="1">
      <alignment wrapText="1"/>
    </xf>
    <xf numFmtId="0" fontId="58" fillId="0" borderId="7" xfId="0" applyFont="1" applyBorder="1" applyAlignment="1">
      <alignment wrapText="1"/>
    </xf>
    <xf numFmtId="0" fontId="59" fillId="0" borderId="7" xfId="0" applyFont="1" applyBorder="1" applyAlignment="1">
      <alignment wrapText="1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left" vertical="center" wrapText="1"/>
    </xf>
    <xf numFmtId="3" fontId="11" fillId="0" borderId="9" xfId="0" applyNumberFormat="1" applyFont="1" applyBorder="1" applyAlignment="1">
      <alignment horizontal="center" vertical="center"/>
    </xf>
    <xf numFmtId="0" fontId="61" fillId="0" borderId="9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 wrapText="1"/>
    </xf>
    <xf numFmtId="0" fontId="62" fillId="0" borderId="4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0" fontId="63" fillId="0" borderId="4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65" fillId="0" borderId="0" xfId="0" applyFont="1"/>
    <xf numFmtId="0" fontId="65" fillId="0" borderId="10" xfId="0" applyFont="1" applyBorder="1"/>
    <xf numFmtId="0" fontId="13" fillId="0" borderId="7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0" fontId="13" fillId="0" borderId="9" xfId="0" applyFont="1" applyBorder="1" applyAlignment="1">
      <alignment horizontal="center" vertical="center"/>
    </xf>
    <xf numFmtId="0" fontId="67" fillId="0" borderId="5" xfId="0" applyFont="1" applyBorder="1" applyAlignment="1">
      <alignment horizontal="left" vertical="center" wrapText="1"/>
    </xf>
    <xf numFmtId="0" fontId="68" fillId="0" borderId="5" xfId="0" applyFont="1" applyBorder="1" applyAlignment="1">
      <alignment horizontal="left" vertical="center" wrapText="1"/>
    </xf>
    <xf numFmtId="0" fontId="69" fillId="0" borderId="5" xfId="0" applyFont="1" applyBorder="1" applyAlignment="1">
      <alignment horizontal="left" vertical="center" wrapText="1"/>
    </xf>
    <xf numFmtId="3" fontId="11" fillId="0" borderId="7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70" fillId="0" borderId="0" xfId="0" applyFont="1" applyAlignment="1">
      <alignment horizontal="left" vertical="center" wrapText="1"/>
    </xf>
    <xf numFmtId="0" fontId="13" fillId="11" borderId="0" xfId="0" applyFont="1" applyFill="1"/>
    <xf numFmtId="0" fontId="13" fillId="11" borderId="4" xfId="0" applyFont="1" applyFill="1" applyBorder="1" applyAlignment="1">
      <alignment wrapText="1"/>
    </xf>
    <xf numFmtId="0" fontId="13" fillId="11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wrapText="1"/>
    </xf>
    <xf numFmtId="0" fontId="11" fillId="0" borderId="8" xfId="0" applyFont="1" applyBorder="1" applyAlignment="1">
      <alignment horizontal="right"/>
    </xf>
    <xf numFmtId="0" fontId="11" fillId="8" borderId="8" xfId="0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wrapText="1"/>
    </xf>
    <xf numFmtId="0" fontId="11" fillId="0" borderId="15" xfId="0" applyFont="1" applyBorder="1" applyAlignment="1">
      <alignment horizontal="left" vertical="center" wrapText="1"/>
    </xf>
    <xf numFmtId="0" fontId="15" fillId="0" borderId="14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3" fillId="0" borderId="18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/>
    </xf>
    <xf numFmtId="0" fontId="11" fillId="0" borderId="23" xfId="0" applyFont="1" applyBorder="1"/>
    <xf numFmtId="0" fontId="21" fillId="0" borderId="23" xfId="0" applyFont="1" applyBorder="1"/>
    <xf numFmtId="0" fontId="11" fillId="0" borderId="23" xfId="0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11" fillId="0" borderId="23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25" fillId="0" borderId="23" xfId="0" applyFont="1" applyBorder="1"/>
    <xf numFmtId="0" fontId="13" fillId="0" borderId="6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33" fillId="0" borderId="16" xfId="0" applyFont="1" applyBorder="1" applyAlignment="1">
      <alignment horizontal="left" vertical="center" wrapText="1"/>
    </xf>
    <xf numFmtId="0" fontId="34" fillId="0" borderId="4" xfId="0" applyFont="1" applyBorder="1"/>
    <xf numFmtId="1" fontId="11" fillId="0" borderId="4" xfId="0" applyNumberFormat="1" applyFont="1" applyBorder="1" applyAlignment="1">
      <alignment horizontal="left" vertical="center"/>
    </xf>
    <xf numFmtId="1" fontId="11" fillId="0" borderId="4" xfId="0" applyNumberFormat="1" applyFont="1" applyBorder="1" applyAlignment="1">
      <alignment horizontal="center"/>
    </xf>
    <xf numFmtId="0" fontId="35" fillId="0" borderId="0" xfId="0" applyFont="1"/>
    <xf numFmtId="0" fontId="36" fillId="0" borderId="16" xfId="0" applyFont="1" applyBorder="1" applyAlignment="1">
      <alignment horizontal="left" vertical="center" wrapText="1"/>
    </xf>
    <xf numFmtId="1" fontId="11" fillId="0" borderId="16" xfId="0" applyNumberFormat="1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left" vertical="center" wrapText="1"/>
    </xf>
    <xf numFmtId="0" fontId="39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/>
    </xf>
    <xf numFmtId="0" fontId="11" fillId="0" borderId="6" xfId="0" applyFont="1" applyBorder="1"/>
    <xf numFmtId="0" fontId="11" fillId="0" borderId="7" xfId="0" applyFont="1" applyBorder="1" applyAlignment="1">
      <alignment horizontal="left" vertical="center"/>
    </xf>
    <xf numFmtId="0" fontId="44" fillId="0" borderId="7" xfId="0" applyFont="1" applyBorder="1" applyAlignment="1">
      <alignment horizontal="left" vertical="center" wrapText="1"/>
    </xf>
    <xf numFmtId="0" fontId="45" fillId="0" borderId="4" xfId="0" applyFont="1" applyBorder="1"/>
    <xf numFmtId="0" fontId="51" fillId="0" borderId="4" xfId="0" applyFont="1" applyBorder="1" applyAlignment="1">
      <alignment horizontal="left" vertical="center" wrapText="1"/>
    </xf>
    <xf numFmtId="0" fontId="11" fillId="8" borderId="16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1" fillId="0" borderId="14" xfId="0" applyFont="1" applyBorder="1" applyAlignment="1">
      <alignment wrapText="1"/>
    </xf>
    <xf numFmtId="0" fontId="13" fillId="0" borderId="23" xfId="0" applyFont="1" applyBorder="1" applyAlignment="1">
      <alignment horizontal="center" wrapText="1"/>
    </xf>
    <xf numFmtId="0" fontId="66" fillId="0" borderId="23" xfId="0" applyFont="1" applyBorder="1"/>
    <xf numFmtId="0" fontId="11" fillId="8" borderId="22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13" fillId="0" borderId="23" xfId="0" applyFont="1" applyBorder="1" applyAlignment="1">
      <alignment horizontal="center"/>
    </xf>
    <xf numFmtId="3" fontId="11" fillId="0" borderId="23" xfId="0" applyNumberFormat="1" applyFont="1" applyBorder="1" applyAlignment="1">
      <alignment horizontal="center"/>
    </xf>
    <xf numFmtId="0" fontId="11" fillId="0" borderId="23" xfId="0" applyFont="1" applyBorder="1" applyAlignment="1">
      <alignment wrapText="1"/>
    </xf>
    <xf numFmtId="0" fontId="13" fillId="0" borderId="17" xfId="0" applyFont="1" applyBorder="1" applyAlignment="1">
      <alignment horizontal="center" vertical="center"/>
    </xf>
    <xf numFmtId="0" fontId="71" fillId="0" borderId="4" xfId="0" applyFont="1" applyBorder="1" applyAlignment="1">
      <alignment wrapText="1"/>
    </xf>
    <xf numFmtId="0" fontId="72" fillId="0" borderId="4" xfId="0" applyFont="1" applyBorder="1"/>
    <xf numFmtId="0" fontId="64" fillId="12" borderId="3" xfId="0" applyFont="1" applyFill="1" applyBorder="1" applyAlignment="1">
      <alignment horizontal="left"/>
    </xf>
    <xf numFmtId="0" fontId="10" fillId="12" borderId="3" xfId="0" applyFont="1" applyFill="1" applyBorder="1"/>
    <xf numFmtId="164" fontId="10" fillId="12" borderId="3" xfId="0" applyNumberFormat="1" applyFont="1" applyFill="1" applyBorder="1"/>
    <xf numFmtId="0" fontId="10" fillId="12" borderId="3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13" fillId="12" borderId="3" xfId="0" applyFont="1" applyFill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12" borderId="3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3" fontId="74" fillId="0" borderId="4" xfId="0" applyNumberFormat="1" applyFont="1" applyBorder="1"/>
    <xf numFmtId="0" fontId="13" fillId="0" borderId="4" xfId="0" applyFont="1" applyBorder="1"/>
    <xf numFmtId="168" fontId="74" fillId="0" borderId="4" xfId="0" applyNumberFormat="1" applyFont="1" applyBorder="1" applyAlignment="1">
      <alignment horizontal="right"/>
    </xf>
    <xf numFmtId="0" fontId="11" fillId="12" borderId="3" xfId="0" applyFont="1" applyFill="1" applyBorder="1"/>
    <xf numFmtId="4" fontId="11" fillId="0" borderId="0" xfId="0" applyNumberFormat="1" applyFont="1" applyAlignment="1">
      <alignment horizontal="center"/>
    </xf>
    <xf numFmtId="0" fontId="11" fillId="0" borderId="15" xfId="0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" fontId="11" fillId="0" borderId="23" xfId="0" applyNumberFormat="1" applyFont="1" applyBorder="1" applyAlignment="1">
      <alignment horizontal="center"/>
    </xf>
    <xf numFmtId="0" fontId="13" fillId="0" borderId="23" xfId="0" applyFont="1" applyBorder="1" applyAlignment="1">
      <alignment horizontal="center" vertical="center"/>
    </xf>
    <xf numFmtId="0" fontId="18" fillId="0" borderId="4" xfId="0" applyFont="1" applyBorder="1"/>
    <xf numFmtId="0" fontId="75" fillId="0" borderId="7" xfId="1" applyBorder="1" applyAlignment="1">
      <alignment horizontal="left" vertical="center" wrapText="1"/>
    </xf>
    <xf numFmtId="0" fontId="75" fillId="0" borderId="4" xfId="1" applyBorder="1" applyAlignment="1">
      <alignment horizontal="left" vertical="center" wrapText="1"/>
    </xf>
    <xf numFmtId="166" fontId="11" fillId="0" borderId="7" xfId="0" applyNumberFormat="1" applyFont="1" applyBorder="1" applyAlignment="1">
      <alignment horizontal="center" vertical="center"/>
    </xf>
    <xf numFmtId="0" fontId="75" fillId="0" borderId="4" xfId="1" applyBorder="1"/>
    <xf numFmtId="3" fontId="11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3" fontId="74" fillId="0" borderId="15" xfId="0" applyNumberFormat="1" applyFont="1" applyBorder="1"/>
    <xf numFmtId="168" fontId="74" fillId="0" borderId="15" xfId="0" applyNumberFormat="1" applyFont="1" applyBorder="1" applyAlignment="1">
      <alignment horizontal="right"/>
    </xf>
    <xf numFmtId="0" fontId="31" fillId="0" borderId="4" xfId="0" applyFont="1" applyBorder="1"/>
    <xf numFmtId="0" fontId="11" fillId="0" borderId="5" xfId="0" applyFont="1" applyBorder="1"/>
    <xf numFmtId="0" fontId="40" fillId="0" borderId="5" xfId="0" applyFont="1" applyBorder="1" applyAlignment="1">
      <alignment horizontal="left" wrapText="1"/>
    </xf>
    <xf numFmtId="0" fontId="41" fillId="0" borderId="5" xfId="0" applyFont="1" applyBorder="1" applyAlignment="1">
      <alignment horizontal="left" wrapText="1"/>
    </xf>
    <xf numFmtId="0" fontId="42" fillId="0" borderId="4" xfId="0" applyFont="1" applyBorder="1" applyAlignment="1">
      <alignment horizontal="left"/>
    </xf>
    <xf numFmtId="0" fontId="11" fillId="8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9" fillId="0" borderId="2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 wrapText="1"/>
    </xf>
    <xf numFmtId="0" fontId="11" fillId="7" borderId="23" xfId="0" applyFont="1" applyFill="1" applyBorder="1" applyAlignment="1">
      <alignment horizontal="left" vertical="center"/>
    </xf>
    <xf numFmtId="0" fontId="77" fillId="0" borderId="0" xfId="0" applyFont="1"/>
    <xf numFmtId="0" fontId="76" fillId="0" borderId="4" xfId="0" applyFont="1" applyBorder="1" applyAlignment="1">
      <alignment horizontal="left" vertical="center"/>
    </xf>
    <xf numFmtId="0" fontId="75" fillId="0" borderId="0" xfId="1"/>
    <xf numFmtId="0" fontId="78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76" fillId="0" borderId="23" xfId="0" applyFont="1" applyBorder="1"/>
    <xf numFmtId="0" fontId="77" fillId="0" borderId="23" xfId="0" applyFont="1" applyBorder="1"/>
    <xf numFmtId="164" fontId="11" fillId="0" borderId="0" xfId="0" applyNumberFormat="1" applyFont="1" applyAlignment="1">
      <alignment horizontal="left" vertical="center"/>
    </xf>
    <xf numFmtId="169" fontId="11" fillId="0" borderId="0" xfId="0" applyNumberFormat="1" applyFont="1" applyAlignment="1">
      <alignment horizontal="left" vertical="center"/>
    </xf>
    <xf numFmtId="0" fontId="27" fillId="0" borderId="16" xfId="0" applyFont="1" applyBorder="1"/>
    <xf numFmtId="0" fontId="11" fillId="0" borderId="13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75" fillId="0" borderId="13" xfId="1" applyBorder="1" applyAlignment="1">
      <alignment horizontal="left" wrapText="1"/>
    </xf>
    <xf numFmtId="164" fontId="11" fillId="0" borderId="24" xfId="0" applyNumberFormat="1" applyFont="1" applyBorder="1" applyAlignment="1">
      <alignment horizontal="center"/>
    </xf>
    <xf numFmtId="0" fontId="11" fillId="0" borderId="8" xfId="0" applyFont="1" applyBorder="1" applyAlignment="1">
      <alignment horizontal="left" vertical="center" wrapText="1"/>
    </xf>
    <xf numFmtId="3" fontId="80" fillId="0" borderId="0" xfId="0" applyNumberFormat="1" applyFont="1"/>
    <xf numFmtId="3" fontId="76" fillId="0" borderId="4" xfId="0" applyNumberFormat="1" applyFont="1" applyBorder="1" applyAlignment="1">
      <alignment horizontal="center"/>
    </xf>
    <xf numFmtId="0" fontId="76" fillId="0" borderId="4" xfId="0" applyFont="1" applyBorder="1" applyAlignment="1">
      <alignment horizontal="center"/>
    </xf>
    <xf numFmtId="0" fontId="76" fillId="0" borderId="23" xfId="0" applyFont="1" applyBorder="1" applyAlignment="1">
      <alignment horizontal="center"/>
    </xf>
    <xf numFmtId="166" fontId="11" fillId="0" borderId="23" xfId="0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170" fontId="11" fillId="0" borderId="0" xfId="0" applyNumberFormat="1" applyFont="1" applyAlignment="1">
      <alignment horizontal="center"/>
    </xf>
    <xf numFmtId="9" fontId="11" fillId="0" borderId="0" xfId="3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171" fontId="11" fillId="0" borderId="0" xfId="0" applyNumberFormat="1" applyFont="1" applyAlignment="1">
      <alignment horizontal="left" vertical="center"/>
    </xf>
    <xf numFmtId="3" fontId="0" fillId="0" borderId="0" xfId="0" applyNumberFormat="1"/>
    <xf numFmtId="3" fontId="0" fillId="0" borderId="23" xfId="0" applyNumberFormat="1" applyBorder="1"/>
    <xf numFmtId="0" fontId="14" fillId="0" borderId="4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5" xfId="0" applyFont="1" applyBorder="1"/>
    <xf numFmtId="0" fontId="13" fillId="11" borderId="31" xfId="0" applyFont="1" applyFill="1" applyBorder="1"/>
    <xf numFmtId="0" fontId="11" fillId="0" borderId="31" xfId="0" applyFont="1" applyBorder="1"/>
    <xf numFmtId="0" fontId="11" fillId="0" borderId="17" xfId="0" applyFont="1" applyBorder="1" applyAlignment="1">
      <alignment wrapText="1"/>
    </xf>
    <xf numFmtId="0" fontId="11" fillId="0" borderId="32" xfId="0" applyFont="1" applyBorder="1"/>
    <xf numFmtId="0" fontId="11" fillId="0" borderId="33" xfId="0" applyFont="1" applyBorder="1" applyAlignment="1">
      <alignment horizontal="right"/>
    </xf>
    <xf numFmtId="0" fontId="11" fillId="0" borderId="33" xfId="0" applyFont="1" applyBorder="1" applyAlignment="1">
      <alignment wrapText="1"/>
    </xf>
    <xf numFmtId="0" fontId="11" fillId="0" borderId="33" xfId="0" applyFont="1" applyBorder="1"/>
    <xf numFmtId="0" fontId="11" fillId="0" borderId="34" xfId="0" applyFont="1" applyBorder="1" applyAlignment="1">
      <alignment wrapText="1"/>
    </xf>
    <xf numFmtId="0" fontId="13" fillId="15" borderId="29" xfId="0" applyFont="1" applyFill="1" applyBorder="1" applyAlignment="1">
      <alignment horizontal="center"/>
    </xf>
    <xf numFmtId="0" fontId="13" fillId="15" borderId="28" xfId="0" applyFont="1" applyFill="1" applyBorder="1" applyAlignment="1">
      <alignment horizontal="center" wrapText="1"/>
    </xf>
    <xf numFmtId="0" fontId="13" fillId="15" borderId="29" xfId="0" applyFont="1" applyFill="1" applyBorder="1" applyAlignment="1">
      <alignment horizontal="center" wrapText="1"/>
    </xf>
    <xf numFmtId="0" fontId="13" fillId="15" borderId="30" xfId="0" applyFont="1" applyFill="1" applyBorder="1" applyAlignment="1">
      <alignment horizontal="center" wrapText="1"/>
    </xf>
    <xf numFmtId="0" fontId="13" fillId="15" borderId="28" xfId="0" applyFont="1" applyFill="1" applyBorder="1"/>
    <xf numFmtId="0" fontId="13" fillId="11" borderId="27" xfId="0" applyFont="1" applyFill="1" applyBorder="1"/>
    <xf numFmtId="0" fontId="0" fillId="0" borderId="23" xfId="0" applyBorder="1" applyAlignment="1">
      <alignment wrapText="1"/>
    </xf>
    <xf numFmtId="0" fontId="0" fillId="14" borderId="23" xfId="0" applyFill="1" applyBorder="1" applyAlignment="1">
      <alignment wrapText="1"/>
    </xf>
    <xf numFmtId="0" fontId="11" fillId="14" borderId="4" xfId="0" applyFont="1" applyFill="1" applyBorder="1" applyAlignment="1">
      <alignment wrapText="1"/>
    </xf>
    <xf numFmtId="0" fontId="11" fillId="0" borderId="20" xfId="0" applyFont="1" applyBorder="1" applyAlignment="1">
      <alignment horizontal="right"/>
    </xf>
    <xf numFmtId="0" fontId="82" fillId="14" borderId="23" xfId="0" applyFont="1" applyFill="1" applyBorder="1" applyAlignment="1">
      <alignment wrapText="1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 applyAlignment="1">
      <alignment wrapText="1"/>
    </xf>
    <xf numFmtId="0" fontId="0" fillId="0" borderId="23" xfId="0" applyBorder="1"/>
    <xf numFmtId="0" fontId="11" fillId="0" borderId="15" xfId="0" applyFont="1" applyBorder="1" applyAlignment="1">
      <alignment wrapText="1"/>
    </xf>
    <xf numFmtId="0" fontId="0" fillId="0" borderId="25" xfId="0" applyBorder="1" applyAlignment="1">
      <alignment wrapText="1"/>
    </xf>
    <xf numFmtId="0" fontId="81" fillId="0" borderId="23" xfId="0" applyFont="1" applyBorder="1"/>
    <xf numFmtId="0" fontId="81" fillId="0" borderId="23" xfId="0" applyFont="1" applyBorder="1" applyAlignment="1">
      <alignment wrapText="1"/>
    </xf>
    <xf numFmtId="9" fontId="0" fillId="0" borderId="0" xfId="3" applyFont="1"/>
    <xf numFmtId="0" fontId="0" fillId="0" borderId="3" xfId="0" applyBorder="1"/>
    <xf numFmtId="9" fontId="11" fillId="0" borderId="0" xfId="3" applyFont="1" applyAlignment="1">
      <alignment horizontal="center" vertical="center"/>
    </xf>
    <xf numFmtId="0" fontId="84" fillId="16" borderId="0" xfId="0" applyFont="1" applyFill="1" applyAlignment="1">
      <alignment horizontal="left"/>
    </xf>
    <xf numFmtId="0" fontId="85" fillId="16" borderId="0" xfId="0" applyFont="1" applyFill="1"/>
    <xf numFmtId="0" fontId="86" fillId="16" borderId="0" xfId="0" applyFont="1" applyFill="1"/>
    <xf numFmtId="0" fontId="87" fillId="0" borderId="0" xfId="0" applyFont="1" applyAlignment="1">
      <alignment horizontal="left"/>
    </xf>
    <xf numFmtId="0" fontId="85" fillId="0" borderId="0" xfId="0" applyFont="1"/>
    <xf numFmtId="0" fontId="86" fillId="0" borderId="0" xfId="0" applyFont="1"/>
    <xf numFmtId="0" fontId="11" fillId="0" borderId="39" xfId="0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horizontal="center"/>
    </xf>
    <xf numFmtId="167" fontId="11" fillId="0" borderId="8" xfId="4" applyNumberFormat="1" applyFont="1" applyBorder="1" applyAlignment="1">
      <alignment horizontal="center"/>
    </xf>
    <xf numFmtId="0" fontId="11" fillId="0" borderId="4" xfId="0" applyFont="1" applyBorder="1" applyAlignment="1">
      <alignment horizontal="right" vertical="center"/>
    </xf>
    <xf numFmtId="164" fontId="11" fillId="0" borderId="4" xfId="0" applyNumberFormat="1" applyFont="1" applyBorder="1" applyAlignment="1">
      <alignment horizontal="right" vertical="center"/>
    </xf>
    <xf numFmtId="164" fontId="11" fillId="0" borderId="4" xfId="0" applyNumberFormat="1" applyFont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7" fontId="0" fillId="0" borderId="23" xfId="4" applyNumberFormat="1" applyFont="1" applyBorder="1"/>
    <xf numFmtId="1" fontId="0" fillId="0" borderId="23" xfId="0" applyNumberFormat="1" applyBorder="1"/>
    <xf numFmtId="0" fontId="11" fillId="6" borderId="4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24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11" fillId="0" borderId="23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1" fontId="11" fillId="0" borderId="4" xfId="0" applyNumberFormat="1" applyFont="1" applyBorder="1" applyAlignment="1">
      <alignment horizontal="right" vertical="center"/>
    </xf>
    <xf numFmtId="1" fontId="11" fillId="0" borderId="14" xfId="0" applyNumberFormat="1" applyFont="1" applyBorder="1" applyAlignment="1">
      <alignment horizontal="right" vertical="center"/>
    </xf>
    <xf numFmtId="166" fontId="11" fillId="0" borderId="4" xfId="0" applyNumberFormat="1" applyFont="1" applyBorder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3" fontId="11" fillId="0" borderId="4" xfId="0" applyNumberFormat="1" applyFont="1" applyBorder="1" applyAlignment="1">
      <alignment horizontal="right"/>
    </xf>
    <xf numFmtId="3" fontId="11" fillId="0" borderId="7" xfId="0" applyNumberFormat="1" applyFont="1" applyBorder="1" applyAlignment="1">
      <alignment horizontal="right"/>
    </xf>
    <xf numFmtId="3" fontId="11" fillId="0" borderId="17" xfId="0" applyNumberFormat="1" applyFont="1" applyBorder="1" applyAlignment="1">
      <alignment horizontal="right"/>
    </xf>
    <xf numFmtId="1" fontId="11" fillId="0" borderId="23" xfId="0" applyNumberFormat="1" applyFont="1" applyBorder="1" applyAlignment="1">
      <alignment horizontal="right" vertical="center"/>
    </xf>
    <xf numFmtId="1" fontId="11" fillId="0" borderId="3" xfId="0" applyNumberFormat="1" applyFont="1" applyBorder="1" applyAlignment="1">
      <alignment horizontal="right" vertical="center"/>
    </xf>
    <xf numFmtId="164" fontId="11" fillId="0" borderId="23" xfId="0" applyNumberFormat="1" applyFont="1" applyBorder="1" applyAlignment="1">
      <alignment horizontal="right" vertical="center"/>
    </xf>
    <xf numFmtId="2" fontId="11" fillId="0" borderId="23" xfId="0" applyNumberFormat="1" applyFont="1" applyBorder="1" applyAlignment="1">
      <alignment horizontal="right" vertical="center"/>
    </xf>
    <xf numFmtId="164" fontId="88" fillId="0" borderId="4" xfId="0" applyNumberFormat="1" applyFont="1" applyBorder="1" applyAlignment="1">
      <alignment horizontal="right" vertical="center"/>
    </xf>
    <xf numFmtId="167" fontId="11" fillId="0" borderId="23" xfId="4" applyNumberFormat="1" applyFont="1" applyBorder="1" applyAlignment="1">
      <alignment horizontal="right" vertical="center"/>
    </xf>
    <xf numFmtId="167" fontId="88" fillId="0" borderId="4" xfId="4" applyNumberFormat="1" applyFont="1" applyBorder="1" applyAlignment="1">
      <alignment horizontal="right" vertical="center"/>
    </xf>
    <xf numFmtId="0" fontId="88" fillId="0" borderId="4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1" fillId="6" borderId="15" xfId="0" applyFont="1" applyFill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11" fillId="6" borderId="9" xfId="0" applyFont="1" applyFill="1" applyBorder="1" applyAlignment="1">
      <alignment horizontal="right" vertical="center"/>
    </xf>
    <xf numFmtId="0" fontId="11" fillId="6" borderId="16" xfId="0" applyFont="1" applyFill="1" applyBorder="1" applyAlignment="1">
      <alignment horizontal="right" vertical="center"/>
    </xf>
    <xf numFmtId="164" fontId="11" fillId="0" borderId="16" xfId="0" applyNumberFormat="1" applyFont="1" applyBorder="1" applyAlignment="1">
      <alignment horizontal="right" vertical="center"/>
    </xf>
    <xf numFmtId="0" fontId="11" fillId="8" borderId="12" xfId="0" applyFont="1" applyFill="1" applyBorder="1" applyAlignment="1">
      <alignment horizontal="right" vertical="center"/>
    </xf>
    <xf numFmtId="164" fontId="11" fillId="8" borderId="12" xfId="0" applyNumberFormat="1" applyFont="1" applyFill="1" applyBorder="1" applyAlignment="1">
      <alignment horizontal="right" vertical="center"/>
    </xf>
    <xf numFmtId="164" fontId="11" fillId="8" borderId="16" xfId="0" applyNumberFormat="1" applyFont="1" applyFill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3" fillId="0" borderId="17" xfId="0" applyFont="1" applyBorder="1" applyAlignment="1">
      <alignment horizontal="right" vertical="center"/>
    </xf>
    <xf numFmtId="164" fontId="11" fillId="0" borderId="4" xfId="0" applyNumberFormat="1" applyFont="1" applyBorder="1" applyAlignment="1">
      <alignment horizontal="right"/>
    </xf>
    <xf numFmtId="164" fontId="11" fillId="0" borderId="5" xfId="0" applyNumberFormat="1" applyFont="1" applyBorder="1" applyAlignment="1">
      <alignment horizontal="right"/>
    </xf>
    <xf numFmtId="164" fontId="11" fillId="0" borderId="13" xfId="0" applyNumberFormat="1" applyFont="1" applyBorder="1" applyAlignment="1">
      <alignment horizontal="right"/>
    </xf>
    <xf numFmtId="167" fontId="11" fillId="0" borderId="4" xfId="4" applyNumberFormat="1" applyFont="1" applyBorder="1" applyAlignment="1">
      <alignment horizontal="right" vertical="center"/>
    </xf>
    <xf numFmtId="0" fontId="11" fillId="8" borderId="16" xfId="0" applyFont="1" applyFill="1" applyBorder="1" applyAlignment="1">
      <alignment horizontal="right" vertical="center"/>
    </xf>
    <xf numFmtId="164" fontId="26" fillId="0" borderId="4" xfId="0" applyNumberFormat="1" applyFont="1" applyBorder="1" applyAlignment="1">
      <alignment horizontal="right" vertical="center"/>
    </xf>
    <xf numFmtId="167" fontId="11" fillId="6" borderId="4" xfId="4" applyNumberFormat="1" applyFont="1" applyFill="1" applyBorder="1" applyAlignment="1">
      <alignment horizontal="right" vertical="center"/>
    </xf>
    <xf numFmtId="0" fontId="13" fillId="0" borderId="18" xfId="0" applyFont="1" applyBorder="1" applyAlignment="1">
      <alignment horizontal="right" vertical="center"/>
    </xf>
    <xf numFmtId="167" fontId="11" fillId="0" borderId="4" xfId="4" applyNumberFormat="1" applyFont="1" applyBorder="1" applyAlignment="1">
      <alignment horizontal="right"/>
    </xf>
    <xf numFmtId="167" fontId="11" fillId="0" borderId="5" xfId="4" applyNumberFormat="1" applyFont="1" applyBorder="1" applyAlignment="1">
      <alignment horizontal="right"/>
    </xf>
    <xf numFmtId="167" fontId="11" fillId="0" borderId="13" xfId="4" applyNumberFormat="1" applyFont="1" applyBorder="1" applyAlignment="1">
      <alignment horizontal="right"/>
    </xf>
    <xf numFmtId="167" fontId="11" fillId="0" borderId="0" xfId="4" applyNumberFormat="1" applyFont="1" applyAlignment="1">
      <alignment horizontal="right" vertical="center"/>
    </xf>
    <xf numFmtId="167" fontId="11" fillId="0" borderId="7" xfId="4" applyNumberFormat="1" applyFont="1" applyBorder="1" applyAlignment="1">
      <alignment horizontal="right"/>
    </xf>
    <xf numFmtId="167" fontId="11" fillId="0" borderId="8" xfId="4" applyNumberFormat="1" applyFont="1" applyBorder="1" applyAlignment="1">
      <alignment horizontal="right"/>
    </xf>
    <xf numFmtId="2" fontId="11" fillId="0" borderId="16" xfId="0" applyNumberFormat="1" applyFont="1" applyBorder="1" applyAlignment="1">
      <alignment horizontal="right" vertical="center"/>
    </xf>
    <xf numFmtId="1" fontId="11" fillId="0" borderId="16" xfId="0" applyNumberFormat="1" applyFont="1" applyBorder="1" applyAlignment="1">
      <alignment horizontal="right" vertical="center"/>
    </xf>
    <xf numFmtId="167" fontId="11" fillId="0" borderId="15" xfId="4" applyNumberFormat="1" applyFont="1" applyBorder="1" applyAlignment="1">
      <alignment horizontal="right" vertical="center"/>
    </xf>
    <xf numFmtId="167" fontId="11" fillId="0" borderId="11" xfId="4" applyNumberFormat="1" applyFont="1" applyBorder="1" applyAlignment="1">
      <alignment horizontal="right" vertical="center"/>
    </xf>
    <xf numFmtId="167" fontId="0" fillId="0" borderId="23" xfId="4" applyNumberFormat="1" applyFont="1" applyBorder="1" applyAlignment="1">
      <alignment horizontal="right"/>
    </xf>
    <xf numFmtId="1" fontId="0" fillId="0" borderId="23" xfId="0" applyNumberFormat="1" applyBorder="1" applyAlignment="1">
      <alignment horizontal="right"/>
    </xf>
    <xf numFmtId="167" fontId="11" fillId="6" borderId="23" xfId="4" applyNumberFormat="1" applyFont="1" applyFill="1" applyBorder="1" applyAlignment="1">
      <alignment horizontal="right" vertical="center"/>
    </xf>
    <xf numFmtId="167" fontId="11" fillId="0" borderId="7" xfId="4" applyNumberFormat="1" applyFont="1" applyBorder="1" applyAlignment="1">
      <alignment horizontal="right" vertical="center"/>
    </xf>
    <xf numFmtId="0" fontId="11" fillId="6" borderId="11" xfId="0" applyFont="1" applyFill="1" applyBorder="1" applyAlignment="1">
      <alignment horizontal="right" vertical="center"/>
    </xf>
    <xf numFmtId="167" fontId="11" fillId="0" borderId="23" xfId="4" applyNumberFormat="1" applyFont="1" applyFill="1" applyBorder="1" applyAlignment="1">
      <alignment horizontal="right" vertical="center"/>
    </xf>
    <xf numFmtId="1" fontId="11" fillId="0" borderId="7" xfId="0" applyNumberFormat="1" applyFont="1" applyBorder="1" applyAlignment="1">
      <alignment horizontal="right" vertical="center"/>
    </xf>
    <xf numFmtId="1" fontId="11" fillId="0" borderId="24" xfId="0" applyNumberFormat="1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0" fontId="13" fillId="0" borderId="23" xfId="0" applyFont="1" applyBorder="1" applyAlignment="1">
      <alignment horizontal="right" vertical="center"/>
    </xf>
    <xf numFmtId="1" fontId="11" fillId="0" borderId="11" xfId="0" applyNumberFormat="1" applyFont="1" applyBorder="1" applyAlignment="1">
      <alignment horizontal="right" vertical="center"/>
    </xf>
    <xf numFmtId="1" fontId="11" fillId="13" borderId="23" xfId="0" applyNumberFormat="1" applyFont="1" applyFill="1" applyBorder="1" applyAlignment="1">
      <alignment horizontal="right" vertical="center"/>
    </xf>
    <xf numFmtId="1" fontId="11" fillId="0" borderId="15" xfId="0" applyNumberFormat="1" applyFont="1" applyBorder="1" applyAlignment="1">
      <alignment horizontal="right" vertical="center"/>
    </xf>
    <xf numFmtId="1" fontId="11" fillId="0" borderId="21" xfId="0" applyNumberFormat="1" applyFont="1" applyBorder="1" applyAlignment="1">
      <alignment horizontal="right" vertical="center"/>
    </xf>
    <xf numFmtId="1" fontId="11" fillId="0" borderId="40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right" vertical="center"/>
    </xf>
    <xf numFmtId="0" fontId="13" fillId="0" borderId="40" xfId="0" applyFont="1" applyBorder="1" applyAlignment="1">
      <alignment horizontal="right" vertical="center"/>
    </xf>
    <xf numFmtId="0" fontId="11" fillId="6" borderId="23" xfId="0" applyFont="1" applyFill="1" applyBorder="1" applyAlignment="1">
      <alignment horizontal="right" vertical="center"/>
    </xf>
    <xf numFmtId="0" fontId="11" fillId="0" borderId="40" xfId="0" applyFont="1" applyBorder="1" applyAlignment="1">
      <alignment horizontal="right" vertical="center"/>
    </xf>
    <xf numFmtId="167" fontId="11" fillId="0" borderId="40" xfId="4" applyNumberFormat="1" applyFont="1" applyBorder="1" applyAlignment="1">
      <alignment horizontal="right" vertical="center"/>
    </xf>
    <xf numFmtId="1" fontId="11" fillId="0" borderId="4" xfId="0" applyNumberFormat="1" applyFont="1" applyBorder="1" applyAlignment="1">
      <alignment horizontal="right"/>
    </xf>
    <xf numFmtId="1" fontId="11" fillId="8" borderId="12" xfId="0" applyNumberFormat="1" applyFont="1" applyFill="1" applyBorder="1" applyAlignment="1">
      <alignment horizontal="right" vertical="center"/>
    </xf>
    <xf numFmtId="1" fontId="11" fillId="8" borderId="16" xfId="0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right"/>
    </xf>
    <xf numFmtId="3" fontId="79" fillId="0" borderId="23" xfId="2" applyNumberFormat="1" applyBorder="1" applyAlignment="1">
      <alignment horizontal="right" vertical="center"/>
    </xf>
    <xf numFmtId="1" fontId="11" fillId="6" borderId="4" xfId="0" applyNumberFormat="1" applyFont="1" applyFill="1" applyBorder="1" applyAlignment="1">
      <alignment horizontal="right" vertical="center"/>
    </xf>
    <xf numFmtId="1" fontId="11" fillId="0" borderId="13" xfId="0" applyNumberFormat="1" applyFont="1" applyBorder="1" applyAlignment="1">
      <alignment horizontal="right"/>
    </xf>
    <xf numFmtId="1" fontId="11" fillId="6" borderId="13" xfId="0" applyNumberFormat="1" applyFont="1" applyFill="1" applyBorder="1" applyAlignment="1">
      <alignment horizontal="right" vertical="center"/>
    </xf>
    <xf numFmtId="1" fontId="11" fillId="0" borderId="5" xfId="0" applyNumberFormat="1" applyFont="1" applyBorder="1" applyAlignment="1">
      <alignment horizontal="right"/>
    </xf>
    <xf numFmtId="1" fontId="11" fillId="6" borderId="15" xfId="0" applyNumberFormat="1" applyFont="1" applyFill="1" applyBorder="1" applyAlignment="1">
      <alignment horizontal="right" vertical="center"/>
    </xf>
    <xf numFmtId="1" fontId="11" fillId="0" borderId="15" xfId="0" applyNumberFormat="1" applyFont="1" applyBorder="1" applyAlignment="1">
      <alignment horizontal="right"/>
    </xf>
    <xf numFmtId="1" fontId="11" fillId="6" borderId="23" xfId="0" applyNumberFormat="1" applyFont="1" applyFill="1" applyBorder="1" applyAlignment="1">
      <alignment horizontal="right" vertical="center"/>
    </xf>
    <xf numFmtId="1" fontId="11" fillId="6" borderId="11" xfId="0" applyNumberFormat="1" applyFont="1" applyFill="1" applyBorder="1" applyAlignment="1">
      <alignment horizontal="right" vertical="center"/>
    </xf>
    <xf numFmtId="167" fontId="11" fillId="6" borderId="15" xfId="4" applyNumberFormat="1" applyFont="1" applyFill="1" applyBorder="1" applyAlignment="1">
      <alignment horizontal="right" vertical="center"/>
    </xf>
    <xf numFmtId="167" fontId="11" fillId="0" borderId="26" xfId="4" applyNumberFormat="1" applyFont="1" applyBorder="1" applyAlignment="1">
      <alignment horizontal="right"/>
    </xf>
    <xf numFmtId="0" fontId="31" fillId="0" borderId="15" xfId="0" applyFont="1" applyBorder="1"/>
    <xf numFmtId="1" fontId="11" fillId="0" borderId="8" xfId="0" applyNumberFormat="1" applyFont="1" applyBorder="1" applyAlignment="1">
      <alignment horizontal="right"/>
    </xf>
    <xf numFmtId="0" fontId="31" fillId="0" borderId="8" xfId="0" applyFont="1" applyBorder="1"/>
    <xf numFmtId="0" fontId="31" fillId="0" borderId="23" xfId="0" applyFont="1" applyBorder="1"/>
    <xf numFmtId="167" fontId="11" fillId="0" borderId="23" xfId="4" applyNumberFormat="1" applyFont="1" applyBorder="1"/>
    <xf numFmtId="0" fontId="75" fillId="0" borderId="4" xfId="1" applyBorder="1" applyAlignment="1">
      <alignment horizontal="left"/>
    </xf>
    <xf numFmtId="0" fontId="75" fillId="0" borderId="23" xfId="1" applyBorder="1" applyAlignment="1">
      <alignment horizontal="left"/>
    </xf>
    <xf numFmtId="2" fontId="11" fillId="0" borderId="4" xfId="0" applyNumberFormat="1" applyFont="1" applyBorder="1" applyAlignment="1">
      <alignment horizontal="right" vertical="center"/>
    </xf>
    <xf numFmtId="164" fontId="11" fillId="0" borderId="7" xfId="0" applyNumberFormat="1" applyFont="1" applyBorder="1" applyAlignment="1">
      <alignment horizontal="right"/>
    </xf>
    <xf numFmtId="2" fontId="11" fillId="0" borderId="4" xfId="0" applyNumberFormat="1" applyFont="1" applyBorder="1" applyAlignment="1">
      <alignment horizontal="right"/>
    </xf>
    <xf numFmtId="2" fontId="11" fillId="0" borderId="7" xfId="0" applyNumberFormat="1" applyFont="1" applyBorder="1" applyAlignment="1">
      <alignment horizontal="right"/>
    </xf>
    <xf numFmtId="2" fontId="11" fillId="0" borderId="24" xfId="0" applyNumberFormat="1" applyFont="1" applyBorder="1" applyAlignment="1">
      <alignment horizontal="right"/>
    </xf>
    <xf numFmtId="164" fontId="11" fillId="0" borderId="24" xfId="0" applyNumberFormat="1" applyFont="1" applyBorder="1" applyAlignment="1">
      <alignment horizontal="right"/>
    </xf>
    <xf numFmtId="164" fontId="11" fillId="0" borderId="7" xfId="0" applyNumberFormat="1" applyFont="1" applyBorder="1" applyAlignment="1">
      <alignment horizontal="right" vertical="center"/>
    </xf>
    <xf numFmtId="1" fontId="11" fillId="0" borderId="17" xfId="0" applyNumberFormat="1" applyFont="1" applyBorder="1" applyAlignment="1">
      <alignment horizontal="right" vertical="center"/>
    </xf>
    <xf numFmtId="0" fontId="11" fillId="6" borderId="12" xfId="0" applyFont="1" applyFill="1" applyBorder="1" applyAlignment="1">
      <alignment horizontal="right" vertical="center"/>
    </xf>
    <xf numFmtId="164" fontId="11" fillId="0" borderId="11" xfId="0" applyNumberFormat="1" applyFont="1" applyBorder="1" applyAlignment="1">
      <alignment horizontal="right" vertical="center"/>
    </xf>
    <xf numFmtId="164" fontId="11" fillId="0" borderId="18" xfId="0" applyNumberFormat="1" applyFont="1" applyBorder="1" applyAlignment="1">
      <alignment horizontal="right"/>
    </xf>
    <xf numFmtId="2" fontId="11" fillId="0" borderId="23" xfId="0" applyNumberFormat="1" applyFont="1" applyBorder="1" applyAlignment="1">
      <alignment horizontal="right"/>
    </xf>
    <xf numFmtId="164" fontId="11" fillId="0" borderId="23" xfId="0" applyNumberFormat="1" applyFont="1" applyBorder="1" applyAlignment="1">
      <alignment horizontal="right"/>
    </xf>
    <xf numFmtId="0" fontId="11" fillId="0" borderId="24" xfId="0" applyFont="1" applyBorder="1" applyAlignment="1">
      <alignment horizontal="left" vertical="center"/>
    </xf>
    <xf numFmtId="0" fontId="11" fillId="0" borderId="13" xfId="0" applyFont="1" applyBorder="1"/>
    <xf numFmtId="164" fontId="11" fillId="0" borderId="18" xfId="0" applyNumberFormat="1" applyFont="1" applyBorder="1" applyAlignment="1">
      <alignment horizontal="right" vertical="center"/>
    </xf>
    <xf numFmtId="167" fontId="11" fillId="0" borderId="17" xfId="4" applyNumberFormat="1" applyFont="1" applyBorder="1" applyAlignment="1">
      <alignment horizontal="right" vertical="center"/>
    </xf>
    <xf numFmtId="0" fontId="75" fillId="0" borderId="4" xfId="1" applyBorder="1" applyAlignment="1">
      <alignment wrapText="1"/>
    </xf>
    <xf numFmtId="167" fontId="11" fillId="0" borderId="24" xfId="4" applyNumberFormat="1" applyFont="1" applyBorder="1" applyAlignment="1">
      <alignment horizontal="right" vertical="center"/>
    </xf>
    <xf numFmtId="0" fontId="11" fillId="8" borderId="14" xfId="0" applyFont="1" applyFill="1" applyBorder="1" applyAlignment="1">
      <alignment horizontal="right" vertical="center"/>
    </xf>
    <xf numFmtId="164" fontId="11" fillId="8" borderId="14" xfId="0" applyNumberFormat="1" applyFont="1" applyFill="1" applyBorder="1" applyAlignment="1">
      <alignment horizontal="right" vertical="center"/>
    </xf>
    <xf numFmtId="167" fontId="11" fillId="0" borderId="13" xfId="4" applyNumberFormat="1" applyFont="1" applyBorder="1" applyAlignment="1">
      <alignment horizontal="center" vertical="center"/>
    </xf>
    <xf numFmtId="167" fontId="11" fillId="10" borderId="13" xfId="4" applyNumberFormat="1" applyFont="1" applyFill="1" applyBorder="1" applyAlignment="1">
      <alignment horizontal="center" vertical="center"/>
    </xf>
    <xf numFmtId="167" fontId="11" fillId="0" borderId="17" xfId="4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right" vertical="center" wrapText="1"/>
    </xf>
    <xf numFmtId="0" fontId="11" fillId="6" borderId="6" xfId="0" applyFont="1" applyFill="1" applyBorder="1" applyAlignment="1">
      <alignment horizontal="right" vertical="center"/>
    </xf>
    <xf numFmtId="4" fontId="11" fillId="6" borderId="4" xfId="0" applyNumberFormat="1" applyFont="1" applyFill="1" applyBorder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0" fontId="65" fillId="0" borderId="14" xfId="0" applyFont="1" applyBorder="1"/>
    <xf numFmtId="0" fontId="13" fillId="0" borderId="8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3" fontId="11" fillId="0" borderId="8" xfId="0" applyNumberFormat="1" applyFont="1" applyBorder="1" applyAlignment="1">
      <alignment horizontal="right"/>
    </xf>
    <xf numFmtId="3" fontId="11" fillId="0" borderId="14" xfId="0" applyNumberFormat="1" applyFont="1" applyBorder="1" applyAlignment="1">
      <alignment horizontal="right"/>
    </xf>
    <xf numFmtId="166" fontId="11" fillId="0" borderId="8" xfId="0" applyNumberFormat="1" applyFont="1" applyBorder="1" applyAlignment="1">
      <alignment horizontal="right"/>
    </xf>
    <xf numFmtId="164" fontId="11" fillId="0" borderId="8" xfId="0" applyNumberFormat="1" applyFont="1" applyBorder="1" applyAlignment="1">
      <alignment horizontal="right"/>
    </xf>
    <xf numFmtId="2" fontId="11" fillId="8" borderId="12" xfId="0" applyNumberFormat="1" applyFont="1" applyFill="1" applyBorder="1" applyAlignment="1">
      <alignment horizontal="right" vertical="center"/>
    </xf>
    <xf numFmtId="2" fontId="11" fillId="8" borderId="22" xfId="0" applyNumberFormat="1" applyFont="1" applyFill="1" applyBorder="1" applyAlignment="1">
      <alignment horizontal="right" vertical="center"/>
    </xf>
    <xf numFmtId="0" fontId="13" fillId="0" borderId="23" xfId="0" applyFont="1" applyBorder="1" applyAlignment="1">
      <alignment horizontal="right"/>
    </xf>
    <xf numFmtId="3" fontId="11" fillId="0" borderId="23" xfId="0" applyNumberFormat="1" applyFont="1" applyBorder="1" applyAlignment="1">
      <alignment horizontal="right"/>
    </xf>
    <xf numFmtId="0" fontId="13" fillId="0" borderId="20" xfId="0" applyFont="1" applyBorder="1" applyAlignment="1">
      <alignment horizontal="right"/>
    </xf>
    <xf numFmtId="0" fontId="13" fillId="0" borderId="3" xfId="0" applyFont="1" applyBorder="1" applyAlignment="1">
      <alignment horizontal="right"/>
    </xf>
    <xf numFmtId="0" fontId="13" fillId="0" borderId="25" xfId="0" applyFont="1" applyBorder="1" applyAlignment="1">
      <alignment horizontal="right"/>
    </xf>
    <xf numFmtId="166" fontId="11" fillId="0" borderId="23" xfId="0" applyNumberFormat="1" applyFont="1" applyBorder="1" applyAlignment="1">
      <alignment horizontal="right"/>
    </xf>
    <xf numFmtId="0" fontId="11" fillId="7" borderId="4" xfId="0" applyFont="1" applyFill="1" applyBorder="1" applyAlignment="1">
      <alignment horizontal="right" vertical="center"/>
    </xf>
    <xf numFmtId="0" fontId="11" fillId="9" borderId="4" xfId="0" applyFont="1" applyFill="1" applyBorder="1" applyAlignment="1">
      <alignment horizontal="right" vertical="center"/>
    </xf>
    <xf numFmtId="0" fontId="11" fillId="0" borderId="5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" fontId="11" fillId="8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right" vertical="center"/>
    </xf>
    <xf numFmtId="1" fontId="11" fillId="0" borderId="7" xfId="0" applyNumberFormat="1" applyFont="1" applyBorder="1" applyAlignment="1">
      <alignment horizontal="right"/>
    </xf>
    <xf numFmtId="3" fontId="11" fillId="0" borderId="7" xfId="0" applyNumberFormat="1" applyFont="1" applyBorder="1" applyAlignment="1">
      <alignment horizontal="right" wrapText="1"/>
    </xf>
    <xf numFmtId="166" fontId="11" fillId="0" borderId="7" xfId="0" applyNumberFormat="1" applyFont="1" applyBorder="1" applyAlignment="1">
      <alignment horizontal="right" wrapText="1"/>
    </xf>
    <xf numFmtId="3" fontId="11" fillId="0" borderId="4" xfId="0" applyNumberFormat="1" applyFont="1" applyBorder="1" applyAlignment="1">
      <alignment horizontal="right" vertical="center"/>
    </xf>
    <xf numFmtId="1" fontId="11" fillId="0" borderId="17" xfId="0" applyNumberFormat="1" applyFont="1" applyBorder="1" applyAlignment="1">
      <alignment horizontal="right"/>
    </xf>
    <xf numFmtId="0" fontId="13" fillId="0" borderId="15" xfId="0" applyFont="1" applyBorder="1" applyAlignment="1">
      <alignment horizontal="right" vertical="center"/>
    </xf>
    <xf numFmtId="0" fontId="11" fillId="7" borderId="7" xfId="0" applyFont="1" applyFill="1" applyBorder="1" applyAlignment="1">
      <alignment horizontal="right"/>
    </xf>
    <xf numFmtId="0" fontId="11" fillId="7" borderId="8" xfId="0" applyFont="1" applyFill="1" applyBorder="1" applyAlignment="1">
      <alignment horizontal="right"/>
    </xf>
    <xf numFmtId="9" fontId="11" fillId="8" borderId="1" xfId="3" applyFont="1" applyFill="1" applyBorder="1" applyAlignment="1">
      <alignment horizontal="right" vertical="center"/>
    </xf>
    <xf numFmtId="1" fontId="11" fillId="8" borderId="3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167" fontId="13" fillId="6" borderId="4" xfId="0" applyNumberFormat="1" applyFont="1" applyFill="1" applyBorder="1" applyAlignment="1">
      <alignment horizontal="right" vertical="center"/>
    </xf>
    <xf numFmtId="167" fontId="11" fillId="6" borderId="4" xfId="0" applyNumberFormat="1" applyFont="1" applyFill="1" applyBorder="1" applyAlignment="1">
      <alignment horizontal="right" vertical="center"/>
    </xf>
    <xf numFmtId="1" fontId="11" fillId="10" borderId="4" xfId="0" applyNumberFormat="1" applyFont="1" applyFill="1" applyBorder="1" applyAlignment="1">
      <alignment horizontal="right" vertical="center"/>
    </xf>
    <xf numFmtId="1" fontId="11" fillId="10" borderId="8" xfId="0" applyNumberFormat="1" applyFont="1" applyFill="1" applyBorder="1" applyAlignment="1">
      <alignment horizontal="right"/>
    </xf>
    <xf numFmtId="164" fontId="11" fillId="0" borderId="8" xfId="0" applyNumberFormat="1" applyFont="1" applyBorder="1" applyAlignment="1">
      <alignment horizontal="right" vertical="center"/>
    </xf>
    <xf numFmtId="1" fontId="11" fillId="0" borderId="6" xfId="0" applyNumberFormat="1" applyFont="1" applyBorder="1" applyAlignment="1">
      <alignment horizontal="right" vertical="center"/>
    </xf>
    <xf numFmtId="2" fontId="11" fillId="8" borderId="1" xfId="0" applyNumberFormat="1" applyFont="1" applyFill="1" applyBorder="1" applyAlignment="1">
      <alignment horizontal="right" vertical="center"/>
    </xf>
    <xf numFmtId="2" fontId="11" fillId="8" borderId="3" xfId="0" applyNumberFormat="1" applyFont="1" applyFill="1" applyBorder="1" applyAlignment="1">
      <alignment horizontal="right" vertical="center"/>
    </xf>
    <xf numFmtId="0" fontId="11" fillId="8" borderId="0" xfId="0" applyFont="1" applyFill="1" applyAlignment="1">
      <alignment horizontal="right" vertical="center"/>
    </xf>
    <xf numFmtId="167" fontId="11" fillId="10" borderId="4" xfId="4" applyNumberFormat="1" applyFont="1" applyFill="1" applyBorder="1" applyAlignment="1">
      <alignment horizontal="right" vertical="center"/>
    </xf>
    <xf numFmtId="167" fontId="11" fillId="10" borderId="8" xfId="4" applyNumberFormat="1" applyFont="1" applyFill="1" applyBorder="1" applyAlignment="1">
      <alignment horizontal="right"/>
    </xf>
    <xf numFmtId="0" fontId="14" fillId="0" borderId="0" xfId="0" applyFont="1"/>
    <xf numFmtId="0" fontId="13" fillId="0" borderId="13" xfId="0" applyFont="1" applyBorder="1" applyAlignment="1">
      <alignment horizontal="center" vertical="center"/>
    </xf>
    <xf numFmtId="3" fontId="11" fillId="0" borderId="23" xfId="0" applyNumberFormat="1" applyFont="1" applyBorder="1"/>
    <xf numFmtId="3" fontId="11" fillId="0" borderId="4" xfId="0" applyNumberFormat="1" applyFont="1" applyBorder="1"/>
    <xf numFmtId="0" fontId="11" fillId="0" borderId="14" xfId="0" applyFont="1" applyBorder="1" applyAlignment="1">
      <alignment horizontal="right"/>
    </xf>
    <xf numFmtId="0" fontId="11" fillId="0" borderId="14" xfId="0" applyFont="1" applyBorder="1" applyAlignment="1">
      <alignment horizontal="right" vertical="center"/>
    </xf>
    <xf numFmtId="3" fontId="11" fillId="0" borderId="17" xfId="0" applyNumberFormat="1" applyFont="1" applyBorder="1" applyAlignment="1">
      <alignment horizontal="center" vertical="center"/>
    </xf>
    <xf numFmtId="164" fontId="11" fillId="0" borderId="17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2" fontId="11" fillId="0" borderId="0" xfId="3" applyNumberFormat="1" applyFont="1" applyAlignment="1">
      <alignment horizontal="center" vertical="center"/>
    </xf>
    <xf numFmtId="0" fontId="13" fillId="0" borderId="4" xfId="0" applyFont="1" applyBorder="1" applyAlignment="1">
      <alignment horizontal="center" wrapText="1"/>
    </xf>
    <xf numFmtId="0" fontId="11" fillId="6" borderId="4" xfId="0" applyFont="1" applyFill="1" applyBorder="1"/>
    <xf numFmtId="0" fontId="11" fillId="6" borderId="15" xfId="0" applyFont="1" applyFill="1" applyBorder="1"/>
    <xf numFmtId="0" fontId="11" fillId="8" borderId="11" xfId="0" applyFont="1" applyFill="1" applyBorder="1"/>
    <xf numFmtId="0" fontId="11" fillId="8" borderId="16" xfId="0" applyFont="1" applyFill="1" applyBorder="1"/>
    <xf numFmtId="0" fontId="11" fillId="8" borderId="13" xfId="0" applyFont="1" applyFill="1" applyBorder="1"/>
    <xf numFmtId="0" fontId="13" fillId="0" borderId="17" xfId="0" applyFont="1" applyBorder="1"/>
    <xf numFmtId="0" fontId="13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 wrapText="1"/>
    </xf>
    <xf numFmtId="0" fontId="11" fillId="0" borderId="17" xfId="0" applyFont="1" applyBorder="1"/>
    <xf numFmtId="3" fontId="11" fillId="0" borderId="11" xfId="0" applyNumberFormat="1" applyFont="1" applyBorder="1" applyAlignment="1">
      <alignment horizontal="center"/>
    </xf>
    <xf numFmtId="0" fontId="14" fillId="0" borderId="4" xfId="0" applyFont="1" applyBorder="1"/>
    <xf numFmtId="0" fontId="75" fillId="0" borderId="4" xfId="1" applyBorder="1" applyAlignment="1"/>
    <xf numFmtId="0" fontId="11" fillId="6" borderId="4" xfId="0" applyFont="1" applyFill="1" applyBorder="1" applyAlignment="1">
      <alignment horizontal="right"/>
    </xf>
    <xf numFmtId="0" fontId="89" fillId="6" borderId="4" xfId="0" applyFont="1" applyFill="1" applyBorder="1" applyAlignment="1">
      <alignment horizontal="right"/>
    </xf>
    <xf numFmtId="1" fontId="11" fillId="6" borderId="4" xfId="0" applyNumberFormat="1" applyFont="1" applyFill="1" applyBorder="1" applyAlignment="1">
      <alignment horizontal="right"/>
    </xf>
    <xf numFmtId="0" fontId="11" fillId="6" borderId="15" xfId="0" applyFont="1" applyFill="1" applyBorder="1" applyAlignment="1">
      <alignment horizontal="right"/>
    </xf>
    <xf numFmtId="0" fontId="11" fillId="8" borderId="16" xfId="0" applyFont="1" applyFill="1" applyBorder="1" applyAlignment="1">
      <alignment horizontal="right"/>
    </xf>
    <xf numFmtId="3" fontId="11" fillId="0" borderId="13" xfId="0" applyNumberFormat="1" applyFont="1" applyBorder="1" applyAlignment="1">
      <alignment horizontal="right"/>
    </xf>
    <xf numFmtId="3" fontId="11" fillId="0" borderId="15" xfId="0" applyNumberFormat="1" applyFont="1" applyBorder="1" applyAlignment="1">
      <alignment horizontal="right"/>
    </xf>
    <xf numFmtId="0" fontId="11" fillId="0" borderId="11" xfId="0" applyFont="1" applyBorder="1"/>
    <xf numFmtId="0" fontId="11" fillId="0" borderId="16" xfId="0" applyFont="1" applyBorder="1"/>
    <xf numFmtId="0" fontId="11" fillId="8" borderId="14" xfId="0" applyFont="1" applyFill="1" applyBorder="1" applyAlignment="1">
      <alignment horizontal="right"/>
    </xf>
    <xf numFmtId="0" fontId="11" fillId="0" borderId="24" xfId="0" applyFont="1" applyBorder="1"/>
    <xf numFmtId="164" fontId="0" fillId="0" borderId="23" xfId="0" applyNumberFormat="1" applyBorder="1"/>
    <xf numFmtId="0" fontId="11" fillId="6" borderId="13" xfId="0" applyFont="1" applyFill="1" applyBorder="1" applyAlignment="1">
      <alignment horizontal="right"/>
    </xf>
    <xf numFmtId="0" fontId="13" fillId="0" borderId="18" xfId="0" applyFont="1" applyBorder="1"/>
    <xf numFmtId="0" fontId="13" fillId="0" borderId="15" xfId="0" applyFont="1" applyBorder="1" applyAlignment="1">
      <alignment horizontal="right"/>
    </xf>
    <xf numFmtId="1" fontId="0" fillId="0" borderId="23" xfId="0" applyNumberFormat="1" applyBorder="1" applyAlignment="1">
      <alignment vertical="center"/>
    </xf>
    <xf numFmtId="0" fontId="93" fillId="17" borderId="41" xfId="0" applyFont="1" applyFill="1" applyBorder="1" applyAlignment="1">
      <alignment vertical="center" wrapText="1"/>
    </xf>
    <xf numFmtId="4" fontId="93" fillId="17" borderId="41" xfId="0" applyNumberFormat="1" applyFont="1" applyFill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3" fontId="11" fillId="0" borderId="4" xfId="0" applyNumberFormat="1" applyFont="1" applyBorder="1" applyAlignment="1">
      <alignment vertical="center"/>
    </xf>
    <xf numFmtId="166" fontId="11" fillId="0" borderId="4" xfId="0" applyNumberFormat="1" applyFont="1" applyBorder="1" applyAlignment="1">
      <alignment vertical="center"/>
    </xf>
    <xf numFmtId="3" fontId="11" fillId="0" borderId="9" xfId="0" applyNumberFormat="1" applyFont="1" applyBorder="1" applyAlignment="1">
      <alignment vertical="center"/>
    </xf>
    <xf numFmtId="3" fontId="11" fillId="0" borderId="15" xfId="0" applyNumberFormat="1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1" fontId="11" fillId="0" borderId="9" xfId="0" applyNumberFormat="1" applyFont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0" fontId="11" fillId="8" borderId="16" xfId="0" applyFont="1" applyFill="1" applyBorder="1" applyAlignment="1">
      <alignment vertical="center"/>
    </xf>
    <xf numFmtId="0" fontId="13" fillId="0" borderId="7" xfId="0" applyFont="1" applyBorder="1" applyAlignment="1">
      <alignment vertical="center"/>
    </xf>
    <xf numFmtId="4" fontId="11" fillId="0" borderId="4" xfId="0" applyNumberFormat="1" applyFont="1" applyBorder="1" applyAlignment="1">
      <alignment vertical="center"/>
    </xf>
    <xf numFmtId="4" fontId="11" fillId="0" borderId="22" xfId="0" applyNumberFormat="1" applyFont="1" applyBorder="1" applyAlignment="1">
      <alignment vertical="center"/>
    </xf>
    <xf numFmtId="4" fontId="11" fillId="0" borderId="15" xfId="0" applyNumberFormat="1" applyFont="1" applyBorder="1" applyAlignment="1">
      <alignment vertical="center"/>
    </xf>
    <xf numFmtId="4" fontId="11" fillId="0" borderId="21" xfId="0" applyNumberFormat="1" applyFont="1" applyBorder="1" applyAlignment="1">
      <alignment vertical="center"/>
    </xf>
    <xf numFmtId="4" fontId="11" fillId="0" borderId="23" xfId="0" applyNumberFormat="1" applyFont="1" applyBorder="1" applyAlignment="1">
      <alignment vertical="center"/>
    </xf>
    <xf numFmtId="0" fontId="11" fillId="6" borderId="4" xfId="0" applyFont="1" applyFill="1" applyBorder="1" applyAlignment="1">
      <alignment vertical="center"/>
    </xf>
    <xf numFmtId="4" fontId="11" fillId="6" borderId="4" xfId="0" applyNumberFormat="1" applyFont="1" applyFill="1" applyBorder="1" applyAlignment="1">
      <alignment vertical="center"/>
    </xf>
    <xf numFmtId="3" fontId="11" fillId="6" borderId="4" xfId="0" applyNumberFormat="1" applyFont="1" applyFill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23" xfId="0" applyNumberFormat="1" applyFont="1" applyBorder="1" applyAlignment="1">
      <alignment vertical="center"/>
    </xf>
    <xf numFmtId="3" fontId="11" fillId="0" borderId="40" xfId="0" applyNumberFormat="1" applyFont="1" applyBorder="1" applyAlignment="1">
      <alignment vertical="center"/>
    </xf>
    <xf numFmtId="3" fontId="11" fillId="0" borderId="24" xfId="0" applyNumberFormat="1" applyFont="1" applyBorder="1" applyAlignment="1">
      <alignment vertical="center"/>
    </xf>
    <xf numFmtId="3" fontId="11" fillId="18" borderId="23" xfId="0" applyNumberFormat="1" applyFont="1" applyFill="1" applyBorder="1" applyAlignment="1">
      <alignment vertical="center"/>
    </xf>
    <xf numFmtId="2" fontId="11" fillId="0" borderId="4" xfId="0" applyNumberFormat="1" applyFont="1" applyBorder="1" applyAlignment="1">
      <alignment vertical="center"/>
    </xf>
    <xf numFmtId="2" fontId="11" fillId="0" borderId="17" xfId="0" applyNumberFormat="1" applyFont="1" applyBorder="1" applyAlignment="1">
      <alignment vertical="center"/>
    </xf>
    <xf numFmtId="4" fontId="11" fillId="9" borderId="4" xfId="0" applyNumberFormat="1" applyFont="1" applyFill="1" applyBorder="1" applyAlignment="1">
      <alignment vertical="center"/>
    </xf>
    <xf numFmtId="2" fontId="11" fillId="8" borderId="12" xfId="0" applyNumberFormat="1" applyFont="1" applyFill="1" applyBorder="1" applyAlignment="1">
      <alignment vertical="center"/>
    </xf>
    <xf numFmtId="2" fontId="11" fillId="8" borderId="16" xfId="0" applyNumberFormat="1" applyFont="1" applyFill="1" applyBorder="1" applyAlignment="1">
      <alignment vertical="center"/>
    </xf>
    <xf numFmtId="2" fontId="11" fillId="8" borderId="22" xfId="0" applyNumberFormat="1" applyFont="1" applyFill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1" fillId="6" borderId="23" xfId="0" applyFont="1" applyFill="1" applyBorder="1" applyAlignment="1">
      <alignment vertical="center"/>
    </xf>
    <xf numFmtId="0" fontId="11" fillId="0" borderId="40" xfId="0" applyFont="1" applyBorder="1" applyAlignment="1">
      <alignment vertical="center"/>
    </xf>
    <xf numFmtId="3" fontId="11" fillId="6" borderId="23" xfId="0" applyNumberFormat="1" applyFont="1" applyFill="1" applyBorder="1" applyAlignment="1">
      <alignment vertical="center"/>
    </xf>
    <xf numFmtId="0" fontId="11" fillId="0" borderId="23" xfId="0" applyFont="1" applyBorder="1" applyAlignment="1">
      <alignment horizontal="right"/>
    </xf>
    <xf numFmtId="0" fontId="75" fillId="0" borderId="23" xfId="1" applyBorder="1"/>
    <xf numFmtId="0" fontId="13" fillId="0" borderId="8" xfId="0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1" fillId="8" borderId="21" xfId="0" applyFont="1" applyFill="1" applyBorder="1" applyAlignment="1">
      <alignment horizontal="left" vertical="center"/>
    </xf>
    <xf numFmtId="3" fontId="0" fillId="0" borderId="23" xfId="0" applyNumberFormat="1" applyBorder="1" applyAlignment="1">
      <alignment horizontal="right"/>
    </xf>
    <xf numFmtId="168" fontId="74" fillId="0" borderId="15" xfId="0" applyNumberFormat="1" applyFont="1" applyBorder="1"/>
    <xf numFmtId="166" fontId="11" fillId="0" borderId="23" xfId="0" applyNumberFormat="1" applyFont="1" applyBorder="1"/>
    <xf numFmtId="2" fontId="11" fillId="8" borderId="16" xfId="0" applyNumberFormat="1" applyFont="1" applyFill="1" applyBorder="1"/>
    <xf numFmtId="2" fontId="11" fillId="0" borderId="16" xfId="0" applyNumberFormat="1" applyFont="1" applyBorder="1"/>
    <xf numFmtId="0" fontId="13" fillId="0" borderId="11" xfId="0" applyFont="1" applyBorder="1" applyAlignment="1">
      <alignment horizontal="center"/>
    </xf>
    <xf numFmtId="3" fontId="11" fillId="6" borderId="15" xfId="0" applyNumberFormat="1" applyFont="1" applyFill="1" applyBorder="1"/>
    <xf numFmtId="9" fontId="11" fillId="0" borderId="4" xfId="3" applyFont="1" applyBorder="1" applyAlignment="1">
      <alignment horizontal="right"/>
    </xf>
    <xf numFmtId="164" fontId="11" fillId="13" borderId="4" xfId="0" applyNumberFormat="1" applyFont="1" applyFill="1" applyBorder="1" applyAlignment="1">
      <alignment horizontal="center"/>
    </xf>
    <xf numFmtId="0" fontId="2" fillId="0" borderId="0" xfId="0" applyFont="1"/>
    <xf numFmtId="0" fontId="11" fillId="0" borderId="26" xfId="0" applyFont="1" applyBorder="1" applyAlignment="1">
      <alignment horizontal="left" vertical="center" wrapText="1"/>
    </xf>
    <xf numFmtId="2" fontId="11" fillId="8" borderId="14" xfId="0" applyNumberFormat="1" applyFont="1" applyFill="1" applyBorder="1"/>
    <xf numFmtId="0" fontId="11" fillId="8" borderId="14" xfId="0" applyFont="1" applyFill="1" applyBorder="1"/>
    <xf numFmtId="0" fontId="2" fillId="0" borderId="23" xfId="0" applyFont="1" applyBorder="1"/>
    <xf numFmtId="0" fontId="94" fillId="0" borderId="23" xfId="0" applyFont="1" applyBorder="1"/>
    <xf numFmtId="0" fontId="11" fillId="0" borderId="26" xfId="0" applyFont="1" applyBorder="1"/>
    <xf numFmtId="0" fontId="11" fillId="0" borderId="18" xfId="0" applyFont="1" applyBorder="1"/>
    <xf numFmtId="2" fontId="11" fillId="0" borderId="14" xfId="0" applyNumberFormat="1" applyFont="1" applyBorder="1"/>
    <xf numFmtId="2" fontId="0" fillId="0" borderId="2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3" applyFont="1" applyAlignment="1">
      <alignment horizontal="left" vertical="center"/>
    </xf>
    <xf numFmtId="0" fontId="81" fillId="0" borderId="42" xfId="0" applyFont="1" applyBorder="1" applyAlignment="1">
      <alignment horizontal="center" vertical="center"/>
    </xf>
    <xf numFmtId="0" fontId="81" fillId="0" borderId="23" xfId="0" applyFont="1" applyBorder="1" applyAlignment="1">
      <alignment horizontal="center" vertical="center"/>
    </xf>
    <xf numFmtId="0" fontId="81" fillId="0" borderId="23" xfId="0" applyFont="1" applyBorder="1" applyAlignment="1">
      <alignment horizontal="center" vertical="center" wrapText="1"/>
    </xf>
    <xf numFmtId="0" fontId="82" fillId="0" borderId="23" xfId="0" applyFont="1" applyBorder="1" applyAlignment="1">
      <alignment horizontal="left" vertical="center"/>
    </xf>
    <xf numFmtId="1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75" fillId="0" borderId="23" xfId="1" applyFill="1" applyBorder="1"/>
    <xf numFmtId="0" fontId="0" fillId="0" borderId="23" xfId="0" applyBorder="1" applyAlignment="1">
      <alignment horizontal="left" vertical="center" wrapText="1"/>
    </xf>
    <xf numFmtId="0" fontId="0" fillId="20" borderId="40" xfId="0" applyFill="1" applyBorder="1" applyAlignment="1">
      <alignment horizontal="left" vertical="center"/>
    </xf>
    <xf numFmtId="2" fontId="0" fillId="20" borderId="43" xfId="0" applyNumberFormat="1" applyFill="1" applyBorder="1" applyAlignment="1">
      <alignment horizontal="center" vertical="center"/>
    </xf>
    <xf numFmtId="0" fontId="0" fillId="20" borderId="43" xfId="0" applyFill="1" applyBorder="1" applyAlignment="1">
      <alignment horizontal="left" vertical="center" wrapText="1"/>
    </xf>
    <xf numFmtId="0" fontId="0" fillId="20" borderId="44" xfId="0" applyFill="1" applyBorder="1" applyAlignment="1">
      <alignment horizontal="left" vertical="center" wrapText="1"/>
    </xf>
    <xf numFmtId="0" fontId="81" fillId="0" borderId="42" xfId="0" applyFont="1" applyBorder="1" applyAlignment="1">
      <alignment horizontal="center" vertical="center" wrapText="1"/>
    </xf>
    <xf numFmtId="0" fontId="0" fillId="20" borderId="43" xfId="0" applyFill="1" applyBorder="1" applyAlignment="1">
      <alignment horizontal="center" vertical="center"/>
    </xf>
    <xf numFmtId="0" fontId="99" fillId="0" borderId="42" xfId="0" applyFont="1" applyBorder="1" applyAlignment="1">
      <alignment horizontal="center" vertical="center"/>
    </xf>
    <xf numFmtId="0" fontId="75" fillId="0" borderId="23" xfId="1" applyBorder="1" applyAlignment="1">
      <alignment vertical="center"/>
    </xf>
    <xf numFmtId="0" fontId="96" fillId="0" borderId="0" xfId="0" applyFont="1" applyAlignment="1">
      <alignment horizontal="left" vertical="center"/>
    </xf>
    <xf numFmtId="3" fontId="100" fillId="0" borderId="3" xfId="7" applyNumberFormat="1" applyFont="1"/>
    <xf numFmtId="0" fontId="95" fillId="0" borderId="0" xfId="0" applyFont="1"/>
    <xf numFmtId="1" fontId="0" fillId="0" borderId="0" xfId="0" applyNumberFormat="1" applyAlignment="1">
      <alignment horizontal="center" vertical="center"/>
    </xf>
    <xf numFmtId="0" fontId="81" fillId="0" borderId="25" xfId="0" applyFont="1" applyBorder="1" applyAlignment="1">
      <alignment horizontal="center" vertical="center"/>
    </xf>
    <xf numFmtId="3" fontId="0" fillId="21" borderId="23" xfId="0" applyNumberFormat="1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75" fillId="0" borderId="23" xfId="1" applyBorder="1" applyAlignment="1">
      <alignment horizontal="left" vertical="center" wrapText="1"/>
    </xf>
    <xf numFmtId="0" fontId="98" fillId="0" borderId="23" xfId="1" applyFont="1" applyBorder="1" applyAlignment="1">
      <alignment horizontal="left" vertical="center" wrapText="1"/>
    </xf>
    <xf numFmtId="0" fontId="82" fillId="0" borderId="23" xfId="1" applyFont="1" applyBorder="1" applyAlignment="1">
      <alignment horizontal="left" vertical="center"/>
    </xf>
    <xf numFmtId="0" fontId="75" fillId="0" borderId="0" xfId="1" applyAlignment="1">
      <alignment horizontal="left" vertical="center"/>
    </xf>
    <xf numFmtId="0" fontId="81" fillId="0" borderId="23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101" fillId="0" borderId="40" xfId="0" applyFont="1" applyBorder="1" applyAlignment="1">
      <alignment horizontal="left" vertical="center"/>
    </xf>
    <xf numFmtId="2" fontId="0" fillId="0" borderId="43" xfId="0" applyNumberFormat="1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75" fillId="0" borderId="43" xfId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75" fillId="0" borderId="23" xfId="1" applyFill="1" applyBorder="1" applyAlignment="1">
      <alignment horizontal="left" vertical="center" wrapText="1"/>
    </xf>
    <xf numFmtId="2" fontId="0" fillId="0" borderId="23" xfId="0" applyNumberFormat="1" applyBorder="1" applyAlignment="1">
      <alignment horizontal="center" vertical="center"/>
    </xf>
    <xf numFmtId="0" fontId="98" fillId="21" borderId="23" xfId="0" applyFont="1" applyFill="1" applyBorder="1" applyAlignment="1">
      <alignment horizontal="center" vertical="center"/>
    </xf>
    <xf numFmtId="1" fontId="0" fillId="0" borderId="23" xfId="0" applyNumberFormat="1" applyBorder="1" applyAlignment="1">
      <alignment horizontal="right" vertical="center"/>
    </xf>
    <xf numFmtId="0" fontId="1" fillId="0" borderId="23" xfId="0" applyFont="1" applyBorder="1" applyAlignment="1">
      <alignment horizontal="left" vertical="center" wrapText="1"/>
    </xf>
    <xf numFmtId="164" fontId="0" fillId="0" borderId="23" xfId="0" applyNumberFormat="1" applyBorder="1" applyAlignment="1">
      <alignment horizontal="right" vertical="center"/>
    </xf>
    <xf numFmtId="3" fontId="11" fillId="7" borderId="15" xfId="0" applyNumberFormat="1" applyFont="1" applyFill="1" applyBorder="1" applyAlignment="1">
      <alignment horizontal="right"/>
    </xf>
    <xf numFmtId="3" fontId="0" fillId="17" borderId="23" xfId="0" applyNumberFormat="1" applyFill="1" applyBorder="1" applyAlignment="1">
      <alignment horizontal="right" vertical="center"/>
    </xf>
    <xf numFmtId="166" fontId="0" fillId="17" borderId="23" xfId="0" applyNumberFormat="1" applyFill="1" applyBorder="1" applyAlignment="1">
      <alignment horizontal="right" vertical="center"/>
    </xf>
    <xf numFmtId="0" fontId="82" fillId="0" borderId="40" xfId="0" applyFont="1" applyBorder="1" applyAlignment="1">
      <alignment horizontal="left" vertical="center"/>
    </xf>
    <xf numFmtId="0" fontId="98" fillId="0" borderId="44" xfId="1" applyFont="1" applyBorder="1" applyAlignment="1">
      <alignment horizontal="left" vertical="center" wrapText="1"/>
    </xf>
    <xf numFmtId="167" fontId="0" fillId="0" borderId="23" xfId="4" applyNumberFormat="1" applyFont="1" applyBorder="1" applyAlignment="1">
      <alignment horizontal="right" indent="3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23" xfId="0" applyNumberFormat="1" applyBorder="1" applyAlignment="1">
      <alignment horizontal="right"/>
    </xf>
    <xf numFmtId="0" fontId="1" fillId="0" borderId="23" xfId="0" applyFont="1" applyBorder="1" applyAlignment="1">
      <alignment horizontal="left" vertical="center"/>
    </xf>
    <xf numFmtId="9" fontId="11" fillId="0" borderId="0" xfId="3" applyFont="1"/>
    <xf numFmtId="167" fontId="11" fillId="0" borderId="0" xfId="0" applyNumberFormat="1" applyFont="1" applyAlignment="1">
      <alignment horizontal="center" vertical="center"/>
    </xf>
    <xf numFmtId="0" fontId="75" fillId="0" borderId="23" xfId="1" applyBorder="1" applyAlignment="1">
      <alignment horizontal="left" vertical="center"/>
    </xf>
    <xf numFmtId="167" fontId="11" fillId="0" borderId="0" xfId="0" applyNumberFormat="1" applyFont="1" applyAlignment="1">
      <alignment horizontal="left" vertical="center"/>
    </xf>
    <xf numFmtId="172" fontId="11" fillId="0" borderId="0" xfId="3" applyNumberFormat="1" applyFont="1" applyAlignment="1">
      <alignment horizontal="left" vertical="center"/>
    </xf>
    <xf numFmtId="166" fontId="11" fillId="0" borderId="4" xfId="0" applyNumberFormat="1" applyFont="1" applyBorder="1" applyAlignment="1">
      <alignment horizontal="right"/>
    </xf>
    <xf numFmtId="166" fontId="11" fillId="0" borderId="17" xfId="0" applyNumberFormat="1" applyFont="1" applyBorder="1" applyAlignment="1">
      <alignment horizontal="right"/>
    </xf>
    <xf numFmtId="169" fontId="11" fillId="0" borderId="4" xfId="0" applyNumberFormat="1" applyFont="1" applyBorder="1" applyAlignment="1">
      <alignment horizontal="right" vertical="center"/>
    </xf>
    <xf numFmtId="9" fontId="11" fillId="0" borderId="15" xfId="3" applyFont="1" applyBorder="1" applyAlignment="1">
      <alignment horizontal="right" vertical="center"/>
    </xf>
    <xf numFmtId="172" fontId="11" fillId="0" borderId="15" xfId="3" applyNumberFormat="1" applyFont="1" applyBorder="1" applyAlignment="1">
      <alignment horizontal="right" vertical="center"/>
    </xf>
    <xf numFmtId="0" fontId="75" fillId="0" borderId="7" xfId="1" applyBorder="1" applyAlignment="1">
      <alignment horizontal="center" vertical="center" wrapText="1"/>
    </xf>
    <xf numFmtId="164" fontId="11" fillId="6" borderId="4" xfId="0" applyNumberFormat="1" applyFont="1" applyFill="1" applyBorder="1" applyAlignment="1">
      <alignment horizontal="right" vertical="center"/>
    </xf>
    <xf numFmtId="9" fontId="11" fillId="6" borderId="4" xfId="3" applyFont="1" applyFill="1" applyBorder="1" applyAlignment="1">
      <alignment horizontal="right" vertical="center"/>
    </xf>
    <xf numFmtId="0" fontId="64" fillId="16" borderId="3" xfId="0" applyFont="1" applyFill="1" applyBorder="1" applyAlignment="1">
      <alignment horizontal="center"/>
    </xf>
    <xf numFmtId="0" fontId="12" fillId="0" borderId="3" xfId="0" applyFont="1" applyBorder="1"/>
    <xf numFmtId="0" fontId="97" fillId="19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2" fillId="0" borderId="14" xfId="0" applyFont="1" applyBorder="1"/>
    <xf numFmtId="0" fontId="10" fillId="4" borderId="2" xfId="0" applyFont="1" applyFill="1" applyBorder="1" applyAlignment="1">
      <alignment horizontal="center" vertical="center"/>
    </xf>
    <xf numFmtId="0" fontId="64" fillId="4" borderId="0" xfId="0" applyFont="1" applyFill="1" applyAlignment="1">
      <alignment horizontal="center"/>
    </xf>
    <xf numFmtId="0" fontId="12" fillId="0" borderId="10" xfId="0" applyFont="1" applyBorder="1"/>
    <xf numFmtId="0" fontId="10" fillId="5" borderId="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wrapText="1"/>
    </xf>
  </cellXfs>
  <cellStyles count="12">
    <cellStyle name="Comma" xfId="4" builtinId="3"/>
    <cellStyle name="Comma 2" xfId="6" xr:uid="{8517C70C-AE35-4E03-B5E9-12602835F1DC}"/>
    <cellStyle name="Hyperlink" xfId="1" builtinId="8"/>
    <cellStyle name="Normal" xfId="0" builtinId="0"/>
    <cellStyle name="Normal 2" xfId="2" xr:uid="{1BCD3875-66C3-4762-A236-2F735528AD56}"/>
    <cellStyle name="Normal 2 2" xfId="7" xr:uid="{E70A72F9-7B50-4D0C-9036-FE53F9C4C16B}"/>
    <cellStyle name="Normal 3" xfId="8" xr:uid="{9928229D-717B-4084-82A1-F83DCC79239D}"/>
    <cellStyle name="Normal 4" xfId="9" xr:uid="{60793F8C-773E-4BC5-8CE6-4B761372478D}"/>
    <cellStyle name="Normal 5" xfId="5" xr:uid="{D14331FD-FF70-4AD9-8D60-E2F4244703B2}"/>
    <cellStyle name="Normal 6" xfId="11" xr:uid="{1BE650CC-59A3-47DA-B8EF-1C6CBB9677DE}"/>
    <cellStyle name="Percent" xfId="3" builtinId="5"/>
    <cellStyle name="Percent 2" xfId="10" xr:uid="{82223BEF-F9B9-43EA-96C8-C55AC9472AF8}"/>
  </cellStyles>
  <dxfs count="0"/>
  <tableStyles count="0" defaultTableStyle="TableStyleMedium2" defaultPivotStyle="PivotStyleLight16"/>
  <colors>
    <mruColors>
      <color rgb="FFD4A24C"/>
      <color rgb="FF2D5F3F"/>
      <color rgb="FFB85C3C"/>
      <color rgb="FF3E6B8A"/>
      <color rgb="FFABDDA4"/>
      <color rgb="FF2B83BA"/>
      <color rgb="FFFFFFBF"/>
      <color rgb="FFD7191C"/>
      <color rgb="FFFDAE61"/>
      <color rgb="FF045A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8.4573444412484808E-2"/>
          <c:y val="1.4553393976080376E-2"/>
          <c:w val="0.83570771460993321"/>
          <c:h val="0.9854466060239196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B9A99"/>
              </a:solidFill>
            </c:spPr>
            <c:extLst>
              <c:ext xmlns:c16="http://schemas.microsoft.com/office/drawing/2014/chart" uri="{C3380CC4-5D6E-409C-BE32-E72D297353CC}">
                <c16:uniqueId val="{00000001-45AE-4516-BCD2-F227BFCD1A79}"/>
              </c:ext>
            </c:extLst>
          </c:dPt>
          <c:val>
            <c:numRef>
              <c:f>ETHANOL!$K$19</c:f>
              <c:numCache>
                <c:formatCode>#,##0.0</c:formatCode>
                <c:ptCount val="1"/>
                <c:pt idx="0">
                  <c:v>14.98079055256169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E-4516-BCD2-F227BFCD1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73648617930356"/>
          <c:y val="3.8194444444444448E-2"/>
          <c:w val="0.86548914647520636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Total ethanol production in the U.S.</c:v>
          </c:tx>
          <c:spPr>
            <a:ln w="28575" cap="rnd">
              <a:solidFill>
                <a:srgbClr val="2B83BA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B34-4C6E-9CAE-4948ADC52A4E}"/>
              </c:ext>
            </c:extLst>
          </c:dPt>
          <c:cat>
            <c:numRef>
              <c:f>ETHANOL!$B$16:$P$16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ETHANOL!$B$17:$P$17</c:f>
              <c:numCache>
                <c:formatCode>#,##0.0</c:formatCode>
                <c:ptCount val="15"/>
                <c:pt idx="0">
                  <c:v>13.298</c:v>
                </c:pt>
                <c:pt idx="1">
                  <c:v>13.929</c:v>
                </c:pt>
                <c:pt idx="2">
                  <c:v>13.218</c:v>
                </c:pt>
                <c:pt idx="3">
                  <c:v>13.292999999999999</c:v>
                </c:pt>
                <c:pt idx="4">
                  <c:v>14.313000000000001</c:v>
                </c:pt>
                <c:pt idx="5">
                  <c:v>14.807</c:v>
                </c:pt>
                <c:pt idx="6">
                  <c:v>15.413</c:v>
                </c:pt>
                <c:pt idx="7">
                  <c:v>15.936</c:v>
                </c:pt>
                <c:pt idx="8">
                  <c:v>16.091000000000001</c:v>
                </c:pt>
                <c:pt idx="9">
                  <c:v>15.778</c:v>
                </c:pt>
                <c:pt idx="10">
                  <c:v>13.941000000000001</c:v>
                </c:pt>
                <c:pt idx="11">
                  <c:v>15.016</c:v>
                </c:pt>
                <c:pt idx="12">
                  <c:v>15.361000000000001</c:v>
                </c:pt>
                <c:pt idx="13" formatCode="#,##0">
                  <c:v>15.62</c:v>
                </c:pt>
                <c:pt idx="14">
                  <c:v>16.225000000000001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4-4C6E-9CAE-4948ADC52A4E}"/>
            </c:ext>
          </c:extLst>
        </c:ser>
        <c:ser>
          <c:idx val="2"/>
          <c:order val="1"/>
          <c:tx>
            <c:v>Total ethanol consumption in the U.S.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ETHANOL!$B$16:$P$16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ETHANOL!$B$18:$P$18</c:f>
              <c:numCache>
                <c:formatCode>#,##0.0</c:formatCode>
                <c:ptCount val="15"/>
                <c:pt idx="0">
                  <c:v>12.858000000000001</c:v>
                </c:pt>
                <c:pt idx="1">
                  <c:v>12.893000000000001</c:v>
                </c:pt>
                <c:pt idx="2">
                  <c:v>12.882</c:v>
                </c:pt>
                <c:pt idx="3">
                  <c:v>13.215999999999999</c:v>
                </c:pt>
                <c:pt idx="4">
                  <c:v>13.444000000000001</c:v>
                </c:pt>
                <c:pt idx="5">
                  <c:v>13.946999999999999</c:v>
                </c:pt>
                <c:pt idx="6">
                  <c:v>14.356</c:v>
                </c:pt>
                <c:pt idx="7">
                  <c:v>15.484999999999999</c:v>
                </c:pt>
                <c:pt idx="8">
                  <c:v>14.42</c:v>
                </c:pt>
                <c:pt idx="9">
                  <c:v>14.552</c:v>
                </c:pt>
                <c:pt idx="10">
                  <c:v>12.680999999999999</c:v>
                </c:pt>
                <c:pt idx="11">
                  <c:v>13.944000000000001</c:v>
                </c:pt>
                <c:pt idx="12">
                  <c:v>14.023</c:v>
                </c:pt>
                <c:pt idx="13" formatCode="#,##0">
                  <c:v>14.249000000000001</c:v>
                </c:pt>
                <c:pt idx="14">
                  <c:v>14.244999999999999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4-4C6E-9CAE-4948ADC52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ax val="16.5"/>
          <c:min val="1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 gallons</a:t>
                </a:r>
              </a:p>
            </c:rich>
          </c:tx>
          <c:layout>
            <c:manualLayout>
              <c:xMode val="edge"/>
              <c:yMode val="edge"/>
              <c:x val="3.5681331688812808E-4"/>
              <c:y val="0.347228306974742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194369277705458"/>
          <c:y val="5.1881944281874717E-2"/>
          <c:w val="0.42604486939132608"/>
          <c:h val="9.2662741731082729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2940787499309"/>
          <c:y val="3.8194444444444448E-2"/>
          <c:w val="0.87720006319148713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Exports of ethanol</c:v>
          </c:tx>
          <c:spPr>
            <a:ln w="28575" cap="rnd">
              <a:solidFill>
                <a:srgbClr val="2B83B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ETHANOL!$B$16:$P$16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ETHANOL!$B$22:$P$22</c:f>
              <c:numCache>
                <c:formatCode>#,##0.0</c:formatCode>
                <c:ptCount val="15"/>
                <c:pt idx="0">
                  <c:v>0.39849599999999996</c:v>
                </c:pt>
                <c:pt idx="1">
                  <c:v>1.1951939999999999</c:v>
                </c:pt>
                <c:pt idx="2">
                  <c:v>0.74155199999999999</c:v>
                </c:pt>
                <c:pt idx="3">
                  <c:v>0.618954</c:v>
                </c:pt>
                <c:pt idx="4">
                  <c:v>0.84625800000000007</c:v>
                </c:pt>
                <c:pt idx="5">
                  <c:v>0.83206199999999997</c:v>
                </c:pt>
                <c:pt idx="6">
                  <c:v>1.170288</c:v>
                </c:pt>
                <c:pt idx="7">
                  <c:v>1.389864</c:v>
                </c:pt>
                <c:pt idx="8">
                  <c:v>1.709568</c:v>
                </c:pt>
                <c:pt idx="9">
                  <c:v>1.4666400000000002</c:v>
                </c:pt>
                <c:pt idx="10">
                  <c:v>1.317204</c:v>
                </c:pt>
                <c:pt idx="11">
                  <c:v>1.2424440000000001</c:v>
                </c:pt>
                <c:pt idx="12">
                  <c:v>1.3135920000000001</c:v>
                </c:pt>
                <c:pt idx="13" formatCode="0.0">
                  <c:v>1.43346</c:v>
                </c:pt>
                <c:pt idx="14" formatCode="0.0000">
                  <c:v>1.9139999999999999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3-44F2-88B7-63B1A61501ED}"/>
            </c:ext>
          </c:extLst>
        </c:ser>
        <c:ser>
          <c:idx val="2"/>
          <c:order val="1"/>
          <c:tx>
            <c:v>Imports of ethanol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ETHANOL!$B$16:$P$16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ETHANOL!$B$21:$P$21</c:f>
              <c:numCache>
                <c:formatCode>#,##0.0</c:formatCode>
                <c:ptCount val="15"/>
                <c:pt idx="0">
                  <c:v>1.5665999999999999E-2</c:v>
                </c:pt>
                <c:pt idx="1">
                  <c:v>0.17186400000000002</c:v>
                </c:pt>
                <c:pt idx="2">
                  <c:v>0.49413000000000001</c:v>
                </c:pt>
                <c:pt idx="3">
                  <c:v>0.37699199999999999</c:v>
                </c:pt>
                <c:pt idx="4">
                  <c:v>7.4676000000000006E-2</c:v>
                </c:pt>
                <c:pt idx="5">
                  <c:v>9.1518000000000002E-2</c:v>
                </c:pt>
                <c:pt idx="6">
                  <c:v>3.6204E-2</c:v>
                </c:pt>
                <c:pt idx="7">
                  <c:v>7.6607999999999996E-2</c:v>
                </c:pt>
                <c:pt idx="8">
                  <c:v>5.4348E-2</c:v>
                </c:pt>
                <c:pt idx="9">
                  <c:v>0.195048</c:v>
                </c:pt>
                <c:pt idx="10">
                  <c:v>0.15414</c:v>
                </c:pt>
                <c:pt idx="11">
                  <c:v>6.0774000000000002E-2</c:v>
                </c:pt>
                <c:pt idx="12">
                  <c:v>6.9089999999999999E-2</c:v>
                </c:pt>
                <c:pt idx="13" formatCode="0.0000">
                  <c:v>2.7258000000000001E-2</c:v>
                </c:pt>
                <c:pt idx="14" formatCode="0.0000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3-44F2-88B7-63B1A6150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 gallons</a:t>
                </a:r>
              </a:p>
            </c:rich>
          </c:tx>
          <c:layout>
            <c:manualLayout>
              <c:xMode val="edge"/>
              <c:yMode val="edge"/>
              <c:x val="4.3024146327286352E-3"/>
              <c:y val="0.36138588145231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8145409581921042E-2"/>
          <c:y val="4.8611227232342423E-2"/>
          <c:w val="0.23520642886645135"/>
          <c:h val="0.1361552620275846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2940787499309"/>
          <c:y val="3.8194444444444448E-2"/>
          <c:w val="0.87720003749531306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Total biodiesel production in the U.S.</c:v>
          </c:tx>
          <c:spPr>
            <a:ln w="28575" cap="rnd">
              <a:solidFill>
                <a:srgbClr val="2B83B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BIODIESEL!$B$10:$P$10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BIODIESEL!$B$11:$P$11</c:f>
              <c:numCache>
                <c:formatCode>0.0</c:formatCode>
                <c:ptCount val="15"/>
                <c:pt idx="0">
                  <c:v>0.34350000000000003</c:v>
                </c:pt>
                <c:pt idx="1">
                  <c:v>0.96750000000000003</c:v>
                </c:pt>
                <c:pt idx="2">
                  <c:v>0.96960000000000002</c:v>
                </c:pt>
                <c:pt idx="3">
                  <c:v>1.3580000000000001</c:v>
                </c:pt>
                <c:pt idx="4">
                  <c:v>1.268</c:v>
                </c:pt>
                <c:pt idx="5">
                  <c:v>1.266</c:v>
                </c:pt>
                <c:pt idx="6">
                  <c:v>1.569</c:v>
                </c:pt>
                <c:pt idx="7">
                  <c:v>1.5960000000000001</c:v>
                </c:pt>
                <c:pt idx="8">
                  <c:v>1.857</c:v>
                </c:pt>
                <c:pt idx="9">
                  <c:v>1.7250000000000001</c:v>
                </c:pt>
                <c:pt idx="10">
                  <c:v>1.8149999999999999</c:v>
                </c:pt>
                <c:pt idx="11">
                  <c:v>1.7090000000000001</c:v>
                </c:pt>
                <c:pt idx="12">
                  <c:v>1.6220000000000001</c:v>
                </c:pt>
                <c:pt idx="13">
                  <c:v>1.6990000000000001</c:v>
                </c:pt>
                <c:pt idx="14">
                  <c:v>1.671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F-4763-A42A-5AADF386FE7B}"/>
            </c:ext>
          </c:extLst>
        </c:ser>
        <c:ser>
          <c:idx val="2"/>
          <c:order val="1"/>
          <c:tx>
            <c:v>Total biodiesel consumption in the U.S.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BIODIESEL!$B$10:$P$10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BIODIESEL!$B$12:$P$12</c:f>
              <c:numCache>
                <c:formatCode>0.0</c:formatCode>
                <c:ptCount val="15"/>
                <c:pt idx="0">
                  <c:v>0.25863034148161967</c:v>
                </c:pt>
                <c:pt idx="1">
                  <c:v>0.88561298749766748</c:v>
                </c:pt>
                <c:pt idx="2">
                  <c:v>0.90128755364806867</c:v>
                </c:pt>
                <c:pt idx="3">
                  <c:v>1.4263855196865085</c:v>
                </c:pt>
                <c:pt idx="4">
                  <c:v>1.4185508836553156</c:v>
                </c:pt>
                <c:pt idx="5">
                  <c:v>1.496923860652847</c:v>
                </c:pt>
                <c:pt idx="6">
                  <c:v>2.0847211881343313</c:v>
                </c:pt>
                <c:pt idx="7">
                  <c:v>1.9828363180375406</c:v>
                </c:pt>
                <c:pt idx="8">
                  <c:v>1.9044633410400094</c:v>
                </c:pt>
                <c:pt idx="9">
                  <c:v>1.8129999999999999</c:v>
                </c:pt>
                <c:pt idx="10">
                  <c:v>1.8759999999999999</c:v>
                </c:pt>
                <c:pt idx="11">
                  <c:v>1.71</c:v>
                </c:pt>
                <c:pt idx="12">
                  <c:v>1.6579999999999999</c:v>
                </c:pt>
                <c:pt idx="13">
                  <c:v>1.9390000000000001</c:v>
                </c:pt>
                <c:pt idx="14">
                  <c:v>1.931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F-4763-A42A-5AADF386F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 gallons</a:t>
                </a:r>
              </a:p>
            </c:rich>
          </c:tx>
          <c:layout>
            <c:manualLayout>
              <c:xMode val="edge"/>
              <c:yMode val="edge"/>
              <c:x val="4.3024146327286352E-3"/>
              <c:y val="0.36138588145231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0084208223972"/>
          <c:y val="5.2083333333333336E-2"/>
          <c:w val="0.42604486939132608"/>
          <c:h val="9.2662741731082729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2940787499309"/>
          <c:y val="3.8194444444444448E-2"/>
          <c:w val="0.87720006319148713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Exports of biodiesel</c:v>
          </c:tx>
          <c:spPr>
            <a:ln w="28575" cap="rnd">
              <a:solidFill>
                <a:srgbClr val="2B83B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BIODIESEL!$B$10:$P$10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BIODIESEL!$B$14:$P$14</c:f>
              <c:numCache>
                <c:formatCode>0.0</c:formatCode>
                <c:ptCount val="15"/>
                <c:pt idx="0">
                  <c:v>108.696</c:v>
                </c:pt>
                <c:pt idx="1">
                  <c:v>75.558000000000007</c:v>
                </c:pt>
                <c:pt idx="2">
                  <c:v>128.352</c:v>
                </c:pt>
                <c:pt idx="3">
                  <c:v>196.35</c:v>
                </c:pt>
                <c:pt idx="4">
                  <c:v>82.908000000000001</c:v>
                </c:pt>
                <c:pt idx="5">
                  <c:v>87.822000000000003</c:v>
                </c:pt>
                <c:pt idx="6">
                  <c:v>88.116</c:v>
                </c:pt>
                <c:pt idx="7">
                  <c:v>93.156000000000006</c:v>
                </c:pt>
                <c:pt idx="8">
                  <c:v>103.74</c:v>
                </c:pt>
                <c:pt idx="9">
                  <c:v>114.66</c:v>
                </c:pt>
                <c:pt idx="10">
                  <c:v>145.23599999999999</c:v>
                </c:pt>
                <c:pt idx="11">
                  <c:v>186.98400000000001</c:v>
                </c:pt>
                <c:pt idx="12">
                  <c:v>238.18200000000002</c:v>
                </c:pt>
                <c:pt idx="13">
                  <c:v>251.16</c:v>
                </c:pt>
                <c:pt idx="14">
                  <c:v>180.726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B-47FE-BDDA-5B6C1E017D02}"/>
            </c:ext>
          </c:extLst>
        </c:ser>
        <c:ser>
          <c:idx val="2"/>
          <c:order val="1"/>
          <c:tx>
            <c:v>Imports of biodiesel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BIODIESEL!$B$10:$P$10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BIODIESEL!$B$13:$P$13</c:f>
              <c:numCache>
                <c:formatCode>0.0</c:formatCode>
                <c:ptCount val="15"/>
                <c:pt idx="0">
                  <c:v>23.687999999999999</c:v>
                </c:pt>
                <c:pt idx="1">
                  <c:v>37.380000000000003</c:v>
                </c:pt>
                <c:pt idx="2">
                  <c:v>35.826000000000001</c:v>
                </c:pt>
                <c:pt idx="3">
                  <c:v>342.38400000000001</c:v>
                </c:pt>
                <c:pt idx="4">
                  <c:v>192.27600000000001</c:v>
                </c:pt>
                <c:pt idx="5">
                  <c:v>352.75799999999998</c:v>
                </c:pt>
                <c:pt idx="6">
                  <c:v>708.91800000000001</c:v>
                </c:pt>
                <c:pt idx="7">
                  <c:v>393.70800000000003</c:v>
                </c:pt>
                <c:pt idx="8">
                  <c:v>166.69800000000001</c:v>
                </c:pt>
                <c:pt idx="9">
                  <c:v>171.27600000000001</c:v>
                </c:pt>
                <c:pt idx="10">
                  <c:v>196.72799999999998</c:v>
                </c:pt>
                <c:pt idx="11">
                  <c:v>210.21</c:v>
                </c:pt>
                <c:pt idx="12">
                  <c:v>249.9</c:v>
                </c:pt>
                <c:pt idx="13">
                  <c:v>501.01799999999997</c:v>
                </c:pt>
                <c:pt idx="14">
                  <c:v>429.702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B-47FE-BDDA-5B6C1E017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layout>
            <c:manualLayout>
              <c:xMode val="edge"/>
              <c:yMode val="edge"/>
              <c:x val="4.3024146327286352E-3"/>
              <c:y val="0.36138588145231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8100065913625495E-2"/>
          <c:y val="5.9027777777777776E-2"/>
          <c:w val="0.26136232970878642"/>
          <c:h val="9.2662741731082729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2940787499309"/>
          <c:y val="3.8194444444444448E-2"/>
          <c:w val="0.87720003749531306"/>
          <c:h val="0.87947315179352581"/>
        </c:manualLayout>
      </c:layout>
      <c:barChart>
        <c:barDir val="col"/>
        <c:grouping val="clustered"/>
        <c:varyColors val="0"/>
        <c:ser>
          <c:idx val="1"/>
          <c:order val="0"/>
          <c:tx>
            <c:v>Biodiesel production capacity</c:v>
          </c:tx>
          <c:spPr>
            <a:solidFill>
              <a:srgbClr val="3182BD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BIODIESEL!$K$3:$P$3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BIODIESEL!$K$8:$P$8</c:f>
              <c:numCache>
                <c:formatCode>0.0</c:formatCode>
                <c:ptCount val="6"/>
                <c:pt idx="0">
                  <c:v>2.5630000000000002</c:v>
                </c:pt>
                <c:pt idx="1">
                  <c:v>2.5139999999999998</c:v>
                </c:pt>
                <c:pt idx="2">
                  <c:v>2.4089999999999998</c:v>
                </c:pt>
                <c:pt idx="3">
                  <c:v>2.2549999999999999</c:v>
                </c:pt>
                <c:pt idx="4">
                  <c:v>2.0859999999999999</c:v>
                </c:pt>
                <c:pt idx="5">
                  <c:v>1.986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F-43C4-BC98-1EB3A0F5BC4C}"/>
            </c:ext>
          </c:extLst>
        </c:ser>
        <c:ser>
          <c:idx val="2"/>
          <c:order val="1"/>
          <c:tx>
            <c:v>Renewable diesel production capacity</c:v>
          </c:tx>
          <c:spPr>
            <a:solidFill>
              <a:srgbClr val="ABDDA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BIODIESEL!$K$3:$P$3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'RENEWABLE DIESEL'!$K$6:$P$6</c:f>
              <c:numCache>
                <c:formatCode>General</c:formatCode>
                <c:ptCount val="6"/>
                <c:pt idx="2" formatCode="0.0">
                  <c:v>0.79100000000000004</c:v>
                </c:pt>
                <c:pt idx="3" formatCode="0.0">
                  <c:v>1.75</c:v>
                </c:pt>
                <c:pt idx="4" formatCode="0.0">
                  <c:v>3</c:v>
                </c:pt>
                <c:pt idx="5" formatCode="0.0">
                  <c:v>4.7190000000000003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F-43C4-BC98-1EB3A0F5B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 gallons</a:t>
                </a:r>
              </a:p>
            </c:rich>
          </c:tx>
          <c:layout>
            <c:manualLayout>
              <c:xMode val="edge"/>
              <c:yMode val="edge"/>
              <c:x val="2.2159573803274591E-2"/>
              <c:y val="0.34055254811898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794135108111486"/>
          <c:y val="5.5555555555555552E-2"/>
          <c:w val="0.72610704911886015"/>
          <c:h val="5.9247320647419076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19410073740784"/>
          <c:y val="3.8194444444444448E-2"/>
          <c:w val="0.86383764529433815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Total renewable diesel production in the U.S.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'RENEWABLE DIESEL'!$B$3:$P$3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'RENEWABLE DIESEL'!$B$9:$P$9</c:f>
              <c:numCache>
                <c:formatCode>_(* #,##0_);_(* \(#,##0\);_(* "-"??_);_(@_)</c:formatCode>
                <c:ptCount val="15"/>
                <c:pt idx="0">
                  <c:v>8.7765930000000001</c:v>
                </c:pt>
                <c:pt idx="1">
                  <c:v>62.041289999999996</c:v>
                </c:pt>
                <c:pt idx="2">
                  <c:v>52.401102000000002</c:v>
                </c:pt>
                <c:pt idx="3">
                  <c:v>113.285858</c:v>
                </c:pt>
                <c:pt idx="4">
                  <c:v>159.14120600000001</c:v>
                </c:pt>
                <c:pt idx="5">
                  <c:v>176.84761599999999</c:v>
                </c:pt>
                <c:pt idx="6">
                  <c:v>241.487435</c:v>
                </c:pt>
                <c:pt idx="7">
                  <c:v>258.34212500000001</c:v>
                </c:pt>
                <c:pt idx="8">
                  <c:v>305.48444699999999</c:v>
                </c:pt>
                <c:pt idx="9">
                  <c:v>492.00795799999997</c:v>
                </c:pt>
                <c:pt idx="10">
                  <c:v>534</c:v>
                </c:pt>
                <c:pt idx="11">
                  <c:v>861</c:v>
                </c:pt>
                <c:pt idx="12">
                  <c:v>1499</c:v>
                </c:pt>
                <c:pt idx="13">
                  <c:v>2593</c:v>
                </c:pt>
                <c:pt idx="14">
                  <c:v>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C-4A64-921C-57E91F953228}"/>
            </c:ext>
          </c:extLst>
        </c:ser>
        <c:ser>
          <c:idx val="2"/>
          <c:order val="1"/>
          <c:tx>
            <c:v>Total renewable diesel consumption in the U.S.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'RENEWABLE DIESEL'!$B$3:$P$3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'RENEWABLE DIESEL'!$B$10:$P$10</c:f>
              <c:numCache>
                <c:formatCode>_(* #,##0_);_(* \(#,##0\);_(* "-"??_);_(@_)</c:formatCode>
                <c:ptCount val="15"/>
                <c:pt idx="0">
                  <c:v>8.7765930000000001</c:v>
                </c:pt>
                <c:pt idx="1">
                  <c:v>62.041289999999996</c:v>
                </c:pt>
                <c:pt idx="2">
                  <c:v>102.674024</c:v>
                </c:pt>
                <c:pt idx="3">
                  <c:v>416.68540000000002</c:v>
                </c:pt>
                <c:pt idx="4">
                  <c:v>487.892696</c:v>
                </c:pt>
                <c:pt idx="5">
                  <c:v>513.14457400000003</c:v>
                </c:pt>
                <c:pt idx="6">
                  <c:v>591.17347099999995</c:v>
                </c:pt>
                <c:pt idx="7">
                  <c:v>602.72382000000005</c:v>
                </c:pt>
                <c:pt idx="8">
                  <c:v>615.33108400000003</c:v>
                </c:pt>
                <c:pt idx="9">
                  <c:v>912.38458300000002</c:v>
                </c:pt>
                <c:pt idx="10">
                  <c:v>966</c:v>
                </c:pt>
                <c:pt idx="11">
                  <c:v>1209</c:v>
                </c:pt>
                <c:pt idx="12">
                  <c:v>1718</c:v>
                </c:pt>
                <c:pt idx="13">
                  <c:v>2868</c:v>
                </c:pt>
                <c:pt idx="14">
                  <c:v>3671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C-4A64-921C-57E91F953228}"/>
            </c:ext>
          </c:extLst>
        </c:ser>
        <c:ser>
          <c:idx val="0"/>
          <c:order val="2"/>
          <c:tx>
            <c:v>Total renewable diesel import in the U.S.</c:v>
          </c:tx>
          <c:spPr>
            <a:ln w="28575" cap="rnd">
              <a:solidFill>
                <a:srgbClr val="FDBF6F"/>
              </a:solidFill>
              <a:round/>
            </a:ln>
            <a:effectLst/>
          </c:spPr>
          <c:marker>
            <c:symbol val="none"/>
          </c:marker>
          <c:cat>
            <c:numRef>
              <c:f>'RENEWABLE DIESEL'!$B$3:$P$3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'RENEWABLE DIESEL'!$B$12:$P$12</c:f>
              <c:numCache>
                <c:formatCode>_(* #,##0_);_(* \(#,##0\);_(* "-"??_);_(@_)</c:formatCode>
                <c:ptCount val="15"/>
                <c:pt idx="2">
                  <c:v>25.367999999999999</c:v>
                </c:pt>
                <c:pt idx="3">
                  <c:v>206.68199999999999</c:v>
                </c:pt>
                <c:pt idx="4">
                  <c:v>120.666</c:v>
                </c:pt>
                <c:pt idx="5">
                  <c:v>204.708</c:v>
                </c:pt>
                <c:pt idx="6">
                  <c:v>222.768</c:v>
                </c:pt>
                <c:pt idx="7">
                  <c:v>189.37799999999999</c:v>
                </c:pt>
                <c:pt idx="8">
                  <c:v>173.08199999999999</c:v>
                </c:pt>
                <c:pt idx="9">
                  <c:v>258.00599999999997</c:v>
                </c:pt>
                <c:pt idx="10">
                  <c:v>279.63600000000002</c:v>
                </c:pt>
                <c:pt idx="11">
                  <c:v>392.28</c:v>
                </c:pt>
                <c:pt idx="12">
                  <c:v>262.66800000000001</c:v>
                </c:pt>
                <c:pt idx="13">
                  <c:v>362.12400000000002</c:v>
                </c:pt>
                <c:pt idx="14">
                  <c:v>520.548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AC-4A64-921C-57E91F953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gallons</a:t>
                </a:r>
              </a:p>
            </c:rich>
          </c:tx>
          <c:layout>
            <c:manualLayout>
              <c:xMode val="edge"/>
              <c:yMode val="edge"/>
              <c:x val="1.984126984126984E-3"/>
              <c:y val="0.35791365923009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141107361579802"/>
          <c:y val="5.2215660542432193E-2"/>
          <c:w val="0.47416666666666657"/>
          <c:h val="0.17253362860892388"/>
        </c:manualLayout>
      </c:layout>
      <c:overlay val="1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8225148033269"/>
          <c:y val="3.5234791332352307E-2"/>
          <c:w val="0.85725534848351226"/>
          <c:h val="0.87769393562076492"/>
        </c:manualLayout>
      </c:layout>
      <c:barChart>
        <c:barDir val="col"/>
        <c:grouping val="stacked"/>
        <c:varyColors val="0"/>
        <c:ser>
          <c:idx val="0"/>
          <c:order val="0"/>
          <c:tx>
            <c:v>Tallow</c:v>
          </c:tx>
          <c:spPr>
            <a:solidFill>
              <a:srgbClr val="3E6B8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E6B8A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1F85-4174-BB73-E6EFB7D8F5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FATS!$C$3:$P$3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FATS!$C$6:$P$6</c:f>
              <c:numCache>
                <c:formatCode>_(* #,##0_);_(* \(#,##0\);_(* "-"??_);_(@_)</c:formatCode>
                <c:ptCount val="14"/>
                <c:pt idx="0">
                  <c:v>2646.2</c:v>
                </c:pt>
                <c:pt idx="1">
                  <c:v>2608.6999999999998</c:v>
                </c:pt>
                <c:pt idx="2">
                  <c:v>2589.3000000000002</c:v>
                </c:pt>
                <c:pt idx="3">
                  <c:v>2441.4</c:v>
                </c:pt>
                <c:pt idx="4">
                  <c:v>2385.6999999999998</c:v>
                </c:pt>
                <c:pt idx="5">
                  <c:v>2559.5276650600426</c:v>
                </c:pt>
                <c:pt idx="6">
                  <c:v>2594.9246628220167</c:v>
                </c:pt>
                <c:pt idx="7">
                  <c:v>2770.7838350519955</c:v>
                </c:pt>
                <c:pt idx="8">
                  <c:v>2767.4195394947528</c:v>
                </c:pt>
                <c:pt idx="9">
                  <c:v>2601.9476354676676</c:v>
                </c:pt>
                <c:pt idx="10">
                  <c:v>2860.8006270462693</c:v>
                </c:pt>
                <c:pt idx="11">
                  <c:v>2834.1543357546097</c:v>
                </c:pt>
                <c:pt idx="12">
                  <c:v>2793.1327910181431</c:v>
                </c:pt>
                <c:pt idx="13">
                  <c:v>2895.3357990621525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1-4041-B5BF-7021B385760F}"/>
            </c:ext>
          </c:extLst>
        </c:ser>
        <c:ser>
          <c:idx val="1"/>
          <c:order val="1"/>
          <c:tx>
            <c:v>Poultry Fat</c:v>
          </c:tx>
          <c:spPr>
            <a:solidFill>
              <a:srgbClr val="B85C3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FATS!$C$3:$P$3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FATS!$C$5:$P$5</c:f>
              <c:numCache>
                <c:formatCode>_(* #,##0_);_(* \(#,##0\);_(* "-"??_);_(@_)</c:formatCode>
                <c:ptCount val="14"/>
                <c:pt idx="0">
                  <c:v>1004.9</c:v>
                </c:pt>
                <c:pt idx="1">
                  <c:v>1025.2</c:v>
                </c:pt>
                <c:pt idx="2">
                  <c:v>1040.2</c:v>
                </c:pt>
                <c:pt idx="3">
                  <c:v>1056.5</c:v>
                </c:pt>
                <c:pt idx="4">
                  <c:v>1088.8</c:v>
                </c:pt>
                <c:pt idx="5">
                  <c:v>1113.3191993910975</c:v>
                </c:pt>
                <c:pt idx="6">
                  <c:v>1095.3070412977827</c:v>
                </c:pt>
                <c:pt idx="7">
                  <c:v>1025.5640195915673</c:v>
                </c:pt>
                <c:pt idx="8">
                  <c:v>1133.8828152853416</c:v>
                </c:pt>
                <c:pt idx="9">
                  <c:v>1146.5185415005385</c:v>
                </c:pt>
                <c:pt idx="10">
                  <c:v>957.10647902452217</c:v>
                </c:pt>
                <c:pt idx="11">
                  <c:v>917.95192100958809</c:v>
                </c:pt>
                <c:pt idx="12">
                  <c:v>1039.6036145878977</c:v>
                </c:pt>
                <c:pt idx="13">
                  <c:v>1010.6589701091616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1-4041-B5BF-7021B385760F}"/>
            </c:ext>
          </c:extLst>
        </c:ser>
        <c:ser>
          <c:idx val="2"/>
          <c:order val="2"/>
          <c:tx>
            <c:v>White Grease</c:v>
          </c:tx>
          <c:spPr>
            <a:solidFill>
              <a:srgbClr val="2D5F3F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FATS!$C$3:$P$3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FATS!$C$7:$P$7</c:f>
              <c:numCache>
                <c:formatCode>_(* #,##0_);_(* \(#,##0\);_(* "-"??_);_(@_)</c:formatCode>
                <c:ptCount val="14"/>
                <c:pt idx="0">
                  <c:v>721.5</c:v>
                </c:pt>
                <c:pt idx="1">
                  <c:v>720</c:v>
                </c:pt>
                <c:pt idx="2">
                  <c:v>718</c:v>
                </c:pt>
                <c:pt idx="3">
                  <c:v>707.3</c:v>
                </c:pt>
                <c:pt idx="4">
                  <c:v>758.7</c:v>
                </c:pt>
                <c:pt idx="5" formatCode="0">
                  <c:v>620.28774093699519</c:v>
                </c:pt>
                <c:pt idx="6" formatCode="0">
                  <c:v>592.27658981902573</c:v>
                </c:pt>
                <c:pt idx="7" formatCode="0">
                  <c:v>587.38096598872733</c:v>
                </c:pt>
                <c:pt idx="8" formatCode="0">
                  <c:v>610.88612923213145</c:v>
                </c:pt>
                <c:pt idx="9" formatCode="0">
                  <c:v>596.55305988963187</c:v>
                </c:pt>
                <c:pt idx="10" formatCode="0">
                  <c:v>565.86571303379901</c:v>
                </c:pt>
                <c:pt idx="11" formatCode="0">
                  <c:v>617.36524447274871</c:v>
                </c:pt>
                <c:pt idx="12" formatCode="0">
                  <c:v>608.62406344488988</c:v>
                </c:pt>
                <c:pt idx="13" formatCode="0">
                  <c:v>567.61431211336912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E1-4041-B5BF-7021B385760F}"/>
            </c:ext>
          </c:extLst>
        </c:ser>
        <c:ser>
          <c:idx val="4"/>
          <c:order val="3"/>
          <c:tx>
            <c:v>Yellow Grease</c:v>
          </c:tx>
          <c:spPr>
            <a:solidFill>
              <a:srgbClr val="D4A24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12"/>
              <c:layout>
                <c:manualLayout>
                  <c:x val="1.9929215193781125E-3"/>
                  <c:y val="-3.52347913323523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03-4D06-90CF-82DBF2DBCD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FATS!$C$3:$P$3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FATS!$C$8:$P$8</c:f>
              <c:numCache>
                <c:formatCode>_(* #,##0_);_(* \(#,##0\);_(* "-"??_);_(@_)</c:formatCode>
                <c:ptCount val="14"/>
                <c:pt idx="0">
                  <c:v>906.4</c:v>
                </c:pt>
                <c:pt idx="1">
                  <c:v>885.9</c:v>
                </c:pt>
                <c:pt idx="2">
                  <c:v>896.4</c:v>
                </c:pt>
                <c:pt idx="3">
                  <c:v>933.2</c:v>
                </c:pt>
                <c:pt idx="4">
                  <c:v>926.4</c:v>
                </c:pt>
                <c:pt idx="5">
                  <c:v>916.37024396926097</c:v>
                </c:pt>
                <c:pt idx="6">
                  <c:v>913.01093792949541</c:v>
                </c:pt>
                <c:pt idx="7">
                  <c:v>992.22179584527419</c:v>
                </c:pt>
                <c:pt idx="8">
                  <c:v>1007.6961039125982</c:v>
                </c:pt>
                <c:pt idx="9">
                  <c:v>946.68065545930324</c:v>
                </c:pt>
                <c:pt idx="10">
                  <c:v>999.79951211590924</c:v>
                </c:pt>
                <c:pt idx="11">
                  <c:v>979.47811461556682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E1-4041-B5BF-7021B38576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Thousand metric tons</a:t>
                </a:r>
              </a:p>
            </c:rich>
          </c:tx>
          <c:layout>
            <c:manualLayout>
              <c:xMode val="edge"/>
              <c:yMode val="edge"/>
              <c:x val="1.5872933633710156E-2"/>
              <c:y val="0.33683547166747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573748629978582"/>
          <c:y val="4.1715816074150501E-2"/>
          <c:w val="0.80633365715143546"/>
          <c:h val="5.8453383195599791E-2"/>
        </c:manualLayout>
      </c:layout>
      <c:overlay val="1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45499977377517E-2"/>
          <c:y val="3.4750814565427716E-2"/>
          <c:w val="0.86727942330967644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Exports of animal fats and recycled greases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FATS!$D$23:$P$23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FATS!$D$28:$P$28</c:f>
              <c:numCache>
                <c:formatCode>0</c:formatCode>
                <c:ptCount val="13"/>
                <c:pt idx="0">
                  <c:v>1054.9000000000001</c:v>
                </c:pt>
                <c:pt idx="1">
                  <c:v>859.19999999999993</c:v>
                </c:pt>
                <c:pt idx="2">
                  <c:v>816.8</c:v>
                </c:pt>
                <c:pt idx="3">
                  <c:v>697.3</c:v>
                </c:pt>
                <c:pt idx="4">
                  <c:v>723.8</c:v>
                </c:pt>
                <c:pt idx="5">
                  <c:v>736.6</c:v>
                </c:pt>
                <c:pt idx="6">
                  <c:v>838.09999999999991</c:v>
                </c:pt>
                <c:pt idx="7">
                  <c:v>906</c:v>
                </c:pt>
                <c:pt idx="8">
                  <c:v>1103.0999999999999</c:v>
                </c:pt>
                <c:pt idx="9">
                  <c:v>1047.0999999999999</c:v>
                </c:pt>
                <c:pt idx="10">
                  <c:v>748.2</c:v>
                </c:pt>
                <c:pt idx="11">
                  <c:v>365.80700000000002</c:v>
                </c:pt>
                <c:pt idx="12">
                  <c:v>353.14400000000001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C-4EF0-8E64-6D297D79BD44}"/>
            </c:ext>
          </c:extLst>
        </c:ser>
        <c:ser>
          <c:idx val="2"/>
          <c:order val="1"/>
          <c:tx>
            <c:v>Imports of animal fats and recycled greases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FATS!$D$23:$P$23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FATS!$D$34:$P$34</c:f>
              <c:numCache>
                <c:formatCode>0</c:formatCode>
                <c:ptCount val="13"/>
                <c:pt idx="0">
                  <c:v>96.9</c:v>
                </c:pt>
                <c:pt idx="1">
                  <c:v>102.30000000000001</c:v>
                </c:pt>
                <c:pt idx="2">
                  <c:v>105</c:v>
                </c:pt>
                <c:pt idx="3">
                  <c:v>127.20000000000002</c:v>
                </c:pt>
                <c:pt idx="4">
                  <c:v>136.5</c:v>
                </c:pt>
                <c:pt idx="5">
                  <c:v>185</c:v>
                </c:pt>
                <c:pt idx="6">
                  <c:v>243.69000000000003</c:v>
                </c:pt>
                <c:pt idx="7">
                  <c:v>310.7</c:v>
                </c:pt>
                <c:pt idx="8">
                  <c:v>351.2</c:v>
                </c:pt>
                <c:pt idx="9">
                  <c:v>509.40000000000003</c:v>
                </c:pt>
                <c:pt idx="10">
                  <c:v>1023.2</c:v>
                </c:pt>
                <c:pt idx="11">
                  <c:v>2274.3999999999996</c:v>
                </c:pt>
                <c:pt idx="12">
                  <c:v>3329.3629999999998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C-4EF0-8E64-6D297D79B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Thousand metric tons</a:t>
                </a:r>
              </a:p>
            </c:rich>
          </c:tx>
          <c:layout>
            <c:manualLayout>
              <c:xMode val="edge"/>
              <c:yMode val="edge"/>
              <c:x val="3.3417692566914696E-4"/>
              <c:y val="0.323191437007874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000482595850113"/>
          <c:y val="5.9027777777777776E-2"/>
          <c:w val="0.45026496687914008"/>
          <c:h val="9.2662741731082729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19410073740784"/>
          <c:y val="3.8194444444444448E-2"/>
          <c:w val="0.86383764529433815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Total renewable jet fuel production in the U.S.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'RENEWABLE JET FUEL'!$H$3:$P$3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'RENEWABLE JET FUEL'!$H$4:$P$4</c:f>
              <c:numCache>
                <c:formatCode>0.0</c:formatCode>
                <c:ptCount val="9"/>
                <c:pt idx="0">
                  <c:v>1.9437169999999999</c:v>
                </c:pt>
                <c:pt idx="1">
                  <c:v>1.711017</c:v>
                </c:pt>
                <c:pt idx="2">
                  <c:v>1.8281780000000001</c:v>
                </c:pt>
                <c:pt idx="3">
                  <c:v>2.4287019999999999</c:v>
                </c:pt>
                <c:pt idx="4">
                  <c:v>4.6083990000000004</c:v>
                </c:pt>
                <c:pt idx="5">
                  <c:v>5.0800729999999996</c:v>
                </c:pt>
                <c:pt idx="6">
                  <c:v>7.8931370000000003</c:v>
                </c:pt>
                <c:pt idx="7">
                  <c:v>14.016105</c:v>
                </c:pt>
                <c:pt idx="8">
                  <c:v>38.714565999999998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A-4831-8065-EF4B8C273ABF}"/>
            </c:ext>
          </c:extLst>
        </c:ser>
        <c:ser>
          <c:idx val="2"/>
          <c:order val="1"/>
          <c:tx>
            <c:v>Total renewable jet fuel consumption in the U.S.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'RENEWABLE JET FUEL'!$H$3:$P$3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'RENEWABLE JET FUEL'!$H$5:$P$5</c:f>
              <c:numCache>
                <c:formatCode>0.0</c:formatCode>
                <c:ptCount val="9"/>
                <c:pt idx="0">
                  <c:v>1.9437169999999999</c:v>
                </c:pt>
                <c:pt idx="1">
                  <c:v>1.711017</c:v>
                </c:pt>
                <c:pt idx="2">
                  <c:v>1.8281780000000001</c:v>
                </c:pt>
                <c:pt idx="3">
                  <c:v>2.4287019999999999</c:v>
                </c:pt>
                <c:pt idx="4">
                  <c:v>4.6083990000000004</c:v>
                </c:pt>
                <c:pt idx="5">
                  <c:v>5.0800729999999996</c:v>
                </c:pt>
                <c:pt idx="6">
                  <c:v>15.819877</c:v>
                </c:pt>
                <c:pt idx="7">
                  <c:v>26.300097000000001</c:v>
                </c:pt>
                <c:pt idx="8">
                  <c:v>103.03825399999999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6A-4831-8065-EF4B8C27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gallons</a:t>
                </a:r>
              </a:p>
            </c:rich>
          </c:tx>
          <c:layout>
            <c:manualLayout>
              <c:xMode val="edge"/>
              <c:yMode val="edge"/>
              <c:x val="1.984126984126984E-3"/>
              <c:y val="0.35791365923009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141107361579802"/>
          <c:y val="5.2215660542432193E-2"/>
          <c:w val="0.49003968253968255"/>
          <c:h val="0.17253362860892388"/>
        </c:manualLayout>
      </c:layout>
      <c:overlay val="1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9670392348691E-2"/>
          <c:y val="2.8028683914510674E-2"/>
          <c:w val="0.88461623208770401"/>
          <c:h val="0.87787714035745534"/>
        </c:manualLayout>
      </c:layout>
      <c:lineChart>
        <c:grouping val="standard"/>
        <c:varyColors val="0"/>
        <c:ser>
          <c:idx val="1"/>
          <c:order val="0"/>
          <c:tx>
            <c:v>Total wood pellets production in the U.S.</c:v>
          </c:tx>
          <c:spPr>
            <a:ln w="28575" cap="rnd">
              <a:solidFill>
                <a:srgbClr val="D4A24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'WOOD PELLETS'!$D$11:$P$11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'WOOD PELLETS'!$D$12:$P$12</c:f>
              <c:numCache>
                <c:formatCode>0.0</c:formatCode>
                <c:ptCount val="13"/>
                <c:pt idx="0">
                  <c:v>3.4740000000000002</c:v>
                </c:pt>
                <c:pt idx="1">
                  <c:v>4.7039999999999997</c:v>
                </c:pt>
                <c:pt idx="2">
                  <c:v>5.9470000000000001</c:v>
                </c:pt>
                <c:pt idx="3">
                  <c:v>6.5170000000000003</c:v>
                </c:pt>
                <c:pt idx="4">
                  <c:v>6.3929999999999998</c:v>
                </c:pt>
                <c:pt idx="5">
                  <c:v>6.9</c:v>
                </c:pt>
                <c:pt idx="6">
                  <c:v>7.4683609999999998</c:v>
                </c:pt>
                <c:pt idx="7">
                  <c:v>8.5927129999999998</c:v>
                </c:pt>
                <c:pt idx="8">
                  <c:v>8.4123590000000004</c:v>
                </c:pt>
                <c:pt idx="9">
                  <c:v>8.4486000000000008</c:v>
                </c:pt>
                <c:pt idx="10">
                  <c:v>9.5440000000000005</c:v>
                </c:pt>
                <c:pt idx="11">
                  <c:v>9.820703</c:v>
                </c:pt>
                <c:pt idx="12">
                  <c:v>9.7159999999999993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B-4FD2-B98B-5E1CAAF0C964}"/>
            </c:ext>
          </c:extLst>
        </c:ser>
        <c:ser>
          <c:idx val="0"/>
          <c:order val="1"/>
          <c:tx>
            <c:v>Total wood pellets consumption in the U.S.</c:v>
          </c:tx>
          <c:spPr>
            <a:ln w="28575" cap="rnd">
              <a:solidFill>
                <a:srgbClr val="2D5F3F"/>
              </a:solidFill>
              <a:round/>
            </a:ln>
            <a:effectLst/>
          </c:spPr>
          <c:marker>
            <c:symbol val="none"/>
          </c:marker>
          <c:cat>
            <c:numRef>
              <c:f>'WOOD PELLETS'!$D$11:$P$11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'WOOD PELLETS'!$D$15:$P$15</c:f>
              <c:numCache>
                <c:formatCode>0.0</c:formatCode>
                <c:ptCount val="13"/>
                <c:pt idx="0">
                  <c:v>1.661875</c:v>
                </c:pt>
                <c:pt idx="1">
                  <c:v>1.9739249999999995</c:v>
                </c:pt>
                <c:pt idx="2">
                  <c:v>2.1619299999999999</c:v>
                </c:pt>
                <c:pt idx="3">
                  <c:v>2.0550000000000006</c:v>
                </c:pt>
                <c:pt idx="4">
                  <c:v>1.565791330965</c:v>
                </c:pt>
                <c:pt idx="5">
                  <c:v>1.71593498439</c:v>
                </c:pt>
                <c:pt idx="6">
                  <c:v>1.9029738517650001</c:v>
                </c:pt>
                <c:pt idx="7">
                  <c:v>2.01419019684</c:v>
                </c:pt>
                <c:pt idx="8">
                  <c:v>1.97945408319</c:v>
                </c:pt>
                <c:pt idx="9">
                  <c:v>1.56095149899</c:v>
                </c:pt>
                <c:pt idx="10">
                  <c:v>1.6379896491900001</c:v>
                </c:pt>
                <c:pt idx="11">
                  <c:v>1.62286868961</c:v>
                </c:pt>
                <c:pt idx="12">
                  <c:v>1.3984565217900002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B-4FD2-B98B-5E1CAAF0C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metric tons</a:t>
                </a:r>
              </a:p>
            </c:rich>
          </c:tx>
          <c:layout>
            <c:manualLayout>
              <c:xMode val="edge"/>
              <c:yMode val="edge"/>
              <c:x val="1.3930492080098378E-2"/>
              <c:y val="0.302498086176727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6147825271841014E-2"/>
          <c:y val="5.5555555555555552E-2"/>
          <c:w val="0.45742360329958764"/>
          <c:h val="0.12174732064741908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9670392348691E-2"/>
          <c:y val="2.8028683914510674E-2"/>
          <c:w val="0.88461623208770401"/>
          <c:h val="0.87787714035745534"/>
        </c:manualLayout>
      </c:layout>
      <c:lineChart>
        <c:grouping val="standard"/>
        <c:varyColors val="0"/>
        <c:ser>
          <c:idx val="1"/>
          <c:order val="0"/>
          <c:tx>
            <c:v>Exports of wood pellets</c:v>
          </c:tx>
          <c:spPr>
            <a:ln w="28575" cap="rnd">
              <a:solidFill>
                <a:srgbClr val="D4A24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'WOOD PELLETS'!$D$11:$P$11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'WOOD PELLETS'!$D$14:$P$14</c:f>
              <c:numCache>
                <c:formatCode>0.0</c:formatCode>
                <c:ptCount val="13"/>
                <c:pt idx="0">
                  <c:v>1.8981250000000001</c:v>
                </c:pt>
                <c:pt idx="1">
                  <c:v>2.882517</c:v>
                </c:pt>
                <c:pt idx="2">
                  <c:v>4.0050569999999999</c:v>
                </c:pt>
                <c:pt idx="3">
                  <c:v>4.6689999999999996</c:v>
                </c:pt>
                <c:pt idx="4">
                  <c:v>4.7089999999999996</c:v>
                </c:pt>
                <c:pt idx="5">
                  <c:v>5.2039809999999997</c:v>
                </c:pt>
                <c:pt idx="6">
                  <c:v>6.0170000000000003</c:v>
                </c:pt>
                <c:pt idx="7">
                  <c:v>6.8584620000000003</c:v>
                </c:pt>
                <c:pt idx="8">
                  <c:v>7.2568599999999996</c:v>
                </c:pt>
                <c:pt idx="9">
                  <c:v>7.5225499999999998</c:v>
                </c:pt>
                <c:pt idx="10">
                  <c:v>8.9771599999999996</c:v>
                </c:pt>
                <c:pt idx="11">
                  <c:v>9.5399999999999991</c:v>
                </c:pt>
                <c:pt idx="12">
                  <c:v>10.004020000000001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1-4605-A5E6-ACF279C457E5}"/>
            </c:ext>
          </c:extLst>
        </c:ser>
        <c:ser>
          <c:idx val="0"/>
          <c:order val="1"/>
          <c:tx>
            <c:v>Imports of wood pellets</c:v>
          </c:tx>
          <c:spPr>
            <a:ln w="28575" cap="rnd">
              <a:solidFill>
                <a:srgbClr val="2D5F3F"/>
              </a:solidFill>
              <a:round/>
            </a:ln>
            <a:effectLst/>
          </c:spPr>
          <c:marker>
            <c:symbol val="none"/>
          </c:marker>
          <c:cat>
            <c:numRef>
              <c:f>'WOOD PELLETS'!$D$11:$P$11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'WOOD PELLETS'!$D$13:$P$13</c:f>
              <c:numCache>
                <c:formatCode>0.00</c:formatCode>
                <c:ptCount val="13"/>
                <c:pt idx="0">
                  <c:v>8.5999999999999993E-2</c:v>
                </c:pt>
                <c:pt idx="1">
                  <c:v>0.15244199999999999</c:v>
                </c:pt>
                <c:pt idx="2">
                  <c:v>0.21998699999999999</c:v>
                </c:pt>
                <c:pt idx="3">
                  <c:v>0.20699999999999999</c:v>
                </c:pt>
                <c:pt idx="4">
                  <c:v>0.204847</c:v>
                </c:pt>
                <c:pt idx="5">
                  <c:v>0.211617</c:v>
                </c:pt>
                <c:pt idx="6">
                  <c:v>0.221</c:v>
                </c:pt>
                <c:pt idx="7">
                  <c:v>0.211615</c:v>
                </c:pt>
                <c:pt idx="8">
                  <c:v>0.204958</c:v>
                </c:pt>
                <c:pt idx="9">
                  <c:v>0.19595099999999999</c:v>
                </c:pt>
                <c:pt idx="10">
                  <c:v>0.19441999999999998</c:v>
                </c:pt>
                <c:pt idx="11">
                  <c:v>0.17687224700000001</c:v>
                </c:pt>
                <c:pt idx="12">
                  <c:v>0.16037899999999999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1-4605-A5E6-ACF279C45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metric tons</a:t>
                </a:r>
              </a:p>
            </c:rich>
          </c:tx>
          <c:layout>
            <c:manualLayout>
              <c:xMode val="edge"/>
              <c:yMode val="edge"/>
              <c:x val="1.3930492080098378E-2"/>
              <c:y val="0.302498086176727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6147825271841014E-2"/>
          <c:y val="5.5555555555555552E-2"/>
          <c:w val="0.28877280964879393"/>
          <c:h val="0.12174732064741908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9719978525491"/>
          <c:y val="3.8194444444444448E-2"/>
          <c:w val="0.86922511355419818"/>
          <c:h val="0.87947315179352581"/>
        </c:manualLayout>
      </c:layout>
      <c:barChart>
        <c:barDir val="col"/>
        <c:grouping val="stacked"/>
        <c:varyColors val="0"/>
        <c:ser>
          <c:idx val="4"/>
          <c:order val="0"/>
          <c:tx>
            <c:v>Electricity generation</c:v>
          </c:tx>
          <c:spPr>
            <a:solidFill>
              <a:srgbClr val="2D5F3F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chemeClr val="bg1"/>
                    </a:solidFill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'WASTE TO ENERGY'!$B$11:$P$11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'WASTE TO ENERGY'!$B$23:$P$23</c:f>
              <c:numCache>
                <c:formatCode>0</c:formatCode>
                <c:ptCount val="15"/>
                <c:pt idx="0">
                  <c:v>144.934</c:v>
                </c:pt>
                <c:pt idx="1">
                  <c:v>135.24100000000001</c:v>
                </c:pt>
                <c:pt idx="2">
                  <c:v>135.73500000000001</c:v>
                </c:pt>
                <c:pt idx="3">
                  <c:v>135.76400000000001</c:v>
                </c:pt>
                <c:pt idx="4">
                  <c:v>134.40799999999999</c:v>
                </c:pt>
                <c:pt idx="5">
                  <c:v>133.11699999999999</c:v>
                </c:pt>
                <c:pt idx="6">
                  <c:v>135.95699999999999</c:v>
                </c:pt>
                <c:pt idx="7">
                  <c:v>130.94200000000001</c:v>
                </c:pt>
                <c:pt idx="8">
                  <c:v>134.465</c:v>
                </c:pt>
                <c:pt idx="9">
                  <c:v>115.114</c:v>
                </c:pt>
                <c:pt idx="10">
                  <c:v>114.81399999999999</c:v>
                </c:pt>
                <c:pt idx="11">
                  <c:v>113.173</c:v>
                </c:pt>
                <c:pt idx="12">
                  <c:v>108.508</c:v>
                </c:pt>
                <c:pt idx="13">
                  <c:v>103.306</c:v>
                </c:pt>
                <c:pt idx="14">
                  <c:v>100.831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8-4496-9335-874105B655E7}"/>
            </c:ext>
          </c:extLst>
        </c:ser>
        <c:ser>
          <c:idx val="3"/>
          <c:order val="1"/>
          <c:tx>
            <c:v>Heating</c:v>
          </c:tx>
          <c:spPr>
            <a:solidFill>
              <a:srgbClr val="D4A24C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'WASTE TO ENERGY'!$B$11:$P$11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'WASTE TO ENERGY'!$B$24:$P$24</c:f>
              <c:numCache>
                <c:formatCode>0</c:formatCode>
                <c:ptCount val="15"/>
                <c:pt idx="0">
                  <c:v>17.501999999999999</c:v>
                </c:pt>
                <c:pt idx="1">
                  <c:v>16.765999999999998</c:v>
                </c:pt>
                <c:pt idx="2">
                  <c:v>16.309999999999999</c:v>
                </c:pt>
                <c:pt idx="3">
                  <c:v>15.167999999999999</c:v>
                </c:pt>
                <c:pt idx="4">
                  <c:v>15.782999999999999</c:v>
                </c:pt>
                <c:pt idx="5">
                  <c:v>16.623000000000001</c:v>
                </c:pt>
                <c:pt idx="6">
                  <c:v>18.259</c:v>
                </c:pt>
                <c:pt idx="7">
                  <c:v>17.72</c:v>
                </c:pt>
                <c:pt idx="8">
                  <c:v>16.724</c:v>
                </c:pt>
                <c:pt idx="9">
                  <c:v>12.308</c:v>
                </c:pt>
                <c:pt idx="10">
                  <c:v>11.939</c:v>
                </c:pt>
                <c:pt idx="11">
                  <c:v>12.721</c:v>
                </c:pt>
                <c:pt idx="12">
                  <c:v>12.244</c:v>
                </c:pt>
                <c:pt idx="13">
                  <c:v>12.535</c:v>
                </c:pt>
                <c:pt idx="14">
                  <c:v>12.179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8-4496-9335-874105B655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Trillion BTUs</a:t>
                </a:r>
              </a:p>
            </c:rich>
          </c:tx>
          <c:layout>
            <c:manualLayout>
              <c:xMode val="edge"/>
              <c:yMode val="edge"/>
              <c:x val="5.7718921498449054E-3"/>
              <c:y val="0.375414752843394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028396086291038"/>
          <c:y val="5.406742125984252E-2"/>
          <c:w val="0.35085017843617528"/>
          <c:h val="5.9247320647419076E-2"/>
        </c:manualLayout>
      </c:layout>
      <c:overlay val="1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524871891013629E-2"/>
          <c:y val="3.857912292213473E-2"/>
          <c:w val="0.87750687414073236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v>Total biogas captured in landfill</c:v>
          </c:tx>
          <c:spPr>
            <a:ln w="28575" cap="rnd">
              <a:solidFill>
                <a:srgbClr val="2D5F3F"/>
              </a:solidFill>
              <a:round/>
            </a:ln>
            <a:effectLst/>
          </c:spPr>
          <c:marker>
            <c:symbol val="none"/>
          </c:marker>
          <c:cat>
            <c:numRef>
              <c:f>BIOGAS!$B$3:$P$3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BIOGAS!$B$24:$P$24</c:f>
              <c:numCache>
                <c:formatCode>0</c:formatCode>
                <c:ptCount val="15"/>
                <c:pt idx="0">
                  <c:v>219.95400000000001</c:v>
                </c:pt>
                <c:pt idx="1">
                  <c:v>235.99</c:v>
                </c:pt>
                <c:pt idx="2">
                  <c:v>259.56400000000002</c:v>
                </c:pt>
                <c:pt idx="3">
                  <c:v>272.798</c:v>
                </c:pt>
                <c:pt idx="4">
                  <c:v>287.69200000000001</c:v>
                </c:pt>
                <c:pt idx="5">
                  <c:v>284.05200000000002</c:v>
                </c:pt>
                <c:pt idx="6">
                  <c:v>277.72000000000003</c:v>
                </c:pt>
                <c:pt idx="7">
                  <c:v>282.05099999999999</c:v>
                </c:pt>
                <c:pt idx="8">
                  <c:v>273.85599999999999</c:v>
                </c:pt>
                <c:pt idx="9">
                  <c:v>261.06400000000002</c:v>
                </c:pt>
                <c:pt idx="10">
                  <c:v>256.512</c:v>
                </c:pt>
                <c:pt idx="11">
                  <c:v>235.90600000000001</c:v>
                </c:pt>
                <c:pt idx="12">
                  <c:v>216.14599999999999</c:v>
                </c:pt>
                <c:pt idx="13">
                  <c:v>197.71199999999999</c:v>
                </c:pt>
                <c:pt idx="14">
                  <c:v>184.874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20-4AA2-9975-D7D09D95A993}"/>
            </c:ext>
          </c:extLst>
        </c:ser>
        <c:ser>
          <c:idx val="1"/>
          <c:order val="1"/>
          <c:tx>
            <c:v>Total biogas captured in anaerobic digester</c:v>
          </c:tx>
          <c:spPr>
            <a:ln w="28575" cap="rnd">
              <a:solidFill>
                <a:srgbClr val="D4A24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BIOGAS!$B$3:$P$3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BIOGAS!$B$20:$P$20</c:f>
              <c:numCache>
                <c:formatCode>0.0</c:formatCode>
                <c:ptCount val="15"/>
                <c:pt idx="0">
                  <c:v>5.3880716000000026</c:v>
                </c:pt>
                <c:pt idx="1">
                  <c:v>5.5375620950000028</c:v>
                </c:pt>
                <c:pt idx="2">
                  <c:v>5.9042283200000032</c:v>
                </c:pt>
                <c:pt idx="3">
                  <c:v>7.1320503600000027</c:v>
                </c:pt>
                <c:pt idx="4">
                  <c:v>7.1768723600000026</c:v>
                </c:pt>
                <c:pt idx="5">
                  <c:v>7.8956303600000028</c:v>
                </c:pt>
                <c:pt idx="6">
                  <c:v>7.8956303600000028</c:v>
                </c:pt>
                <c:pt idx="7">
                  <c:v>7.8956303600000028</c:v>
                </c:pt>
                <c:pt idx="8">
                  <c:v>9.7217618600000026</c:v>
                </c:pt>
                <c:pt idx="9">
                  <c:v>10.652238110000003</c:v>
                </c:pt>
                <c:pt idx="10">
                  <c:v>12.763315985000002</c:v>
                </c:pt>
                <c:pt idx="11">
                  <c:v>17.167976115000002</c:v>
                </c:pt>
                <c:pt idx="12">
                  <c:v>18.214613615000001</c:v>
                </c:pt>
                <c:pt idx="13">
                  <c:v>18.251769155000002</c:v>
                </c:pt>
                <c:pt idx="14">
                  <c:v>23.144699639999999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0-4AA2-9975-D7D09D95A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Billion cubic feet</a:t>
                </a:r>
              </a:p>
            </c:rich>
          </c:tx>
          <c:layout>
            <c:manualLayout>
              <c:xMode val="edge"/>
              <c:yMode val="edge"/>
              <c:x val="1.9421009873765785E-3"/>
              <c:y val="0.37892197069116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8142263467066615E-2"/>
          <c:y val="5.2607994313210851E-2"/>
          <c:w val="0.46964285714285708"/>
          <c:h val="0.11328630796150481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11490304116682E-2"/>
          <c:y val="3.857919716506919E-2"/>
          <c:w val="0.90413815066906744"/>
          <c:h val="0.87825897008136433"/>
        </c:manualLayout>
      </c:layout>
      <c:barChart>
        <c:barDir val="col"/>
        <c:grouping val="stacked"/>
        <c:varyColors val="0"/>
        <c:ser>
          <c:idx val="0"/>
          <c:order val="0"/>
          <c:tx>
            <c:v>Landfill RNG Projects</c:v>
          </c:tx>
          <c:spPr>
            <a:solidFill>
              <a:srgbClr val="2D5F3F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BIOGAS!$B$34:$O$34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BIOGAS!$B$36:$O$36</c:f>
              <c:numCache>
                <c:formatCode>General</c:formatCode>
                <c:ptCount val="14"/>
                <c:pt idx="0">
                  <c:v>30</c:v>
                </c:pt>
                <c:pt idx="1">
                  <c:v>32</c:v>
                </c:pt>
                <c:pt idx="2">
                  <c:v>33</c:v>
                </c:pt>
                <c:pt idx="3">
                  <c:v>38</c:v>
                </c:pt>
                <c:pt idx="4">
                  <c:v>39</c:v>
                </c:pt>
                <c:pt idx="5">
                  <c:v>41</c:v>
                </c:pt>
                <c:pt idx="6">
                  <c:v>41</c:v>
                </c:pt>
                <c:pt idx="7">
                  <c:v>45</c:v>
                </c:pt>
                <c:pt idx="8">
                  <c:v>58</c:v>
                </c:pt>
                <c:pt idx="9">
                  <c:v>63</c:v>
                </c:pt>
                <c:pt idx="10">
                  <c:v>70</c:v>
                </c:pt>
                <c:pt idx="11">
                  <c:v>76</c:v>
                </c:pt>
                <c:pt idx="12">
                  <c:v>82</c:v>
                </c:pt>
                <c:pt idx="1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D-4E2F-9B81-863C451B14EA}"/>
            </c:ext>
          </c:extLst>
        </c:ser>
        <c:ser>
          <c:idx val="1"/>
          <c:order val="1"/>
          <c:tx>
            <c:v>Agriculture RNG projects</c:v>
          </c:tx>
          <c:spPr>
            <a:solidFill>
              <a:srgbClr val="D4A24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2.969630732264171E-2"/>
                  <c:y val="-1.76018955716958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5D-46BF-9DF7-A54526C0DAF9}"/>
                </c:ext>
              </c:extLst>
            </c:dLbl>
            <c:dLbl>
              <c:idx val="1"/>
              <c:layout>
                <c:manualLayout>
                  <c:x val="2.5736799679622793E-2"/>
                  <c:y val="-1.76018955716958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5D-46BF-9DF7-A54526C0DAF9}"/>
                </c:ext>
              </c:extLst>
            </c:dLbl>
            <c:dLbl>
              <c:idx val="2"/>
              <c:layout>
                <c:manualLayout>
                  <c:x val="2.3757045858113383E-2"/>
                  <c:y val="-1.76018955716958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5D-46BF-9DF7-A54526C0DAF9}"/>
                </c:ext>
              </c:extLst>
            </c:dLbl>
            <c:dLbl>
              <c:idx val="3"/>
              <c:layout>
                <c:manualLayout>
                  <c:x val="2.7716553501132279E-2"/>
                  <c:y val="-2.11222746860349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5D-46BF-9DF7-A54526C0DAF9}"/>
                </c:ext>
              </c:extLst>
            </c:dLbl>
            <c:dLbl>
              <c:idx val="4"/>
              <c:layout>
                <c:manualLayout>
                  <c:x val="2.3757045858113383E-2"/>
                  <c:y val="-1.76018955716957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5D-46BF-9DF7-A54526C0DAF9}"/>
                </c:ext>
              </c:extLst>
            </c:dLbl>
            <c:dLbl>
              <c:idx val="5"/>
              <c:layout>
                <c:manualLayout>
                  <c:x val="2.3757045858113311E-2"/>
                  <c:y val="-1.76018955716957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5D-46BF-9DF7-A54526C0DAF9}"/>
                </c:ext>
              </c:extLst>
            </c:dLbl>
            <c:dLbl>
              <c:idx val="6"/>
              <c:layout>
                <c:manualLayout>
                  <c:x val="2.5736799679622831E-2"/>
                  <c:y val="-2.1122274686034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5D-46BF-9DF7-A54526C0DAF9}"/>
                </c:ext>
              </c:extLst>
            </c:dLbl>
            <c:dLbl>
              <c:idx val="7"/>
              <c:layout>
                <c:manualLayout>
                  <c:x val="2.3757045858113311E-2"/>
                  <c:y val="-2.46426538003741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55D-46BF-9DF7-A54526C0D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BIOGAS!$B$34:$O$34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BIOGAS!$B$35:$O$35</c:f>
              <c:numCache>
                <c:formatCode>General</c:formatCode>
                <c:ptCount val="14"/>
                <c:pt idx="0">
                  <c:v>7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14</c:v>
                </c:pt>
                <c:pt idx="9">
                  <c:v>29</c:v>
                </c:pt>
                <c:pt idx="10">
                  <c:v>53</c:v>
                </c:pt>
                <c:pt idx="11">
                  <c:v>97</c:v>
                </c:pt>
                <c:pt idx="12">
                  <c:v>109</c:v>
                </c:pt>
                <c:pt idx="13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D-4E2F-9B81-863C451B14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Operational Projects</a:t>
                </a:r>
              </a:p>
            </c:rich>
          </c:tx>
          <c:layout>
            <c:manualLayout>
              <c:xMode val="edge"/>
              <c:yMode val="edge"/>
              <c:x val="1.9761959908250713E-3"/>
              <c:y val="0.30128530755092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775684944300414"/>
          <c:y val="5.6115303143968571E-2"/>
          <c:w val="0.26804212771680253"/>
          <c:h val="0.1290759297274203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30264966879141"/>
          <c:y val="3.857912292213473E-2"/>
          <c:w val="0.84972909636295468"/>
          <c:h val="0.878258970081364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2B83BA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BIOPRODUCTS!$I$3:$P$3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BIOPRODUCTS!$I$4:$P$4</c:f>
              <c:numCache>
                <c:formatCode>_(* #,##0_);_(* \(#,##0\);_(* "-"??_);_(@_)</c:formatCode>
                <c:ptCount val="8"/>
                <c:pt idx="0">
                  <c:v>1297</c:v>
                </c:pt>
                <c:pt idx="1">
                  <c:v>1550</c:v>
                </c:pt>
                <c:pt idx="2">
                  <c:v>2216</c:v>
                </c:pt>
                <c:pt idx="3">
                  <c:v>2874</c:v>
                </c:pt>
                <c:pt idx="4">
                  <c:v>4231</c:v>
                </c:pt>
                <c:pt idx="5">
                  <c:v>8424</c:v>
                </c:pt>
                <c:pt idx="6">
                  <c:v>10469</c:v>
                </c:pt>
                <c:pt idx="7">
                  <c:v>11533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7-47FB-8EFE-2116E2D40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Toral</a:t>
                </a:r>
                <a:r>
                  <a:rPr lang="en-US" sz="1000" baseline="0">
                    <a:solidFill>
                      <a:sysClr val="windowText" lastClr="000000"/>
                    </a:solidFill>
                  </a:rPr>
                  <a:t> Products certified by year</a:t>
                </a:r>
                <a:endParaRPr lang="en-US" sz="1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5.9103549556305448E-3"/>
              <c:y val="0.24697752624671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59253956891759E-2"/>
          <c:y val="3.8579115335066035E-2"/>
          <c:w val="0.8962308120575837"/>
          <c:h val="0.87825897008136433"/>
        </c:manualLayout>
      </c:layout>
      <c:barChart>
        <c:barDir val="col"/>
        <c:grouping val="stacked"/>
        <c:varyColors val="0"/>
        <c:ser>
          <c:idx val="1"/>
          <c:order val="0"/>
          <c:tx>
            <c:v>Biodegradable bioplastics</c:v>
          </c:tx>
          <c:spPr>
            <a:solidFill>
              <a:srgbClr val="ABDDA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BIOPLASTICS!$B$11:$P$11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BIOPLASTICS!$B$12:$P$12</c:f>
              <c:numCache>
                <c:formatCode>#,##0.00</c:formatCode>
                <c:ptCount val="15"/>
                <c:pt idx="0">
                  <c:v>0.34200000000000003</c:v>
                </c:pt>
                <c:pt idx="1">
                  <c:v>0.48599999999999999</c:v>
                </c:pt>
                <c:pt idx="2">
                  <c:v>0.57099999999999995</c:v>
                </c:pt>
                <c:pt idx="3">
                  <c:v>0.59099999999999997</c:v>
                </c:pt>
                <c:pt idx="4">
                  <c:v>0.66300000000000003</c:v>
                </c:pt>
                <c:pt idx="5">
                  <c:v>0.45900000000000002</c:v>
                </c:pt>
                <c:pt idx="6">
                  <c:v>0.86199999999999999</c:v>
                </c:pt>
                <c:pt idx="7">
                  <c:v>0.88</c:v>
                </c:pt>
                <c:pt idx="8">
                  <c:v>1.077</c:v>
                </c:pt>
                <c:pt idx="9">
                  <c:v>1.1739999999999999</c:v>
                </c:pt>
                <c:pt idx="10">
                  <c:v>1.2390000000000001</c:v>
                </c:pt>
                <c:pt idx="11">
                  <c:v>1.05</c:v>
                </c:pt>
                <c:pt idx="12">
                  <c:v>1.1419999999999999</c:v>
                </c:pt>
                <c:pt idx="13">
                  <c:v>1.0109999999999999</c:v>
                </c:pt>
                <c:pt idx="14">
                  <c:v>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2-46FF-9471-7AA8AA4E68EE}"/>
            </c:ext>
          </c:extLst>
        </c:ser>
        <c:ser>
          <c:idx val="0"/>
          <c:order val="1"/>
          <c:tx>
            <c:v>Non-biodegradable bioplastics</c:v>
          </c:tx>
          <c:spPr>
            <a:solidFill>
              <a:srgbClr val="2B83B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BIOPLASTICS!$B$11:$P$11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BIOPLASTICS!$B$13:$P$13</c:f>
              <c:numCache>
                <c:formatCode>#,##0.00</c:formatCode>
                <c:ptCount val="15"/>
                <c:pt idx="0">
                  <c:v>0.67400000000000004</c:v>
                </c:pt>
                <c:pt idx="1">
                  <c:v>0.67500000000000004</c:v>
                </c:pt>
                <c:pt idx="2">
                  <c:v>0.92100000000000004</c:v>
                </c:pt>
                <c:pt idx="3">
                  <c:v>0.99</c:v>
                </c:pt>
                <c:pt idx="4">
                  <c:v>1.034</c:v>
                </c:pt>
                <c:pt idx="5">
                  <c:v>1.177</c:v>
                </c:pt>
                <c:pt idx="6">
                  <c:v>1.177</c:v>
                </c:pt>
                <c:pt idx="7">
                  <c:v>1.1739999999999999</c:v>
                </c:pt>
                <c:pt idx="8">
                  <c:v>0.93400000000000005</c:v>
                </c:pt>
                <c:pt idx="9">
                  <c:v>0.94099999999999995</c:v>
                </c:pt>
                <c:pt idx="10">
                  <c:v>0.84799999999999998</c:v>
                </c:pt>
                <c:pt idx="11">
                  <c:v>0.74199999999999999</c:v>
                </c:pt>
                <c:pt idx="12">
                  <c:v>1.075</c:v>
                </c:pt>
                <c:pt idx="13">
                  <c:v>1.008</c:v>
                </c:pt>
                <c:pt idx="14">
                  <c:v>1.079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2-46FF-9471-7AA8AA4E6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metric tons</a:t>
                </a:r>
              </a:p>
            </c:rich>
          </c:tx>
          <c:layout>
            <c:manualLayout>
              <c:xMode val="edge"/>
              <c:yMode val="edge"/>
              <c:x val="1.9761919053979016E-3"/>
              <c:y val="0.3333282704444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775684944300414"/>
          <c:y val="5.6115303143968571E-2"/>
          <c:w val="0.3293235695423079"/>
          <c:h val="0.1290759297274203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87166325308379E-2"/>
          <c:y val="3.1291320618964197E-2"/>
          <c:w val="0.89054930517986908"/>
          <c:h val="0.8666770229588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BIOPLASTICS!$L$11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A6CEE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9472755872815854E-3"/>
                  <c:y val="3.49921543181558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1B-4FEC-A164-5859CEEB7A69}"/>
                </c:ext>
              </c:extLst>
            </c:dLbl>
            <c:dLbl>
              <c:idx val="1"/>
              <c:layout>
                <c:manualLayout>
                  <c:x val="-1.9736377936408196E-3"/>
                  <c:y val="-1.2830308366506702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1B-4FEC-A164-5859CEEB7A69}"/>
                </c:ext>
              </c:extLst>
            </c:dLbl>
            <c:dLbl>
              <c:idx val="2"/>
              <c:layout>
                <c:manualLayout>
                  <c:x val="-3.947275587281567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1B-4FEC-A164-5859CEEB7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BIOPLASTICS!$A$15:$A$22</c:f>
              <c:strCache>
                <c:ptCount val="8"/>
                <c:pt idx="0">
                  <c:v>Packaging</c:v>
                </c:pt>
                <c:pt idx="1">
                  <c:v>Textiles</c:v>
                </c:pt>
                <c:pt idx="2">
                  <c:v>Consumer Goods</c:v>
                </c:pt>
                <c:pt idx="3">
                  <c:v>Agriculture &amp; Horticulture</c:v>
                </c:pt>
                <c:pt idx="4">
                  <c:v>Automotive &amp; Transport</c:v>
                </c:pt>
                <c:pt idx="5">
                  <c:v>Building &amp; Construction</c:v>
                </c:pt>
                <c:pt idx="6">
                  <c:v>Electronics</c:v>
                </c:pt>
                <c:pt idx="7">
                  <c:v>Others</c:v>
                </c:pt>
              </c:strCache>
            </c:strRef>
          </c:cat>
          <c:val>
            <c:numRef>
              <c:f>BIOPLASTICS!$L$15:$L$22</c:f>
              <c:numCache>
                <c:formatCode>#,##0</c:formatCode>
                <c:ptCount val="8"/>
                <c:pt idx="0">
                  <c:v>47.287372660506989</c:v>
                </c:pt>
                <c:pt idx="1">
                  <c:v>11.419095001184553</c:v>
                </c:pt>
                <c:pt idx="2">
                  <c:v>12.248282397536128</c:v>
                </c:pt>
                <c:pt idx="3">
                  <c:v>7.7469793887704332</c:v>
                </c:pt>
                <c:pt idx="4">
                  <c:v>5.7332385690594645</c:v>
                </c:pt>
                <c:pt idx="5">
                  <c:v>3.5299692016109927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A-4163-8472-9E42A327CF1B}"/>
            </c:ext>
          </c:extLst>
        </c:ser>
        <c:ser>
          <c:idx val="3"/>
          <c:order val="1"/>
          <c:tx>
            <c:strRef>
              <c:f>BIOPLASTICS!$M$11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1F78B4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-1.973637793640783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1B-4FEC-A164-5859CEEB7A69}"/>
                </c:ext>
              </c:extLst>
            </c:dLbl>
            <c:dLbl>
              <c:idx val="2"/>
              <c:layout>
                <c:manualLayout>
                  <c:x val="-1.973637793640783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1B-4FEC-A164-5859CEEB7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BIOPLASTICS!$A$15:$A$22</c:f>
              <c:strCache>
                <c:ptCount val="8"/>
                <c:pt idx="0">
                  <c:v>Packaging</c:v>
                </c:pt>
                <c:pt idx="1">
                  <c:v>Textiles</c:v>
                </c:pt>
                <c:pt idx="2">
                  <c:v>Consumer Goods</c:v>
                </c:pt>
                <c:pt idx="3">
                  <c:v>Agriculture &amp; Horticulture</c:v>
                </c:pt>
                <c:pt idx="4">
                  <c:v>Automotive &amp; Transport</c:v>
                </c:pt>
                <c:pt idx="5">
                  <c:v>Building &amp; Construction</c:v>
                </c:pt>
                <c:pt idx="6">
                  <c:v>Electronics</c:v>
                </c:pt>
                <c:pt idx="7">
                  <c:v>Others</c:v>
                </c:pt>
              </c:strCache>
            </c:strRef>
          </c:cat>
          <c:val>
            <c:numRef>
              <c:f>BIOPLASTICS!$M$15:$M$22</c:f>
              <c:numCache>
                <c:formatCode>#,##0</c:formatCode>
                <c:ptCount val="8"/>
                <c:pt idx="0">
                  <c:v>64.636871508379798</c:v>
                </c:pt>
                <c:pt idx="1">
                  <c:v>13.5754189944134</c:v>
                </c:pt>
                <c:pt idx="2">
                  <c:v>15.055865921000001</c:v>
                </c:pt>
                <c:pt idx="3">
                  <c:v>11.899441340782101</c:v>
                </c:pt>
                <c:pt idx="4">
                  <c:v>6.5921787709497197</c:v>
                </c:pt>
                <c:pt idx="5">
                  <c:v>4.3016759776536304</c:v>
                </c:pt>
                <c:pt idx="6">
                  <c:v>3.5195530726256998</c:v>
                </c:pt>
                <c:pt idx="7">
                  <c:v>10.083798882681499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5A-4163-8472-9E42A327CF1B}"/>
            </c:ext>
          </c:extLst>
        </c:ser>
        <c:ser>
          <c:idx val="4"/>
          <c:order val="2"/>
          <c:tx>
            <c:strRef>
              <c:f>BIOPLASTICS!$N$11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B2DF8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973637793640783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1B-4FEC-A164-5859CEEB7A69}"/>
                </c:ext>
              </c:extLst>
            </c:dLbl>
            <c:dLbl>
              <c:idx val="1"/>
              <c:layout>
                <c:manualLayout>
                  <c:x val="-1.9736377936408196E-3"/>
                  <c:y val="-1.2830308366506702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1B-4FEC-A164-5859CEEB7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BIOPLASTICS!$A$15:$A$22</c:f>
              <c:strCache>
                <c:ptCount val="8"/>
                <c:pt idx="0">
                  <c:v>Packaging</c:v>
                </c:pt>
                <c:pt idx="1">
                  <c:v>Textiles</c:v>
                </c:pt>
                <c:pt idx="2">
                  <c:v>Consumer Goods</c:v>
                </c:pt>
                <c:pt idx="3">
                  <c:v>Agriculture &amp; Horticulture</c:v>
                </c:pt>
                <c:pt idx="4">
                  <c:v>Automotive &amp; Transport</c:v>
                </c:pt>
                <c:pt idx="5">
                  <c:v>Building &amp; Construction</c:v>
                </c:pt>
                <c:pt idx="6">
                  <c:v>Electronics</c:v>
                </c:pt>
                <c:pt idx="7">
                  <c:v>Others</c:v>
                </c:pt>
              </c:strCache>
            </c:strRef>
          </c:cat>
          <c:val>
            <c:numRef>
              <c:f>BIOPLASTICS!$N$15:$N$22</c:f>
              <c:numCache>
                <c:formatCode>#,##0</c:formatCode>
                <c:ptCount val="8"/>
                <c:pt idx="0">
                  <c:v>48.274774774774698</c:v>
                </c:pt>
                <c:pt idx="1">
                  <c:v>14.815315315299999</c:v>
                </c:pt>
                <c:pt idx="2">
                  <c:v>14.0720727072</c:v>
                </c:pt>
                <c:pt idx="3">
                  <c:v>4.3873873870000004</c:v>
                </c:pt>
                <c:pt idx="4">
                  <c:v>7.1621621621599996</c:v>
                </c:pt>
                <c:pt idx="5">
                  <c:v>0.94144144144099995</c:v>
                </c:pt>
                <c:pt idx="6">
                  <c:v>2.5990990990989999</c:v>
                </c:pt>
                <c:pt idx="7">
                  <c:v>6.0045045045045002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5A-4163-8472-9E42A327CF1B}"/>
            </c:ext>
          </c:extLst>
        </c:ser>
        <c:ser>
          <c:idx val="5"/>
          <c:order val="3"/>
          <c:tx>
            <c:strRef>
              <c:f>BIOPLASTICS!$O$11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3A02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973637793640747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1B-4FEC-A164-5859CEEB7A69}"/>
                </c:ext>
              </c:extLst>
            </c:dLbl>
            <c:dLbl>
              <c:idx val="2"/>
              <c:layout>
                <c:manualLayout>
                  <c:x val="3.947275587281567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1B-4FEC-A164-5859CEEB7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BIOPLASTICS!$A$15:$A$22</c:f>
              <c:strCache>
                <c:ptCount val="8"/>
                <c:pt idx="0">
                  <c:v>Packaging</c:v>
                </c:pt>
                <c:pt idx="1">
                  <c:v>Textiles</c:v>
                </c:pt>
                <c:pt idx="2">
                  <c:v>Consumer Goods</c:v>
                </c:pt>
                <c:pt idx="3">
                  <c:v>Agriculture &amp; Horticulture</c:v>
                </c:pt>
                <c:pt idx="4">
                  <c:v>Automotive &amp; Transport</c:v>
                </c:pt>
                <c:pt idx="5">
                  <c:v>Building &amp; Construction</c:v>
                </c:pt>
                <c:pt idx="6">
                  <c:v>Electronics</c:v>
                </c:pt>
                <c:pt idx="7">
                  <c:v>Others</c:v>
                </c:pt>
              </c:strCache>
            </c:strRef>
          </c:cat>
          <c:val>
            <c:numRef>
              <c:f>BIOPLASTICS!$O$15:$O$22</c:f>
              <c:numCache>
                <c:formatCode>#,##0</c:formatCode>
                <c:ptCount val="8"/>
                <c:pt idx="0">
                  <c:v>42.844000000000001</c:v>
                </c:pt>
                <c:pt idx="1">
                  <c:v>20.71559633</c:v>
                </c:pt>
                <c:pt idx="2">
                  <c:v>13.366974770000001</c:v>
                </c:pt>
                <c:pt idx="3">
                  <c:v>4.5366972477000003</c:v>
                </c:pt>
                <c:pt idx="4">
                  <c:v>9.7285321099999997</c:v>
                </c:pt>
                <c:pt idx="5">
                  <c:v>0.63761467889907997</c:v>
                </c:pt>
                <c:pt idx="6">
                  <c:v>3.53669724770642</c:v>
                </c:pt>
                <c:pt idx="7">
                  <c:v>3.4036599999999999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5A-4163-8472-9E42A327CF1B}"/>
            </c:ext>
          </c:extLst>
        </c:ser>
        <c:ser>
          <c:idx val="1"/>
          <c:order val="4"/>
          <c:tx>
            <c:strRef>
              <c:f>BIOPLASTICS!$P$11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BIOPLASTICS!$P$15:$P$22</c:f>
              <c:numCache>
                <c:formatCode>#,##0</c:formatCode>
                <c:ptCount val="8"/>
                <c:pt idx="0">
                  <c:v>45.4</c:v>
                </c:pt>
                <c:pt idx="1">
                  <c:v>19.899999999999999</c:v>
                </c:pt>
                <c:pt idx="2">
                  <c:v>13.2</c:v>
                </c:pt>
                <c:pt idx="3">
                  <c:v>5.3</c:v>
                </c:pt>
                <c:pt idx="4">
                  <c:v>8.4</c:v>
                </c:pt>
                <c:pt idx="6">
                  <c:v>2.95</c:v>
                </c:pt>
                <c:pt idx="7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B-4B70-83BE-36FADBEB49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63329488"/>
        <c:axId val="1163332816"/>
      </c:barChart>
      <c:catAx>
        <c:axId val="11633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63332816"/>
        <c:crosses val="autoZero"/>
        <c:auto val="1"/>
        <c:lblAlgn val="ctr"/>
        <c:lblOffset val="100"/>
        <c:noMultiLvlLbl val="0"/>
      </c:catAx>
      <c:valAx>
        <c:axId val="1163332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badi" panose="020F0502020204030204" pitchFamily="34" charset="0"/>
                    <a:ea typeface="+mn-ea"/>
                    <a:cs typeface="+mn-cs"/>
                  </a:defRPr>
                </a:pPr>
                <a:r>
                  <a:rPr lang="en-US" sz="1000" baseline="0">
                    <a:latin typeface="Arial" panose="020B0604020202020204" pitchFamily="34" charset="0"/>
                    <a:cs typeface="Arial" panose="020B0604020202020204" pitchFamily="34" charset="0"/>
                  </a:rPr>
                  <a:t>Final use of bioplastics by market segment (%)</a:t>
                </a:r>
                <a:endParaRPr lang="en-US" sz="1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0598521380335691E-2"/>
              <c:y val="9.91066147386013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badi" panose="020F05020202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6332948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18954188240450875"/>
          <c:y val="7.6753729376712168E-2"/>
          <c:w val="0.38449381327334081"/>
          <c:h val="5.9208453768182033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524871891013629E-2"/>
          <c:y val="3.857912292213473E-2"/>
          <c:w val="0.87750687414073236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v>Exports of apparel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TEXTILES'!$B$17:$P$17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'APPAREL AND TEXTILES'!$B$18:$P$18</c:f>
              <c:numCache>
                <c:formatCode>#,##0</c:formatCode>
                <c:ptCount val="15"/>
                <c:pt idx="0">
                  <c:v>4.4969999999999999</c:v>
                </c:pt>
                <c:pt idx="1">
                  <c:v>5.01</c:v>
                </c:pt>
                <c:pt idx="2">
                  <c:v>5.165</c:v>
                </c:pt>
                <c:pt idx="3">
                  <c:v>5.4390000000000001</c:v>
                </c:pt>
                <c:pt idx="4">
                  <c:v>5.6950000000000003</c:v>
                </c:pt>
                <c:pt idx="5">
                  <c:v>5.6970000000000001</c:v>
                </c:pt>
                <c:pt idx="6">
                  <c:v>5.3019999999999996</c:v>
                </c:pt>
                <c:pt idx="7">
                  <c:v>5.3150000000000004</c:v>
                </c:pt>
                <c:pt idx="8">
                  <c:v>5.6580000000000004</c:v>
                </c:pt>
                <c:pt idx="9">
                  <c:v>5.5609999999999999</c:v>
                </c:pt>
                <c:pt idx="10">
                  <c:v>4.3470000000000004</c:v>
                </c:pt>
                <c:pt idx="11">
                  <c:v>5.4489999999999998</c:v>
                </c:pt>
                <c:pt idx="12">
                  <c:v>6.4930000000000003</c:v>
                </c:pt>
                <c:pt idx="13">
                  <c:v>6.5739999999999998</c:v>
                </c:pt>
                <c:pt idx="14">
                  <c:v>6.5090000000000003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D-4657-A5FA-BD9058084597}"/>
            </c:ext>
          </c:extLst>
        </c:ser>
        <c:ser>
          <c:idx val="1"/>
          <c:order val="1"/>
          <c:tx>
            <c:v>Imports of apparel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TEXTILES'!$B$17:$P$17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'APPAREL AND TEXTILES'!$B$19:$P$19</c:f>
              <c:numCache>
                <c:formatCode>#,##0</c:formatCode>
                <c:ptCount val="15"/>
                <c:pt idx="0">
                  <c:v>75.644307355999999</c:v>
                </c:pt>
                <c:pt idx="1">
                  <c:v>82.247087323000002</c:v>
                </c:pt>
                <c:pt idx="2">
                  <c:v>81.259191397999999</c:v>
                </c:pt>
                <c:pt idx="3">
                  <c:v>84.386292686000004</c:v>
                </c:pt>
                <c:pt idx="4">
                  <c:v>86.609650021999997</c:v>
                </c:pt>
                <c:pt idx="5">
                  <c:v>89.893039897999998</c:v>
                </c:pt>
                <c:pt idx="6">
                  <c:v>84.738049419999996</c:v>
                </c:pt>
                <c:pt idx="7">
                  <c:v>84.343616748999992</c:v>
                </c:pt>
                <c:pt idx="8">
                  <c:v>87.436219590999997</c:v>
                </c:pt>
                <c:pt idx="9">
                  <c:v>88.035916168</c:v>
                </c:pt>
                <c:pt idx="10">
                  <c:v>71.807795998999993</c:v>
                </c:pt>
                <c:pt idx="11">
                  <c:v>86.403237399000005</c:v>
                </c:pt>
                <c:pt idx="12">
                  <c:v>103.959902203</c:v>
                </c:pt>
                <c:pt idx="13">
                  <c:v>81.606597146999988</c:v>
                </c:pt>
                <c:pt idx="14">
                  <c:v>83.203999999999994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D-4657-A5FA-BD9058084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Billion dollars</a:t>
                </a:r>
              </a:p>
            </c:rich>
          </c:tx>
          <c:layout>
            <c:manualLayout>
              <c:xMode val="edge"/>
              <c:yMode val="edge"/>
              <c:x val="1.1862735908011499E-2"/>
              <c:y val="0.34767197069116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211051743532058"/>
          <c:y val="5.2607994313210851E-2"/>
          <c:w val="0.24742063492063487"/>
          <c:h val="9.9397419072615928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524871891013629E-2"/>
          <c:y val="3.857912292213473E-2"/>
          <c:w val="0.87750687414073236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v>Exports of textiles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TEXTILES'!$B$17:$O$17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TEXTILES'!$B$20:$O$20</c:f>
              <c:numCache>
                <c:formatCode>#,##0</c:formatCode>
                <c:ptCount val="14"/>
                <c:pt idx="0">
                  <c:v>8.1604995020000004</c:v>
                </c:pt>
                <c:pt idx="1">
                  <c:v>9.4658750049999991</c:v>
                </c:pt>
                <c:pt idx="2">
                  <c:v>9.3105379500000005</c:v>
                </c:pt>
                <c:pt idx="3">
                  <c:v>9.6473533630000006</c:v>
                </c:pt>
                <c:pt idx="4">
                  <c:v>10.024617582000001</c:v>
                </c:pt>
                <c:pt idx="5">
                  <c:v>9.7622466060000015</c:v>
                </c:pt>
                <c:pt idx="6">
                  <c:v>9.115535843</c:v>
                </c:pt>
                <c:pt idx="7">
                  <c:v>9.3394036520000014</c:v>
                </c:pt>
                <c:pt idx="8">
                  <c:v>9.5646385340000002</c:v>
                </c:pt>
                <c:pt idx="9">
                  <c:v>9.2583285190000009</c:v>
                </c:pt>
                <c:pt idx="10" formatCode="#,##0.0">
                  <c:v>7.5391897559999999</c:v>
                </c:pt>
                <c:pt idx="11">
                  <c:v>8.8510388139999989</c:v>
                </c:pt>
                <c:pt idx="12">
                  <c:v>9.4361329129999998</c:v>
                </c:pt>
                <c:pt idx="13">
                  <c:v>8.4388061390000004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6-4371-98BD-2EFD34C54DB7}"/>
            </c:ext>
          </c:extLst>
        </c:ser>
        <c:ser>
          <c:idx val="1"/>
          <c:order val="1"/>
          <c:tx>
            <c:v>Imports of textiles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TEXTILES'!$B$17:$O$17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TEXTILES'!$B$21:$O$21</c:f>
              <c:numCache>
                <c:formatCode>#,##0</c:formatCode>
                <c:ptCount val="14"/>
                <c:pt idx="0">
                  <c:v>6.5358656049999997</c:v>
                </c:pt>
                <c:pt idx="1">
                  <c:v>7.3309049999999996</c:v>
                </c:pt>
                <c:pt idx="2">
                  <c:v>7.7750181270000001</c:v>
                </c:pt>
                <c:pt idx="3">
                  <c:v>8.0410699470000004</c:v>
                </c:pt>
                <c:pt idx="4">
                  <c:v>8.4601824709999995</c:v>
                </c:pt>
                <c:pt idx="5">
                  <c:v>8.6507926550000001</c:v>
                </c:pt>
                <c:pt idx="6">
                  <c:v>8.2525302830000005</c:v>
                </c:pt>
                <c:pt idx="7">
                  <c:v>8.1829451810000009</c:v>
                </c:pt>
                <c:pt idx="8">
                  <c:v>8.7653571200000009</c:v>
                </c:pt>
                <c:pt idx="9">
                  <c:v>8.214491099</c:v>
                </c:pt>
                <c:pt idx="10" formatCode="#,##0.0">
                  <c:v>8.2874788779999999</c:v>
                </c:pt>
                <c:pt idx="11">
                  <c:v>9.8263711709999999</c:v>
                </c:pt>
                <c:pt idx="12">
                  <c:v>10.257758298999999</c:v>
                </c:pt>
                <c:pt idx="13">
                  <c:v>8.7231181319999997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6-4371-98BD-2EFD34C54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Billion dollars</a:t>
                </a:r>
              </a:p>
            </c:rich>
          </c:tx>
          <c:layout>
            <c:manualLayout>
              <c:xMode val="edge"/>
              <c:yMode val="edge"/>
              <c:x val="2.1783370828646422E-2"/>
              <c:y val="0.37892197069116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012639045119361"/>
          <c:y val="5.2607994313210851E-2"/>
          <c:w val="0.24742063492063487"/>
          <c:h val="9.5925196850393704E-2"/>
        </c:manualLayout>
      </c:layout>
      <c:overlay val="0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714691913510807E-2"/>
          <c:y val="2.1882928696412948E-2"/>
          <c:w val="0.87548322084739405"/>
          <c:h val="0.87825897008136433"/>
        </c:manualLayout>
      </c:layout>
      <c:lineChart>
        <c:grouping val="standard"/>
        <c:varyColors val="0"/>
        <c:ser>
          <c:idx val="2"/>
          <c:order val="0"/>
          <c:tx>
            <c:v>Roundwood</c:v>
          </c:tx>
          <c:spPr>
            <a:ln w="28575" cap="rnd">
              <a:solidFill>
                <a:srgbClr val="FB8072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PRODUCTS'!$B$25:$P$25</c:f>
              <c:numCache>
                <c:formatCode>0</c:formatCode>
                <c:ptCount val="15"/>
                <c:pt idx="0">
                  <c:v>538.49749668000004</c:v>
                </c:pt>
                <c:pt idx="1">
                  <c:v>565.05116667999994</c:v>
                </c:pt>
                <c:pt idx="2">
                  <c:v>554.14215999999999</c:v>
                </c:pt>
                <c:pt idx="3">
                  <c:v>567.44951548999995</c:v>
                </c:pt>
                <c:pt idx="4">
                  <c:v>570.13063392999993</c:v>
                </c:pt>
                <c:pt idx="5">
                  <c:v>570.60347916000001</c:v>
                </c:pt>
                <c:pt idx="6">
                  <c:v>624.38375999999994</c:v>
                </c:pt>
                <c:pt idx="7">
                  <c:v>624.46867053999995</c:v>
                </c:pt>
                <c:pt idx="8">
                  <c:v>663.68896022000001</c:v>
                </c:pt>
                <c:pt idx="9">
                  <c:v>656.55429697</c:v>
                </c:pt>
                <c:pt idx="10">
                  <c:v>614.9</c:v>
                </c:pt>
                <c:pt idx="11">
                  <c:v>648.42777999999998</c:v>
                </c:pt>
                <c:pt idx="12">
                  <c:v>652.55145240999991</c:v>
                </c:pt>
                <c:pt idx="13">
                  <c:v>556.30760756999996</c:v>
                </c:pt>
                <c:pt idx="14">
                  <c:v>545.16580690000001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3-453B-B4E6-AEE8E9D7BE8C}"/>
            </c:ext>
          </c:extLst>
        </c:ser>
        <c:ser>
          <c:idx val="4"/>
          <c:order val="1"/>
          <c:tx>
            <c:v>Sawnwood</c:v>
          </c:tx>
          <c:spPr>
            <a:ln w="28575" cap="rnd">
              <a:solidFill>
                <a:srgbClr val="80B1D3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PRODUCTS'!$B$26:$P$26</c:f>
              <c:numCache>
                <c:formatCode>0</c:formatCode>
                <c:ptCount val="15"/>
                <c:pt idx="0">
                  <c:v>109.224388</c:v>
                </c:pt>
                <c:pt idx="1">
                  <c:v>114.976316</c:v>
                </c:pt>
                <c:pt idx="2">
                  <c:v>122.80268000000001</c:v>
                </c:pt>
                <c:pt idx="3">
                  <c:v>129.42929999999998</c:v>
                </c:pt>
                <c:pt idx="4">
                  <c:v>138.016606</c:v>
                </c:pt>
                <c:pt idx="5">
                  <c:v>138.97883999999999</c:v>
                </c:pt>
                <c:pt idx="6">
                  <c:v>142.26030000000003</c:v>
                </c:pt>
                <c:pt idx="7">
                  <c:v>146.28067999999999</c:v>
                </c:pt>
                <c:pt idx="8">
                  <c:v>149.23563200000001</c:v>
                </c:pt>
                <c:pt idx="9">
                  <c:v>150.09849400000002</c:v>
                </c:pt>
                <c:pt idx="10">
                  <c:v>144.02315745999999</c:v>
                </c:pt>
                <c:pt idx="11">
                  <c:v>146.88310000000001</c:v>
                </c:pt>
                <c:pt idx="12">
                  <c:v>148.57934</c:v>
                </c:pt>
                <c:pt idx="13">
                  <c:v>141.72704000000002</c:v>
                </c:pt>
                <c:pt idx="14">
                  <c:v>137.47771674000001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B3-453B-B4E6-AEE8E9D7BE8C}"/>
            </c:ext>
          </c:extLst>
        </c:ser>
        <c:ser>
          <c:idx val="1"/>
          <c:order val="2"/>
          <c:tx>
            <c:v>Wood fuel</c:v>
          </c:tx>
          <c:spPr>
            <a:ln w="28575" cap="rnd">
              <a:solidFill>
                <a:srgbClr val="B3DE69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PRODUCTS'!$B$23:$P$23</c:f>
              <c:numCache>
                <c:formatCode>#,##0</c:formatCode>
                <c:ptCount val="15"/>
                <c:pt idx="0">
                  <c:v>55.802612879999991</c:v>
                </c:pt>
                <c:pt idx="1">
                  <c:v>55.802612879999991</c:v>
                </c:pt>
                <c:pt idx="2">
                  <c:v>55.801679999999998</c:v>
                </c:pt>
                <c:pt idx="3">
                  <c:v>57.795563339999994</c:v>
                </c:pt>
                <c:pt idx="4">
                  <c:v>57.795563339999994</c:v>
                </c:pt>
                <c:pt idx="5">
                  <c:v>61.196099999999994</c:v>
                </c:pt>
                <c:pt idx="6">
                  <c:v>85.775279999999995</c:v>
                </c:pt>
                <c:pt idx="7">
                  <c:v>88.830600000000004</c:v>
                </c:pt>
                <c:pt idx="8">
                  <c:v>98.819815559999995</c:v>
                </c:pt>
                <c:pt idx="9">
                  <c:v>98.569164779999994</c:v>
                </c:pt>
                <c:pt idx="10">
                  <c:v>83.524996799999997</c:v>
                </c:pt>
                <c:pt idx="11">
                  <c:v>98.132545199999996</c:v>
                </c:pt>
                <c:pt idx="12">
                  <c:v>99.869219999999999</c:v>
                </c:pt>
                <c:pt idx="13">
                  <c:v>91.11587999999999</c:v>
                </c:pt>
                <c:pt idx="14">
                  <c:v>88.37340875999999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B3-453B-B4E6-AEE8E9D7BE8C}"/>
            </c:ext>
          </c:extLst>
        </c:ser>
        <c:ser>
          <c:idx val="3"/>
          <c:order val="3"/>
          <c:tx>
            <c:v>Paper</c:v>
          </c:tx>
          <c:spPr>
            <a:ln w="28575" cap="rnd">
              <a:solidFill>
                <a:srgbClr val="BEBADA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PRODUCTS'!$B$29:$P$29</c:f>
              <c:numCache>
                <c:formatCode>#,##0</c:formatCode>
                <c:ptCount val="15"/>
                <c:pt idx="0">
                  <c:v>75.772845000000004</c:v>
                </c:pt>
                <c:pt idx="1">
                  <c:v>76.430822000000006</c:v>
                </c:pt>
                <c:pt idx="2">
                  <c:v>74.492000000000004</c:v>
                </c:pt>
                <c:pt idx="3">
                  <c:v>71.732298</c:v>
                </c:pt>
                <c:pt idx="4">
                  <c:v>73.093000000000004</c:v>
                </c:pt>
                <c:pt idx="5">
                  <c:v>72.397000000000006</c:v>
                </c:pt>
                <c:pt idx="6">
                  <c:v>71.902238999999994</c:v>
                </c:pt>
                <c:pt idx="7">
                  <c:v>72.044539</c:v>
                </c:pt>
                <c:pt idx="8">
                  <c:v>70.891067000000007</c:v>
                </c:pt>
                <c:pt idx="9">
                  <c:v>68.156809999999993</c:v>
                </c:pt>
                <c:pt idx="10">
                  <c:v>66</c:v>
                </c:pt>
                <c:pt idx="11">
                  <c:v>67</c:v>
                </c:pt>
                <c:pt idx="12">
                  <c:v>65.507164000000003</c:v>
                </c:pt>
                <c:pt idx="13">
                  <c:v>60.674376000000002</c:v>
                </c:pt>
                <c:pt idx="14">
                  <c:v>62.457999999999998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B3-453B-B4E6-AEE8E9D7B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ax val="8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tonnes</a:t>
                </a:r>
              </a:p>
            </c:rich>
          </c:tx>
          <c:layout>
            <c:manualLayout>
              <c:xMode val="edge"/>
              <c:yMode val="edge"/>
              <c:x val="1.98068991376078E-3"/>
              <c:y val="0.333328138670166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667872203130394"/>
          <c:y val="5.2608018345700128E-2"/>
          <c:w val="0.57135701787276594"/>
          <c:h val="5.92473206474190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9614423197101E-2"/>
          <c:y val="3.8579213453513429E-2"/>
          <c:w val="0.88143560179977498"/>
          <c:h val="0.87825897008136433"/>
        </c:manualLayout>
      </c:layout>
      <c:lineChart>
        <c:grouping val="standard"/>
        <c:varyColors val="0"/>
        <c:ser>
          <c:idx val="7"/>
          <c:order val="0"/>
          <c:tx>
            <c:v>Wood pulp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PRODUCTS'!$B$28:$P$28</c:f>
              <c:numCache>
                <c:formatCode>#,##0</c:formatCode>
                <c:ptCount val="15"/>
                <c:pt idx="0">
                  <c:v>50.905938999999996</c:v>
                </c:pt>
                <c:pt idx="1">
                  <c:v>51.114621999999997</c:v>
                </c:pt>
                <c:pt idx="2">
                  <c:v>50.200530000000001</c:v>
                </c:pt>
                <c:pt idx="3">
                  <c:v>49.055100000000003</c:v>
                </c:pt>
                <c:pt idx="4">
                  <c:v>50.106639999999999</c:v>
                </c:pt>
                <c:pt idx="5">
                  <c:v>49.368209999999998</c:v>
                </c:pt>
                <c:pt idx="6">
                  <c:v>49.53443</c:v>
                </c:pt>
                <c:pt idx="7">
                  <c:v>49.247515999999997</c:v>
                </c:pt>
                <c:pt idx="8">
                  <c:v>53.233455999999997</c:v>
                </c:pt>
                <c:pt idx="9">
                  <c:v>52.061998000000003</c:v>
                </c:pt>
                <c:pt idx="10">
                  <c:v>45.363115999999998</c:v>
                </c:pt>
                <c:pt idx="11">
                  <c:v>44.521000000000001</c:v>
                </c:pt>
                <c:pt idx="12">
                  <c:v>42.728673000000001</c:v>
                </c:pt>
                <c:pt idx="13">
                  <c:v>38.414999999999999</c:v>
                </c:pt>
                <c:pt idx="14">
                  <c:v>36.851080000000003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1-4F4A-B62E-07F09365CF7A}"/>
            </c:ext>
          </c:extLst>
        </c:ser>
        <c:ser>
          <c:idx val="5"/>
          <c:order val="1"/>
          <c:tx>
            <c:v>Wood-based panels</c:v>
          </c:tx>
          <c:spPr>
            <a:ln w="28575" cap="rnd">
              <a:solidFill>
                <a:srgbClr val="FDB462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PRODUCTS'!$B$27:$P$27</c:f>
              <c:numCache>
                <c:formatCode>0</c:formatCode>
                <c:ptCount val="15"/>
                <c:pt idx="0">
                  <c:v>41.849964</c:v>
                </c:pt>
                <c:pt idx="1">
                  <c:v>41.1447699</c:v>
                </c:pt>
                <c:pt idx="2">
                  <c:v>40.3767</c:v>
                </c:pt>
                <c:pt idx="3">
                  <c:v>42.981107000000002</c:v>
                </c:pt>
                <c:pt idx="4">
                  <c:v>45.577401999999999</c:v>
                </c:pt>
                <c:pt idx="5">
                  <c:v>45.836056499999998</c:v>
                </c:pt>
                <c:pt idx="6">
                  <c:v>46.743749000000001</c:v>
                </c:pt>
                <c:pt idx="7">
                  <c:v>47.061183</c:v>
                </c:pt>
                <c:pt idx="8">
                  <c:v>44.518450600000001</c:v>
                </c:pt>
                <c:pt idx="9">
                  <c:v>44.659390100000003</c:v>
                </c:pt>
                <c:pt idx="10">
                  <c:v>43.044097200000003</c:v>
                </c:pt>
                <c:pt idx="11">
                  <c:v>45.046331200000004</c:v>
                </c:pt>
                <c:pt idx="12">
                  <c:v>43.319676400000006</c:v>
                </c:pt>
                <c:pt idx="13">
                  <c:v>40.8133713</c:v>
                </c:pt>
                <c:pt idx="14">
                  <c:v>42.899609999999996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1-4F4A-B62E-07F09365CF7A}"/>
            </c:ext>
          </c:extLst>
        </c:ser>
        <c:ser>
          <c:idx val="0"/>
          <c:order val="2"/>
          <c:tx>
            <c:v>Wood residues</c:v>
          </c:tx>
          <c:spPr>
            <a:ln w="28575" cap="rnd">
              <a:solidFill>
                <a:srgbClr val="FCCDE5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PRODUCTS'!$B$24:$P$24</c:f>
              <c:numCache>
                <c:formatCode>#,##0</c:formatCode>
                <c:ptCount val="15"/>
                <c:pt idx="0">
                  <c:v>17.400359999999999</c:v>
                </c:pt>
                <c:pt idx="1">
                  <c:v>17.247920000000001</c:v>
                </c:pt>
                <c:pt idx="2">
                  <c:v>18.245439999999999</c:v>
                </c:pt>
                <c:pt idx="3">
                  <c:v>19.53304</c:v>
                </c:pt>
                <c:pt idx="4">
                  <c:v>20.423999999999999</c:v>
                </c:pt>
                <c:pt idx="5">
                  <c:v>20.423999999999999</c:v>
                </c:pt>
                <c:pt idx="6">
                  <c:v>20.423999999999999</c:v>
                </c:pt>
                <c:pt idx="7">
                  <c:v>21.126999999999999</c:v>
                </c:pt>
                <c:pt idx="8">
                  <c:v>21.930678480000001</c:v>
                </c:pt>
                <c:pt idx="9">
                  <c:v>22.627594199999997</c:v>
                </c:pt>
                <c:pt idx="10">
                  <c:v>19.597609439999999</c:v>
                </c:pt>
                <c:pt idx="11">
                  <c:v>24.088568800000001</c:v>
                </c:pt>
                <c:pt idx="12">
                  <c:v>24.215759999999996</c:v>
                </c:pt>
                <c:pt idx="13">
                  <c:v>21.254280000000001</c:v>
                </c:pt>
                <c:pt idx="14">
                  <c:v>20.41808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C1-4F4A-B62E-07F09365CF7A}"/>
            </c:ext>
          </c:extLst>
        </c:ser>
        <c:ser>
          <c:idx val="6"/>
          <c:order val="3"/>
          <c:tx>
            <c:v>Wood pellets</c:v>
          </c:tx>
          <c:spPr>
            <a:ln w="28575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PRODUCTS'!$B$30:$P$30</c:f>
              <c:numCache>
                <c:formatCode>General</c:formatCode>
                <c:ptCount val="15"/>
                <c:pt idx="2" formatCode="0.0">
                  <c:v>3.4740000000000002</c:v>
                </c:pt>
                <c:pt idx="3" formatCode="0.0">
                  <c:v>4.7039999999999997</c:v>
                </c:pt>
                <c:pt idx="4" formatCode="0.0">
                  <c:v>5.9470000000000001</c:v>
                </c:pt>
                <c:pt idx="5" formatCode="0.0">
                  <c:v>6.5170000000000003</c:v>
                </c:pt>
                <c:pt idx="6" formatCode="0.0">
                  <c:v>6.3929999999999998</c:v>
                </c:pt>
                <c:pt idx="7" formatCode="0.0">
                  <c:v>6.9</c:v>
                </c:pt>
                <c:pt idx="8" formatCode="0.0">
                  <c:v>7.4683609999999998</c:v>
                </c:pt>
                <c:pt idx="9" formatCode="0.0">
                  <c:v>8.5927129999999998</c:v>
                </c:pt>
                <c:pt idx="10" formatCode="0.0">
                  <c:v>8.5239429999999992</c:v>
                </c:pt>
                <c:pt idx="11" formatCode="0.0">
                  <c:v>8.5601839999999996</c:v>
                </c:pt>
                <c:pt idx="12" formatCode="0.0">
                  <c:v>8.6555839999999993</c:v>
                </c:pt>
                <c:pt idx="13" formatCode="0.0">
                  <c:v>9.932283</c:v>
                </c:pt>
                <c:pt idx="14" formatCode="0.0">
                  <c:v>9.8275799999999993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C1-4F4A-B62E-07F09365C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tonnes</a:t>
                </a:r>
              </a:p>
            </c:rich>
          </c:tx>
          <c:layout>
            <c:manualLayout>
              <c:xMode val="edge"/>
              <c:yMode val="edge"/>
              <c:x val="9.9172256654211123E-3"/>
              <c:y val="0.3333282704444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8.8821553555805524E-2"/>
          <c:y val="5.2607994313210851E-2"/>
          <c:w val="0.85052368453943261"/>
          <c:h val="5.92473206474190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65148160619029E-2"/>
          <c:y val="3.8579213453513429E-2"/>
          <c:w val="0.87270199259229408"/>
          <c:h val="0.87825897008136433"/>
        </c:manualLayout>
      </c:layout>
      <c:lineChart>
        <c:grouping val="standard"/>
        <c:varyColors val="0"/>
        <c:ser>
          <c:idx val="1"/>
          <c:order val="0"/>
          <c:tx>
            <c:v>Imports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PRODUCTS'!$B$31:$P$31</c:f>
              <c:numCache>
                <c:formatCode>#,##0</c:formatCode>
                <c:ptCount val="15"/>
                <c:pt idx="0">
                  <c:v>11.356007</c:v>
                </c:pt>
                <c:pt idx="1">
                  <c:v>10.723896</c:v>
                </c:pt>
                <c:pt idx="2">
                  <c:v>12.355233999999999</c:v>
                </c:pt>
                <c:pt idx="3">
                  <c:v>14.633832999999999</c:v>
                </c:pt>
                <c:pt idx="4">
                  <c:v>15.865266999999999</c:v>
                </c:pt>
                <c:pt idx="5">
                  <c:v>16.311164999999999</c:v>
                </c:pt>
                <c:pt idx="6">
                  <c:v>17.926493000000001</c:v>
                </c:pt>
                <c:pt idx="7">
                  <c:v>19.292026</c:v>
                </c:pt>
                <c:pt idx="8">
                  <c:v>21.400480999999999</c:v>
                </c:pt>
                <c:pt idx="9">
                  <c:v>18.157966999999999</c:v>
                </c:pt>
                <c:pt idx="10">
                  <c:v>21.380436</c:v>
                </c:pt>
                <c:pt idx="11">
                  <c:v>33.545447000000003</c:v>
                </c:pt>
                <c:pt idx="12">
                  <c:v>33.557363000000002</c:v>
                </c:pt>
                <c:pt idx="13">
                  <c:v>22.496912999999999</c:v>
                </c:pt>
                <c:pt idx="14">
                  <c:v>22.960341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D-49C3-A07D-296E9FE0FF44}"/>
            </c:ext>
          </c:extLst>
        </c:ser>
        <c:ser>
          <c:idx val="0"/>
          <c:order val="1"/>
          <c:tx>
            <c:v>Exports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PRODUCTS'!$B$3:$P$3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'FOREST PRODUCTS'!$B$32:$P$32</c:f>
              <c:numCache>
                <c:formatCode>#,##0.0</c:formatCode>
                <c:ptCount val="15"/>
                <c:pt idx="0">
                  <c:v>6.7966810000000004</c:v>
                </c:pt>
                <c:pt idx="1">
                  <c:v>7.605531</c:v>
                </c:pt>
                <c:pt idx="2">
                  <c:v>7.6208080000000002</c:v>
                </c:pt>
                <c:pt idx="3">
                  <c:v>8.6954820000000002</c:v>
                </c:pt>
                <c:pt idx="4">
                  <c:v>9.4852089999999993</c:v>
                </c:pt>
                <c:pt idx="5">
                  <c:v>8.6861619999999995</c:v>
                </c:pt>
                <c:pt idx="6">
                  <c:v>8.7720970000000005</c:v>
                </c:pt>
                <c:pt idx="7">
                  <c:v>9.5422580000000004</c:v>
                </c:pt>
                <c:pt idx="8">
                  <c:v>9.6164009999999998</c:v>
                </c:pt>
                <c:pt idx="9">
                  <c:v>8.0736419999999995</c:v>
                </c:pt>
                <c:pt idx="10">
                  <c:v>7.4136519999999999</c:v>
                </c:pt>
                <c:pt idx="11">
                  <c:v>9.4070330000000002</c:v>
                </c:pt>
                <c:pt idx="12">
                  <c:v>10.108790000000001</c:v>
                </c:pt>
                <c:pt idx="13">
                  <c:v>9.1958140000000004</c:v>
                </c:pt>
                <c:pt idx="14">
                  <c:v>9.3146789999999999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D-49C3-A07D-296E9FE0F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Billion dollars</a:t>
                </a:r>
              </a:p>
            </c:rich>
          </c:tx>
          <c:layout>
            <c:manualLayout>
              <c:xMode val="edge"/>
              <c:yMode val="edge"/>
              <c:x val="9.9172256654211123E-3"/>
              <c:y val="0.3333282704444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667872203130394"/>
          <c:y val="5.2608018345700128E-2"/>
          <c:w val="0.27438085864266964"/>
          <c:h val="5.92473206474190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0746953433422"/>
          <c:y val="3.8579213453513429E-2"/>
          <c:w val="0.87947235224937925"/>
          <c:h val="0.87825897008136433"/>
        </c:manualLayout>
      </c:layout>
      <c:lineChart>
        <c:grouping val="standard"/>
        <c:varyColors val="0"/>
        <c:ser>
          <c:idx val="1"/>
          <c:order val="0"/>
          <c:tx>
            <c:strRef>
              <c:f>FUNDING!$A$35</c:f>
              <c:strCache>
                <c:ptCount val="1"/>
                <c:pt idx="0">
                  <c:v>Ethanol</c:v>
                </c:pt>
              </c:strCache>
            </c:strRef>
          </c:tx>
          <c:spPr>
            <a:ln w="28575" cap="rnd">
              <a:solidFill>
                <a:srgbClr val="FB9A99"/>
              </a:solidFill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FUNDING!$B$35:$O$35</c:f>
              <c:numCache>
                <c:formatCode>General</c:formatCode>
                <c:ptCount val="14"/>
                <c:pt idx="0">
                  <c:v>303</c:v>
                </c:pt>
                <c:pt idx="1">
                  <c:v>165</c:v>
                </c:pt>
                <c:pt idx="2">
                  <c:v>184</c:v>
                </c:pt>
                <c:pt idx="3">
                  <c:v>176</c:v>
                </c:pt>
                <c:pt idx="4">
                  <c:v>191</c:v>
                </c:pt>
                <c:pt idx="5">
                  <c:v>175</c:v>
                </c:pt>
                <c:pt idx="6">
                  <c:v>130</c:v>
                </c:pt>
                <c:pt idx="7">
                  <c:v>148</c:v>
                </c:pt>
                <c:pt idx="8">
                  <c:v>147</c:v>
                </c:pt>
                <c:pt idx="9">
                  <c:v>155</c:v>
                </c:pt>
                <c:pt idx="10">
                  <c:v>119</c:v>
                </c:pt>
                <c:pt idx="11">
                  <c:v>134</c:v>
                </c:pt>
                <c:pt idx="12">
                  <c:v>48</c:v>
                </c:pt>
                <c:pt idx="1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3-4E17-A9AD-6BFBCFC81D27}"/>
            </c:ext>
          </c:extLst>
        </c:ser>
        <c:ser>
          <c:idx val="0"/>
          <c:order val="1"/>
          <c:tx>
            <c:strRef>
              <c:f>FUNDING!$A$36</c:f>
              <c:strCache>
                <c:ptCount val="1"/>
                <c:pt idx="0">
                  <c:v>Biodiesel </c:v>
                </c:pt>
              </c:strCache>
            </c:strRef>
          </c:tx>
          <c:spPr>
            <a:ln w="28575" cap="rnd">
              <a:solidFill>
                <a:srgbClr val="A6CEE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FUNDING!$B$36:$O$36</c:f>
              <c:numCache>
                <c:formatCode>General</c:formatCode>
                <c:ptCount val="14"/>
                <c:pt idx="0">
                  <c:v>123</c:v>
                </c:pt>
                <c:pt idx="1">
                  <c:v>71</c:v>
                </c:pt>
                <c:pt idx="2">
                  <c:v>64</c:v>
                </c:pt>
                <c:pt idx="3">
                  <c:v>56</c:v>
                </c:pt>
                <c:pt idx="4">
                  <c:v>58</c:v>
                </c:pt>
                <c:pt idx="5">
                  <c:v>36</c:v>
                </c:pt>
                <c:pt idx="6">
                  <c:v>26</c:v>
                </c:pt>
                <c:pt idx="7">
                  <c:v>23</c:v>
                </c:pt>
                <c:pt idx="8">
                  <c:v>26</c:v>
                </c:pt>
                <c:pt idx="9">
                  <c:v>32</c:v>
                </c:pt>
                <c:pt idx="10">
                  <c:v>14</c:v>
                </c:pt>
                <c:pt idx="11">
                  <c:v>10</c:v>
                </c:pt>
                <c:pt idx="12">
                  <c:v>6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3-4E17-A9AD-6BFBCFC81D27}"/>
            </c:ext>
          </c:extLst>
        </c:ser>
        <c:ser>
          <c:idx val="2"/>
          <c:order val="2"/>
          <c:tx>
            <c:strRef>
              <c:f>FUNDING!$A$43</c:f>
              <c:strCache>
                <c:ptCount val="1"/>
                <c:pt idx="0">
                  <c:v>Biogas</c:v>
                </c:pt>
              </c:strCache>
            </c:strRef>
          </c:tx>
          <c:spPr>
            <a:ln w="28575" cap="rnd">
              <a:solidFill>
                <a:srgbClr val="B2DF8A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FUNDING!$B$43:$O$43</c:f>
              <c:numCache>
                <c:formatCode>General</c:formatCode>
                <c:ptCount val="14"/>
                <c:pt idx="0">
                  <c:v>34</c:v>
                </c:pt>
                <c:pt idx="1">
                  <c:v>27</c:v>
                </c:pt>
                <c:pt idx="2">
                  <c:v>23</c:v>
                </c:pt>
                <c:pt idx="3">
                  <c:v>23</c:v>
                </c:pt>
                <c:pt idx="4">
                  <c:v>31</c:v>
                </c:pt>
                <c:pt idx="5">
                  <c:v>14</c:v>
                </c:pt>
                <c:pt idx="6">
                  <c:v>24</c:v>
                </c:pt>
                <c:pt idx="7">
                  <c:v>20</c:v>
                </c:pt>
                <c:pt idx="8">
                  <c:v>13</c:v>
                </c:pt>
                <c:pt idx="9">
                  <c:v>25</c:v>
                </c:pt>
                <c:pt idx="10">
                  <c:v>20</c:v>
                </c:pt>
                <c:pt idx="11">
                  <c:v>15</c:v>
                </c:pt>
                <c:pt idx="12">
                  <c:v>17</c:v>
                </c:pt>
                <c:pt idx="1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13-4E17-A9AD-6BFBCFC81D27}"/>
            </c:ext>
          </c:extLst>
        </c:ser>
        <c:ser>
          <c:idx val="3"/>
          <c:order val="3"/>
          <c:tx>
            <c:strRef>
              <c:f>FUNDING!$A$42</c:f>
              <c:strCache>
                <c:ptCount val="1"/>
                <c:pt idx="0">
                  <c:v>Waste to energy</c:v>
                </c:pt>
              </c:strCache>
            </c:strRef>
          </c:tx>
          <c:spPr>
            <a:ln w="28575" cap="rnd">
              <a:solidFill>
                <a:srgbClr val="CAB2D6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FUNDING!$B$42:$O$42</c:f>
              <c:numCache>
                <c:formatCode>General</c:formatCode>
                <c:ptCount val="14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13-4E17-A9AD-6BFBCFC81D27}"/>
            </c:ext>
          </c:extLst>
        </c:ser>
        <c:ser>
          <c:idx val="5"/>
          <c:order val="4"/>
          <c:tx>
            <c:strRef>
              <c:f>FUNDING!$A$41</c:f>
              <c:strCache>
                <c:ptCount val="1"/>
                <c:pt idx="0">
                  <c:v>Wood pellets</c:v>
                </c:pt>
              </c:strCache>
            </c:strRef>
          </c:tx>
          <c:spPr>
            <a:ln w="28575" cap="rnd">
              <a:solidFill>
                <a:srgbClr val="FDBF6F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FUNDING!$B$41:$O$41</c:f>
              <c:numCache>
                <c:formatCode>General</c:formatCode>
                <c:ptCount val="1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13-4E17-A9AD-6BFBCFC81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Number of projects</a:t>
                </a:r>
              </a:p>
            </c:rich>
          </c:tx>
          <c:layout>
            <c:manualLayout>
              <c:xMode val="edge"/>
              <c:yMode val="edge"/>
              <c:x val="7.9330708661417317E-3"/>
              <c:y val="0.302078138670166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9.2826209223847017E-2"/>
          <c:y val="5.9657425634295706E-2"/>
          <c:w val="0.81807211598550178"/>
          <c:h val="5.0872647955885482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6949343913487"/>
          <c:y val="3.8579213453513429E-2"/>
          <c:w val="0.88001016630454831"/>
          <c:h val="0.87825897008136433"/>
        </c:manualLayout>
      </c:layout>
      <c:lineChart>
        <c:grouping val="standard"/>
        <c:varyColors val="0"/>
        <c:ser>
          <c:idx val="1"/>
          <c:order val="0"/>
          <c:tx>
            <c:strRef>
              <c:f>FUNDING!$A$44</c:f>
              <c:strCache>
                <c:ptCount val="1"/>
                <c:pt idx="0">
                  <c:v>Bioproducts</c:v>
                </c:pt>
              </c:strCache>
            </c:strRef>
          </c:tx>
          <c:spPr>
            <a:ln w="28575" cap="rnd">
              <a:solidFill>
                <a:srgbClr val="FB9A99"/>
              </a:solidFill>
              <a:round/>
            </a:ln>
            <a:effectLst/>
          </c:spPr>
          <c:marker>
            <c:symbol val="none"/>
          </c:marker>
          <c:cat>
            <c:numRef>
              <c:f>FUNDING!$B$3:$O$3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FUNDING!$B$44:$O$44</c:f>
              <c:numCache>
                <c:formatCode>General</c:formatCode>
                <c:ptCount val="14"/>
                <c:pt idx="0">
                  <c:v>69</c:v>
                </c:pt>
                <c:pt idx="1">
                  <c:v>60</c:v>
                </c:pt>
                <c:pt idx="2">
                  <c:v>44</c:v>
                </c:pt>
                <c:pt idx="3">
                  <c:v>41</c:v>
                </c:pt>
                <c:pt idx="4">
                  <c:v>55</c:v>
                </c:pt>
                <c:pt idx="5">
                  <c:v>43</c:v>
                </c:pt>
                <c:pt idx="6">
                  <c:v>38</c:v>
                </c:pt>
                <c:pt idx="7">
                  <c:v>45</c:v>
                </c:pt>
                <c:pt idx="8">
                  <c:v>41</c:v>
                </c:pt>
                <c:pt idx="9">
                  <c:v>48</c:v>
                </c:pt>
                <c:pt idx="10">
                  <c:v>32</c:v>
                </c:pt>
                <c:pt idx="11">
                  <c:v>25</c:v>
                </c:pt>
                <c:pt idx="12">
                  <c:v>22</c:v>
                </c:pt>
                <c:pt idx="1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6D-4042-BB9D-E5DA55E5735D}"/>
            </c:ext>
          </c:extLst>
        </c:ser>
        <c:ser>
          <c:idx val="2"/>
          <c:order val="1"/>
          <c:tx>
            <c:strRef>
              <c:f>FUNDING!$A$45</c:f>
              <c:strCache>
                <c:ptCount val="1"/>
                <c:pt idx="0">
                  <c:v>Bioplastics</c:v>
                </c:pt>
              </c:strCache>
            </c:strRef>
          </c:tx>
          <c:spPr>
            <a:ln w="28575" cap="rnd">
              <a:solidFill>
                <a:srgbClr val="A6CEE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FUNDING!$B$3:$O$3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FUNDING!$B$45:$O$45</c:f>
              <c:numCache>
                <c:formatCode>General</c:formatCode>
                <c:ptCount val="14"/>
                <c:pt idx="0">
                  <c:v>17</c:v>
                </c:pt>
                <c:pt idx="1">
                  <c:v>6</c:v>
                </c:pt>
                <c:pt idx="2">
                  <c:v>10</c:v>
                </c:pt>
                <c:pt idx="3">
                  <c:v>18</c:v>
                </c:pt>
                <c:pt idx="4">
                  <c:v>16</c:v>
                </c:pt>
                <c:pt idx="5">
                  <c:v>7</c:v>
                </c:pt>
                <c:pt idx="6">
                  <c:v>13</c:v>
                </c:pt>
                <c:pt idx="7">
                  <c:v>11</c:v>
                </c:pt>
                <c:pt idx="8">
                  <c:v>15</c:v>
                </c:pt>
                <c:pt idx="9">
                  <c:v>14</c:v>
                </c:pt>
                <c:pt idx="10">
                  <c:v>9</c:v>
                </c:pt>
                <c:pt idx="11">
                  <c:v>15</c:v>
                </c:pt>
                <c:pt idx="12">
                  <c:v>14</c:v>
                </c:pt>
                <c:pt idx="1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6D-4042-BB9D-E5DA55E5735D}"/>
            </c:ext>
          </c:extLst>
        </c:ser>
        <c:ser>
          <c:idx val="3"/>
          <c:order val="2"/>
          <c:tx>
            <c:strRef>
              <c:f>FUNDING!$A$46</c:f>
              <c:strCache>
                <c:ptCount val="1"/>
                <c:pt idx="0">
                  <c:v>Biochemicals</c:v>
                </c:pt>
              </c:strCache>
            </c:strRef>
          </c:tx>
          <c:spPr>
            <a:ln w="28575" cap="rnd">
              <a:solidFill>
                <a:srgbClr val="ABDDA4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FUNDING!$B$3:$O$3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FUNDING!$B$46:$O$46</c:f>
              <c:numCache>
                <c:formatCode>General</c:formatCode>
                <c:ptCount val="14"/>
                <c:pt idx="0">
                  <c:v>16</c:v>
                </c:pt>
                <c:pt idx="1">
                  <c:v>22</c:v>
                </c:pt>
                <c:pt idx="2">
                  <c:v>14</c:v>
                </c:pt>
                <c:pt idx="3">
                  <c:v>18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10</c:v>
                </c:pt>
                <c:pt idx="8">
                  <c:v>19</c:v>
                </c:pt>
                <c:pt idx="9">
                  <c:v>9</c:v>
                </c:pt>
                <c:pt idx="10">
                  <c:v>6</c:v>
                </c:pt>
                <c:pt idx="11">
                  <c:v>11</c:v>
                </c:pt>
                <c:pt idx="12">
                  <c:v>4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6D-4042-BB9D-E5DA55E57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Number of projects</a:t>
                </a:r>
              </a:p>
            </c:rich>
          </c:tx>
          <c:layout>
            <c:manualLayout>
              <c:xMode val="edge"/>
              <c:yMode val="edge"/>
              <c:x val="9.9172256654211123E-3"/>
              <c:y val="0.3333282704444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10667872203130394"/>
          <c:y val="6.3129622014840153E-2"/>
          <c:w val="0.52565866766654168"/>
          <c:h val="5.92473206474190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39352511867788E-2"/>
          <c:y val="3.8579213453513429E-2"/>
          <c:w val="0.89334034895528514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strRef>
              <c:f>FUNDING!$A$38</c:f>
              <c:strCache>
                <c:ptCount val="1"/>
                <c:pt idx="0">
                  <c:v>Renewable Jet fuel</c:v>
                </c:pt>
              </c:strCache>
            </c:strRef>
          </c:tx>
          <c:spPr>
            <a:ln w="28575" cap="rnd">
              <a:solidFill>
                <a:srgbClr val="FB9A99"/>
              </a:solidFill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FUNDING!$B$38:$O$38</c:f>
              <c:numCache>
                <c:formatCode>General</c:formatCode>
                <c:ptCount val="14"/>
                <c:pt idx="0">
                  <c:v>1</c:v>
                </c:pt>
                <c:pt idx="1">
                  <c:v>14</c:v>
                </c:pt>
                <c:pt idx="2">
                  <c:v>22</c:v>
                </c:pt>
                <c:pt idx="3">
                  <c:v>14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11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5C-4D6F-BD1D-511E5B6F50FB}"/>
            </c:ext>
          </c:extLst>
        </c:ser>
        <c:ser>
          <c:idx val="6"/>
          <c:order val="1"/>
          <c:tx>
            <c:strRef>
              <c:f>FUNDING!$A$37</c:f>
              <c:strCache>
                <c:ptCount val="1"/>
                <c:pt idx="0">
                  <c:v>Renewable diesel</c:v>
                </c:pt>
              </c:strCache>
            </c:strRef>
          </c:tx>
          <c:spPr>
            <a:ln w="28575" cap="rnd">
              <a:solidFill>
                <a:srgbClr val="A6CEE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FUNDING!$B$37:$O$37</c:f>
              <c:numCache>
                <c:formatCode>General</c:formatCode>
                <c:ptCount val="1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C-4D6F-BD1D-511E5B6F50FB}"/>
            </c:ext>
          </c:extLst>
        </c:ser>
        <c:ser>
          <c:idx val="7"/>
          <c:order val="2"/>
          <c:tx>
            <c:strRef>
              <c:f>FUNDING!$A$39</c:f>
              <c:strCache>
                <c:ptCount val="1"/>
                <c:pt idx="0">
                  <c:v>Recycled greases</c:v>
                </c:pt>
              </c:strCache>
            </c:strRef>
          </c:tx>
          <c:spPr>
            <a:ln w="28575" cap="rnd">
              <a:solidFill>
                <a:srgbClr val="B2DF8A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FUNDING!$B$39:$O$39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5C-4D6F-BD1D-511E5B6F50FB}"/>
            </c:ext>
          </c:extLst>
        </c:ser>
        <c:ser>
          <c:idx val="9"/>
          <c:order val="3"/>
          <c:tx>
            <c:strRef>
              <c:f>FUNDING!$A$40</c:f>
              <c:strCache>
                <c:ptCount val="1"/>
                <c:pt idx="0">
                  <c:v>Animal Fats</c:v>
                </c:pt>
              </c:strCache>
            </c:strRef>
          </c:tx>
          <c:spPr>
            <a:ln w="28575" cap="rnd">
              <a:solidFill>
                <a:srgbClr val="CAB2D6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FUNDING!$B$40:$O$40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5C-4D6F-BD1D-511E5B6F5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Number of projects</a:t>
                </a:r>
              </a:p>
            </c:rich>
          </c:tx>
          <c:layout>
            <c:manualLayout>
              <c:xMode val="edge"/>
              <c:yMode val="edge"/>
              <c:x val="1.98068991376078E-3"/>
              <c:y val="0.31943924978127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7.8942163479565064E-2"/>
          <c:y val="5.2739921932835318E-2"/>
          <c:w val="0.58248024327705406"/>
          <c:h val="0.12082660340534358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789838770153715E-2"/>
          <c:y val="3.4546970691163609E-2"/>
          <c:w val="0.88938476440444947"/>
          <c:h val="0.849272473753280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FUNDING!$D$86</c:f>
              <c:strCache>
                <c:ptCount val="1"/>
                <c:pt idx="0">
                  <c:v>Traditional biofuel</c:v>
                </c:pt>
              </c:strCache>
            </c:strRef>
          </c:tx>
          <c:spPr>
            <a:solidFill>
              <a:srgbClr val="80B1D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FUNDING!$B$87:$C$95</c:f>
              <c:multiLvlStrCache>
                <c:ptCount val="9"/>
                <c:lvl>
                  <c:pt idx="0">
                    <c:v>&lt;50K</c:v>
                  </c:pt>
                  <c:pt idx="1">
                    <c:v>50K-100K</c:v>
                  </c:pt>
                  <c:pt idx="2">
                    <c:v>100K-500K</c:v>
                  </c:pt>
                  <c:pt idx="3">
                    <c:v>500K-1M</c:v>
                  </c:pt>
                  <c:pt idx="4">
                    <c:v>&gt;1M</c:v>
                  </c:pt>
                  <c:pt idx="5">
                    <c:v>0-250K</c:v>
                  </c:pt>
                  <c:pt idx="6">
                    <c:v>250K-500K</c:v>
                  </c:pt>
                  <c:pt idx="7">
                    <c:v>500K-1M</c:v>
                  </c:pt>
                  <c:pt idx="8">
                    <c:v>&gt;1M</c:v>
                  </c:pt>
                </c:lvl>
                <c:lvl>
                  <c:pt idx="0">
                    <c:v>Amount awarded 2023 NSF</c:v>
                  </c:pt>
                  <c:pt idx="5">
                    <c:v>Amount awarded 2023 NIFA</c:v>
                  </c:pt>
                </c:lvl>
              </c:multiLvlStrCache>
            </c:multiLvlStrRef>
          </c:cat>
          <c:val>
            <c:numRef>
              <c:f>FUNDING!$D$87:$D$95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4</c:v>
                </c:pt>
                <c:pt idx="4">
                  <c:v>2</c:v>
                </c:pt>
                <c:pt idx="5">
                  <c:v>23</c:v>
                </c:pt>
                <c:pt idx="6">
                  <c:v>16</c:v>
                </c:pt>
                <c:pt idx="7">
                  <c:v>22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A-41DE-B534-8D5C8196BCB9}"/>
            </c:ext>
          </c:extLst>
        </c:ser>
        <c:ser>
          <c:idx val="1"/>
          <c:order val="1"/>
          <c:tx>
            <c:strRef>
              <c:f>FUNDING!$E$86</c:f>
              <c:strCache>
                <c:ptCount val="1"/>
                <c:pt idx="0">
                  <c:v>Emergent biofuel</c:v>
                </c:pt>
              </c:strCache>
            </c:strRef>
          </c:tx>
          <c:spPr>
            <a:solidFill>
              <a:srgbClr val="ABDDA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FUNDING!$B$87:$C$95</c:f>
              <c:multiLvlStrCache>
                <c:ptCount val="9"/>
                <c:lvl>
                  <c:pt idx="0">
                    <c:v>&lt;50K</c:v>
                  </c:pt>
                  <c:pt idx="1">
                    <c:v>50K-100K</c:v>
                  </c:pt>
                  <c:pt idx="2">
                    <c:v>100K-500K</c:v>
                  </c:pt>
                  <c:pt idx="3">
                    <c:v>500K-1M</c:v>
                  </c:pt>
                  <c:pt idx="4">
                    <c:v>&gt;1M</c:v>
                  </c:pt>
                  <c:pt idx="5">
                    <c:v>0-250K</c:v>
                  </c:pt>
                  <c:pt idx="6">
                    <c:v>250K-500K</c:v>
                  </c:pt>
                  <c:pt idx="7">
                    <c:v>500K-1M</c:v>
                  </c:pt>
                  <c:pt idx="8">
                    <c:v>&gt;1M</c:v>
                  </c:pt>
                </c:lvl>
                <c:lvl>
                  <c:pt idx="0">
                    <c:v>Amount awarded 2023 NSF</c:v>
                  </c:pt>
                  <c:pt idx="5">
                    <c:v>Amount awarded 2023 NIFA</c:v>
                  </c:pt>
                </c:lvl>
              </c:multiLvlStrCache>
            </c:multiLvlStrRef>
          </c:cat>
          <c:val>
            <c:numRef>
              <c:f>FUNDING!$E$87:$E$95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A-41DE-B534-8D5C8196BCB9}"/>
            </c:ext>
          </c:extLst>
        </c:ser>
        <c:ser>
          <c:idx val="2"/>
          <c:order val="2"/>
          <c:tx>
            <c:strRef>
              <c:f>FUNDING!$F$86</c:f>
              <c:strCache>
                <c:ptCount val="1"/>
                <c:pt idx="0">
                  <c:v>Bioproducts</c:v>
                </c:pt>
              </c:strCache>
            </c:strRef>
          </c:tx>
          <c:spPr>
            <a:solidFill>
              <a:srgbClr val="FB9A99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FUNDING!$B$87:$C$95</c:f>
              <c:multiLvlStrCache>
                <c:ptCount val="9"/>
                <c:lvl>
                  <c:pt idx="0">
                    <c:v>&lt;50K</c:v>
                  </c:pt>
                  <c:pt idx="1">
                    <c:v>50K-100K</c:v>
                  </c:pt>
                  <c:pt idx="2">
                    <c:v>100K-500K</c:v>
                  </c:pt>
                  <c:pt idx="3">
                    <c:v>500K-1M</c:v>
                  </c:pt>
                  <c:pt idx="4">
                    <c:v>&gt;1M</c:v>
                  </c:pt>
                  <c:pt idx="5">
                    <c:v>0-250K</c:v>
                  </c:pt>
                  <c:pt idx="6">
                    <c:v>250K-500K</c:v>
                  </c:pt>
                  <c:pt idx="7">
                    <c:v>500K-1M</c:v>
                  </c:pt>
                  <c:pt idx="8">
                    <c:v>&gt;1M</c:v>
                  </c:pt>
                </c:lvl>
                <c:lvl>
                  <c:pt idx="0">
                    <c:v>Amount awarded 2023 NSF</c:v>
                  </c:pt>
                  <c:pt idx="5">
                    <c:v>Amount awarded 2023 NIFA</c:v>
                  </c:pt>
                </c:lvl>
              </c:multiLvlStrCache>
            </c:multiLvlStrRef>
          </c:cat>
          <c:val>
            <c:numRef>
              <c:f>FUNDING!$F$87:$F$95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10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15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0A-41DE-B534-8D5C8196B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5798320"/>
        <c:axId val="1015794992"/>
      </c:barChart>
      <c:catAx>
        <c:axId val="101579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15794992"/>
        <c:crosses val="autoZero"/>
        <c:auto val="1"/>
        <c:lblAlgn val="ctr"/>
        <c:lblOffset val="100"/>
        <c:noMultiLvlLbl val="0"/>
      </c:catAx>
      <c:valAx>
        <c:axId val="101579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/>
                  <a:t>Number of projects</a:t>
                </a:r>
              </a:p>
            </c:rich>
          </c:tx>
          <c:layout>
            <c:manualLayout>
              <c:xMode val="edge"/>
              <c:yMode val="edge"/>
              <c:x val="1.2618296529968454E-2"/>
              <c:y val="0.34714404816069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15798320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9.4793348084551185E-2"/>
          <c:y val="5.0706529925774624E-2"/>
          <c:w val="0.47050692924815279"/>
          <c:h val="5.26014811907568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Bioplastics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Bioplastics</a:t>
          </a:r>
        </a:p>
      </cx:txPr>
    </cx:title>
    <cx:plotArea>
      <cx:plotAreaRegion>
        <cx:series layoutId="sunburst" uniqueId="{7112577A-895C-47DE-8D2D-1B4FBF910AC2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628650</xdr:colOff>
      <xdr:row>38</xdr:row>
      <xdr:rowOff>0</xdr:rowOff>
    </xdr:from>
    <xdr:ext cx="2847975" cy="2657475"/>
    <xdr:graphicFrame macro="">
      <xdr:nvGraphicFramePr>
        <xdr:cNvPr id="1063908205" name="Chart 1">
          <a:extLst>
            <a:ext uri="{FF2B5EF4-FFF2-40B4-BE49-F238E27FC236}">
              <a16:creationId xmlns:a16="http://schemas.microsoft.com/office/drawing/2014/main" id="{00000000-0008-0000-0100-00006DF36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0</xdr:colOff>
      <xdr:row>38</xdr:row>
      <xdr:rowOff>0</xdr:rowOff>
    </xdr:from>
    <xdr:to>
      <xdr:col>10</xdr:col>
      <xdr:colOff>200025</xdr:colOff>
      <xdr:row>56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2A113-7A84-4103-961B-FB7B3FE79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58</xdr:row>
      <xdr:rowOff>0</xdr:rowOff>
    </xdr:from>
    <xdr:to>
      <xdr:col>10</xdr:col>
      <xdr:colOff>200025</xdr:colOff>
      <xdr:row>76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5DF484-CB89-425E-B231-056B9F601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9</xdr:col>
      <xdr:colOff>152400</xdr:colOff>
      <xdr:row>43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616FF-2D21-45D5-94A8-A1EDD0146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9</xdr:col>
      <xdr:colOff>152401</xdr:colOff>
      <xdr:row>63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175B0B-7AE5-41AA-AEFC-8D332C1B2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27</xdr:row>
      <xdr:rowOff>0</xdr:rowOff>
    </xdr:from>
    <xdr:to>
      <xdr:col>17</xdr:col>
      <xdr:colOff>1266825</xdr:colOff>
      <xdr:row>45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59B613-F027-4EE4-AEB4-2830A1B67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9</xdr:col>
      <xdr:colOff>152400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74BCA-1817-41FC-A1A7-2B728E1FF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22411</xdr:colOff>
      <xdr:row>47</xdr:row>
      <xdr:rowOff>47625</xdr:rowOff>
    </xdr:from>
    <xdr:to>
      <xdr:col>11</xdr:col>
      <xdr:colOff>573740</xdr:colOff>
      <xdr:row>65</xdr:row>
      <xdr:rowOff>74519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09BE3-F0B0-4A7F-BEC7-8F36B9B9E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11</xdr:col>
      <xdr:colOff>551329</xdr:colOff>
      <xdr:row>85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7B6CD7-D266-4DE1-BB95-5ECA41326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22</xdr:row>
      <xdr:rowOff>0</xdr:rowOff>
    </xdr:from>
    <xdr:to>
      <xdr:col>12</xdr:col>
      <xdr:colOff>342900</xdr:colOff>
      <xdr:row>40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BB2853-6D6C-4A37-81F0-845CD2D4B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9</xdr:col>
      <xdr:colOff>125506</xdr:colOff>
      <xdr:row>51</xdr:row>
      <xdr:rowOff>26894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AE212-239F-4A97-A5BD-B477D0EE4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9</xdr:col>
      <xdr:colOff>125506</xdr:colOff>
      <xdr:row>71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7E4636-EE7B-480E-9916-0E3F687AB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0</xdr:rowOff>
    </xdr:from>
    <xdr:to>
      <xdr:col>9</xdr:col>
      <xdr:colOff>153609</xdr:colOff>
      <xdr:row>53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86E2B-C036-4AE6-A827-41789CEC9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38</xdr:row>
      <xdr:rowOff>0</xdr:rowOff>
    </xdr:from>
    <xdr:to>
      <xdr:col>9</xdr:col>
      <xdr:colOff>152400</xdr:colOff>
      <xdr:row>56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EDC70-9BE7-44A9-953A-69633FD62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180975</xdr:colOff>
      <xdr:row>58</xdr:row>
      <xdr:rowOff>0</xdr:rowOff>
    </xdr:from>
    <xdr:to>
      <xdr:col>9</xdr:col>
      <xdr:colOff>357039</xdr:colOff>
      <xdr:row>75</xdr:row>
      <xdr:rowOff>166659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080CA-7965-43D9-92D9-2F80C438D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21</xdr:row>
      <xdr:rowOff>68035</xdr:rowOff>
    </xdr:from>
    <xdr:to>
      <xdr:col>10</xdr:col>
      <xdr:colOff>481692</xdr:colOff>
      <xdr:row>39</xdr:row>
      <xdr:rowOff>51706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DF1BB-EB5D-490E-9AA9-C79693201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353785</xdr:colOff>
      <xdr:row>47</xdr:row>
      <xdr:rowOff>122464</xdr:rowOff>
    </xdr:from>
    <xdr:to>
      <xdr:col>9</xdr:col>
      <xdr:colOff>549728</xdr:colOff>
      <xdr:row>65</xdr:row>
      <xdr:rowOff>106136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E1FD6-4010-42A5-89FF-D67125B3F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488256</xdr:colOff>
      <xdr:row>68</xdr:row>
      <xdr:rowOff>19210</xdr:rowOff>
    </xdr:from>
    <xdr:to>
      <xdr:col>9</xdr:col>
      <xdr:colOff>684199</xdr:colOff>
      <xdr:row>86</xdr:row>
      <xdr:rowOff>5283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930F6C-8B6F-4F0B-8966-35FF8D56A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28015</xdr:colOff>
      <xdr:row>61</xdr:row>
      <xdr:rowOff>169209</xdr:rowOff>
    </xdr:from>
    <xdr:to>
      <xdr:col>16</xdr:col>
      <xdr:colOff>2753445</xdr:colOff>
      <xdr:row>75</xdr:row>
      <xdr:rowOff>86125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33367E6-9849-4E08-08DA-4501BF27B3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20490" y="14332884"/>
              <a:ext cx="4554230" cy="27172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838199</xdr:colOff>
      <xdr:row>22</xdr:row>
      <xdr:rowOff>104775</xdr:rowOff>
    </xdr:from>
    <xdr:to>
      <xdr:col>8</xdr:col>
      <xdr:colOff>504824</xdr:colOff>
      <xdr:row>41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16857-5E44-483B-8FEF-B5266C666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6</xdr:col>
      <xdr:colOff>628650</xdr:colOff>
      <xdr:row>64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97322E-B43A-4BAF-86A7-646CE8279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0</xdr:rowOff>
    </xdr:from>
    <xdr:to>
      <xdr:col>9</xdr:col>
      <xdr:colOff>195943</xdr:colOff>
      <xdr:row>52</xdr:row>
      <xdr:rowOff>187779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976C5-8737-4D63-BE7B-E8A0C6BFF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55</xdr:row>
      <xdr:rowOff>0</xdr:rowOff>
    </xdr:from>
    <xdr:to>
      <xdr:col>9</xdr:col>
      <xdr:colOff>195943</xdr:colOff>
      <xdr:row>72</xdr:row>
      <xdr:rowOff>187779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79D0E1-18C8-4EBD-8089-7ED7C32BE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9</xdr:col>
      <xdr:colOff>195943</xdr:colOff>
      <xdr:row>92</xdr:row>
      <xdr:rowOff>187778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38574F-9B58-47E3-A53E-93729477E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2505074</xdr:colOff>
      <xdr:row>63</xdr:row>
      <xdr:rowOff>197826</xdr:rowOff>
    </xdr:from>
    <xdr:to>
      <xdr:col>12</xdr:col>
      <xdr:colOff>32970</xdr:colOff>
      <xdr:row>82</xdr:row>
      <xdr:rowOff>96714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6032A-D93E-49A3-AA40-B81B6652B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968704</xdr:colOff>
      <xdr:row>64</xdr:row>
      <xdr:rowOff>65430</xdr:rowOff>
    </xdr:from>
    <xdr:to>
      <xdr:col>26</xdr:col>
      <xdr:colOff>291696</xdr:colOff>
      <xdr:row>82</xdr:row>
      <xdr:rowOff>162145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D86A48-3582-471D-A914-BAE99986D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261938</xdr:colOff>
      <xdr:row>64</xdr:row>
      <xdr:rowOff>71702</xdr:rowOff>
    </xdr:from>
    <xdr:to>
      <xdr:col>17</xdr:col>
      <xdr:colOff>581392</xdr:colOff>
      <xdr:row>82</xdr:row>
      <xdr:rowOff>168417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A272C5-E938-416A-A9B8-FDCA38F07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439615</xdr:colOff>
      <xdr:row>85</xdr:row>
      <xdr:rowOff>21981</xdr:rowOff>
    </xdr:from>
    <xdr:to>
      <xdr:col>17</xdr:col>
      <xdr:colOff>747346</xdr:colOff>
      <xdr:row>103</xdr:row>
      <xdr:rowOff>79131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F3DF65-239B-42C0-9E33-075680A74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uickstats.nass.usda.gov/results/FE8787AE-F141-38C3-A8D7-17EC943640FB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rs.usda.gov/data-products/fertilizer-use-and-price.aspx" TargetMode="External"/><Relationship Id="rId3" Type="http://schemas.openxmlformats.org/officeDocument/2006/relationships/hyperlink" Target="https://www.ers.usda.gov/data-products/feed-grains-database/feed-grains-yearbook-tables.aspx" TargetMode="External"/><Relationship Id="rId7" Type="http://schemas.openxmlformats.org/officeDocument/2006/relationships/hyperlink" Target="https://quickstats.nass.usda.gov/results/6470F0BD-2744-3376-97E7-7B7F46D09C66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apps.fas.usda.gov/psdonline/app/index.html" TargetMode="External"/><Relationship Id="rId1" Type="http://schemas.openxmlformats.org/officeDocument/2006/relationships/hyperlink" Target="https://quickstats.nass.usda.gov/results/5C42EA33-506B-37F7-871A-178A7B2FDB70" TargetMode="External"/><Relationship Id="rId6" Type="http://schemas.openxmlformats.org/officeDocument/2006/relationships/hyperlink" Target="https://quickstats.nass.usda.gov/results/B064DE81-3626-3F18-B562-BBF6B877613A" TargetMode="External"/><Relationship Id="rId11" Type="http://schemas.openxmlformats.org/officeDocument/2006/relationships/hyperlink" Target="https://www.ers.usda.gov/publications/pub-details/?pubid=86740" TargetMode="External"/><Relationship Id="rId5" Type="http://schemas.openxmlformats.org/officeDocument/2006/relationships/hyperlink" Target="https://www.eia.gov/biofuels/biodiesel/production/archive/" TargetMode="External"/><Relationship Id="rId10" Type="http://schemas.openxmlformats.org/officeDocument/2006/relationships/hyperlink" Target="https://www.ers.usda.gov/data-products/fertilizer-use-and-price.aspx" TargetMode="External"/><Relationship Id="rId4" Type="http://schemas.openxmlformats.org/officeDocument/2006/relationships/hyperlink" Target="https://www-statista-com.proxy.lib.duke.edu/statistics/269931/global-distribution-of-grain-consumption/" TargetMode="External"/><Relationship Id="rId9" Type="http://schemas.openxmlformats.org/officeDocument/2006/relationships/hyperlink" Target="https://www.ers.usda.gov/data-products/fertilizer-use-and-price.asp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rs.usda.gov/data-products/feed-grains-database/feed-grains-yearbook-tables.aspx" TargetMode="External"/><Relationship Id="rId3" Type="http://schemas.openxmlformats.org/officeDocument/2006/relationships/hyperlink" Target="https://www.ers.usda.gov/data-products/feed-grains-database/feed-grains-yearbook-tables.aspx" TargetMode="External"/><Relationship Id="rId7" Type="http://schemas.openxmlformats.org/officeDocument/2006/relationships/hyperlink" Target="https://www.ers.usda.gov/data-products/feed-grains-database/feed-grains-yearbook-tables.aspx" TargetMode="External"/><Relationship Id="rId2" Type="http://schemas.openxmlformats.org/officeDocument/2006/relationships/hyperlink" Target="https://www.ers.usda.gov/data-products/feed-grains-database/feed-grains-yearbook-tables.aspx" TargetMode="External"/><Relationship Id="rId1" Type="http://schemas.openxmlformats.org/officeDocument/2006/relationships/hyperlink" Target="https://www.ers.usda.gov/data-products/feed-grains-database/feed-grains-yearbook-tables.aspx" TargetMode="External"/><Relationship Id="rId6" Type="http://schemas.openxmlformats.org/officeDocument/2006/relationships/hyperlink" Target="https://www.ers.usda.gov/data-products/feed-grains-database/feed-grains-yearbook-tables.aspx" TargetMode="External"/><Relationship Id="rId5" Type="http://schemas.openxmlformats.org/officeDocument/2006/relationships/hyperlink" Target="https://www.ers.usda.gov/data-products/feed-grains-database/feed-grains-yearbook-tables.aspx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www.ers.usda.gov/data-products/feed-grains-database/feed-grains-yearbook-tables.aspx" TargetMode="External"/><Relationship Id="rId9" Type="http://schemas.openxmlformats.org/officeDocument/2006/relationships/hyperlink" Target="https://www.ers.usda.gov/data-products/feed-grains-database/feed-grains-yearbook-tables.asp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rs.usda.gov/data-products/feed-grains-database/feed-grains-yearbook-tables.aspx" TargetMode="External"/><Relationship Id="rId3" Type="http://schemas.openxmlformats.org/officeDocument/2006/relationships/hyperlink" Target="https://www.ers.usda.gov/data-products/feed-grains-database/feed-grains-yearbook-tables.aspx" TargetMode="External"/><Relationship Id="rId7" Type="http://schemas.openxmlformats.org/officeDocument/2006/relationships/hyperlink" Target="https://www.ers.usda.gov/data-products/feed-grains-database/feed-grains-yearbook-tables.aspx" TargetMode="External"/><Relationship Id="rId2" Type="http://schemas.openxmlformats.org/officeDocument/2006/relationships/hyperlink" Target="https://www.ers.usda.gov/data-products/feed-grains-database/feed-grains-yearbook-tables.aspx" TargetMode="External"/><Relationship Id="rId1" Type="http://schemas.openxmlformats.org/officeDocument/2006/relationships/hyperlink" Target="https://www.ers.usda.gov/data-products/feed-grains-database/feed-grains-yearbook-tables.aspx" TargetMode="External"/><Relationship Id="rId6" Type="http://schemas.openxmlformats.org/officeDocument/2006/relationships/hyperlink" Target="https://www.ers.usda.gov/data-products/feed-grains-database/feed-grains-yearbook-tables.aspx" TargetMode="External"/><Relationship Id="rId5" Type="http://schemas.openxmlformats.org/officeDocument/2006/relationships/hyperlink" Target="https://www.ers.usda.gov/data-products/feed-grains-database/feed-grains-yearbook-tables.aspx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www.ers.usda.gov/data-products/feed-grains-database/feed-grains-yearbook-tables.aspx" TargetMode="External"/><Relationship Id="rId9" Type="http://schemas.openxmlformats.org/officeDocument/2006/relationships/hyperlink" Target="https://www.ers.usda.gov/data-products/feed-grains-database/feed-grains-yearbook-tables.aspx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quickstats.nass.usda.gov/results/25621CF1-71CE-3AF9-9CE4-69B2C52D0D72" TargetMode="External"/><Relationship Id="rId3" Type="http://schemas.openxmlformats.org/officeDocument/2006/relationships/hyperlink" Target="https://quickstats.nass.usda.gov/results/7539B9E8-3C98-3BA5-AB49-19F9CC39402E" TargetMode="External"/><Relationship Id="rId7" Type="http://schemas.openxmlformats.org/officeDocument/2006/relationships/hyperlink" Target="https://apps.fas.usda.gov/psdonline/app/index.html" TargetMode="External"/><Relationship Id="rId2" Type="http://schemas.openxmlformats.org/officeDocument/2006/relationships/hyperlink" Target="https://apps.fas.usda.gov/psdonline/app/index.html" TargetMode="External"/><Relationship Id="rId1" Type="http://schemas.openxmlformats.org/officeDocument/2006/relationships/hyperlink" Target="https://apps.fas.usda.gov/psdonline/app/index.html" TargetMode="External"/><Relationship Id="rId6" Type="http://schemas.openxmlformats.org/officeDocument/2006/relationships/hyperlink" Target="https://apps.fas.usda.gov/psdonline/app/index.html" TargetMode="External"/><Relationship Id="rId5" Type="http://schemas.openxmlformats.org/officeDocument/2006/relationships/hyperlink" Target="https://apps.fas.usda.gov/psdonline/app/index.html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s://apps.fas.usda.gov/psdonline/app/index.html" TargetMode="External"/><Relationship Id="rId9" Type="http://schemas.openxmlformats.org/officeDocument/2006/relationships/hyperlink" Target="https://quickstats.nass.usda.gov/results/FDBAF890-6232-3032-8271-F98ED7B43DE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rs.usda.gov/data-products/fertilizer-use-and-price.aspx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s://www.ers.usda.gov/data-products/fertilizer-use-and-price.aspx" TargetMode="External"/><Relationship Id="rId1" Type="http://schemas.openxmlformats.org/officeDocument/2006/relationships/hyperlink" Target="https://www.ers.usda.gov/data-products/fertilizer-use-and-price.aspx" TargetMode="External"/><Relationship Id="rId6" Type="http://schemas.openxmlformats.org/officeDocument/2006/relationships/hyperlink" Target="https://www.ers.usda.gov/publications/pub-details/?pubid=86740" TargetMode="External"/><Relationship Id="rId5" Type="http://schemas.openxmlformats.org/officeDocument/2006/relationships/hyperlink" Target="https://www.ers.usda.gov/data-products/us-bioenergy-statistics/us-bioenergy-statistics/" TargetMode="External"/><Relationship Id="rId4" Type="http://schemas.openxmlformats.org/officeDocument/2006/relationships/hyperlink" Target="https://www.ers.usda.gov/data-products/oil-crops-yearbook/oil-crops-yearboo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quickstats.nass.usda.gov/results/3E507DA6-3070-3BED-B57D-AF15AA455D6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ers.usda.gov/data-products/oil-crops-yearbook/oil-crops-yearbook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fdc.energy.gov/fuels/prices.html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eia.gov/totalenergy/data/monthly/pdf/sec10_5.pdf" TargetMode="External"/><Relationship Id="rId7" Type="http://schemas.openxmlformats.org/officeDocument/2006/relationships/hyperlink" Target="https://www.afdc.energy.gov/fuels/prices.html" TargetMode="External"/><Relationship Id="rId12" Type="http://schemas.openxmlformats.org/officeDocument/2006/relationships/hyperlink" Target="https://www.eia.gov/totalenergy/data/monthly/pdf/mer.pdf" TargetMode="External"/><Relationship Id="rId2" Type="http://schemas.openxmlformats.org/officeDocument/2006/relationships/hyperlink" Target="http://www.ethanolrfa.org/pocket-guide/" TargetMode="External"/><Relationship Id="rId1" Type="http://schemas.openxmlformats.org/officeDocument/2006/relationships/hyperlink" Target="http://www.ethanolrfa.org/pocket-guide/" TargetMode="External"/><Relationship Id="rId6" Type="http://schemas.openxmlformats.org/officeDocument/2006/relationships/hyperlink" Target="https://www.ers.usda.gov/data-products/us-bioenergy-statistics/" TargetMode="External"/><Relationship Id="rId11" Type="http://schemas.openxmlformats.org/officeDocument/2006/relationships/hyperlink" Target="https://www.eia.gov/totalenergy/data/monthly/pdf/sec10_5.pdf" TargetMode="External"/><Relationship Id="rId5" Type="http://schemas.openxmlformats.org/officeDocument/2006/relationships/hyperlink" Target="https://www.ers.usda.gov/data-products/us-bioenergy-statistics/" TargetMode="External"/><Relationship Id="rId10" Type="http://schemas.openxmlformats.org/officeDocument/2006/relationships/hyperlink" Target="https://www.macrotrends.net/1369/crude-oil-price-history-chart" TargetMode="External"/><Relationship Id="rId4" Type="http://schemas.openxmlformats.org/officeDocument/2006/relationships/hyperlink" Target="https://www.ers.usda.gov/data-products/us-bioenergy-statistics/" TargetMode="External"/><Relationship Id="rId9" Type="http://schemas.openxmlformats.org/officeDocument/2006/relationships/hyperlink" Target="http://www.ethanolrfa.org/pocket-guide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fdc.energy.gov/fuels/prices.html" TargetMode="External"/><Relationship Id="rId13" Type="http://schemas.openxmlformats.org/officeDocument/2006/relationships/hyperlink" Target="https://afdc.energy.gov/stations/states?count=total&amp;include_temporarily_unavailable=false&amp;date=" TargetMode="External"/><Relationship Id="rId3" Type="http://schemas.openxmlformats.org/officeDocument/2006/relationships/hyperlink" Target="https://www.eia.gov/biofuels/biodiesel/production/archive/" TargetMode="External"/><Relationship Id="rId7" Type="http://schemas.openxmlformats.org/officeDocument/2006/relationships/hyperlink" Target="https://www.afdc.energy.gov/fuels/prices.html" TargetMode="External"/><Relationship Id="rId12" Type="http://schemas.openxmlformats.org/officeDocument/2006/relationships/hyperlink" Target="https://www.eia.gov/biofuels/biodiesel/capacity/archive/2024/index.php" TargetMode="External"/><Relationship Id="rId2" Type="http://schemas.openxmlformats.org/officeDocument/2006/relationships/hyperlink" Target="http://www.biodieselmagazine.com/plants/listplants/USA/construction/" TargetMode="External"/><Relationship Id="rId1" Type="http://schemas.openxmlformats.org/officeDocument/2006/relationships/hyperlink" Target="http://www.biodieselmagazine.com/plants/listplants/USA/proposed/" TargetMode="External"/><Relationship Id="rId6" Type="http://schemas.openxmlformats.org/officeDocument/2006/relationships/hyperlink" Target="https://www.ers.usda.gov/data-products/us-bioenergy-statistics/" TargetMode="External"/><Relationship Id="rId11" Type="http://schemas.openxmlformats.org/officeDocument/2006/relationships/hyperlink" Target="https://cleanfuels.org/new-study-shows-clean-fuels-industry-contributes-42-4-billion-to-us-economy/" TargetMode="External"/><Relationship Id="rId5" Type="http://schemas.openxmlformats.org/officeDocument/2006/relationships/hyperlink" Target="https://www.eia.gov/totalenergy/data/monthly/pdf/sec10_8.pdf" TargetMode="External"/><Relationship Id="rId10" Type="http://schemas.openxmlformats.org/officeDocument/2006/relationships/hyperlink" Target="https://www.ers.usda.gov/data-products/oil-crops-yearbook/oil-crops-yearbook/" TargetMode="External"/><Relationship Id="rId4" Type="http://schemas.openxmlformats.org/officeDocument/2006/relationships/hyperlink" Target="https://www.eia.gov/totalenergy/data/monthly/pdf/sec10_5.pdf" TargetMode="External"/><Relationship Id="rId9" Type="http://schemas.openxmlformats.org/officeDocument/2006/relationships/hyperlink" Target="https://www.afdc.energy.gov/fuels/prices.html" TargetMode="External"/><Relationship Id="rId14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biofuels/renewable/capacity/" TargetMode="External"/><Relationship Id="rId2" Type="http://schemas.openxmlformats.org/officeDocument/2006/relationships/hyperlink" Target="https://www.eia.gov/biofuels/renewable/capacity/" TargetMode="External"/><Relationship Id="rId1" Type="http://schemas.openxmlformats.org/officeDocument/2006/relationships/hyperlink" Target="https://www.eia.gov/biofuels/renewable/capacity/" TargetMode="External"/><Relationship Id="rId4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ss.usda.gov/" TargetMode="External"/><Relationship Id="rId2" Type="http://schemas.openxmlformats.org/officeDocument/2006/relationships/hyperlink" Target="https://rendermagazine.com/archives/2020s/" TargetMode="External"/><Relationship Id="rId1" Type="http://schemas.openxmlformats.org/officeDocument/2006/relationships/hyperlink" Target="https://www.nass.usda.gov/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ea.org/energy-system/transport/aviation" TargetMode="External"/><Relationship Id="rId3" Type="http://schemas.openxmlformats.org/officeDocument/2006/relationships/hyperlink" Target="https://www.icao.int/environmental-protection/GFAAF/Pages/Production-Facilities.aspx" TargetMode="External"/><Relationship Id="rId7" Type="http://schemas.openxmlformats.org/officeDocument/2006/relationships/hyperlink" Target="https://www.icao.int/environmental-protection/GFAAF/Pages/Airports.aspx" TargetMode="External"/><Relationship Id="rId2" Type="http://schemas.openxmlformats.org/officeDocument/2006/relationships/hyperlink" Target="https://www.icao.int/environmental-protection/GFAAF/Pages/Offtake-Agreements.aspx" TargetMode="External"/><Relationship Id="rId1" Type="http://schemas.openxmlformats.org/officeDocument/2006/relationships/hyperlink" Target="https://www.epa.gov/fuels-registration-reporting-and-compliance-help/rins-generated-transactions" TargetMode="External"/><Relationship Id="rId6" Type="http://schemas.openxmlformats.org/officeDocument/2006/relationships/hyperlink" Target="https://www.icao.int/environmental-protection/GFAAF/Pages/Offtake-Agreements.aspx" TargetMode="External"/><Relationship Id="rId5" Type="http://schemas.openxmlformats.org/officeDocument/2006/relationships/hyperlink" Target="https://www.epa.gov/fuels-registration-reporting-and-compliance-help/rins-generated-transactions" TargetMode="External"/><Relationship Id="rId4" Type="http://schemas.openxmlformats.org/officeDocument/2006/relationships/hyperlink" Target="https://www.icao.int/environmental-protection/GFAAF/Pages/Production-Facilities.aspx" TargetMode="External"/><Relationship Id="rId9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totalenergy/data/monthly/pdf/mer.pdf" TargetMode="External"/><Relationship Id="rId13" Type="http://schemas.openxmlformats.org/officeDocument/2006/relationships/hyperlink" Target="http://www.fao.org/faostat/en/" TargetMode="External"/><Relationship Id="rId18" Type="http://schemas.openxmlformats.org/officeDocument/2006/relationships/drawing" Target="../drawings/drawing6.xml"/><Relationship Id="rId3" Type="http://schemas.openxmlformats.org/officeDocument/2006/relationships/hyperlink" Target="http://www.fao.org/faostat/en/" TargetMode="External"/><Relationship Id="rId7" Type="http://schemas.openxmlformats.org/officeDocument/2006/relationships/hyperlink" Target="https://www.eia.gov/totalenergy/data/monthly/pdf/mer.pdf" TargetMode="External"/><Relationship Id="rId12" Type="http://schemas.openxmlformats.org/officeDocument/2006/relationships/hyperlink" Target="http://www.eia.gov/biofuels/biomass/" TargetMode="External"/><Relationship Id="rId17" Type="http://schemas.openxmlformats.org/officeDocument/2006/relationships/hyperlink" Target="https://www.eia.gov/biofuels/biomass/?year=2024&amp;month=12" TargetMode="External"/><Relationship Id="rId2" Type="http://schemas.openxmlformats.org/officeDocument/2006/relationships/hyperlink" Target="http://www.fao.org/faostat/en/" TargetMode="External"/><Relationship Id="rId16" Type="http://schemas.openxmlformats.org/officeDocument/2006/relationships/hyperlink" Target="https://www.eia.gov/totalenergy/data/monthly/pdf/mer.pdf" TargetMode="External"/><Relationship Id="rId1" Type="http://schemas.openxmlformats.org/officeDocument/2006/relationships/hyperlink" Target="http://www.fao.org/faostat/en/" TargetMode="External"/><Relationship Id="rId6" Type="http://schemas.openxmlformats.org/officeDocument/2006/relationships/hyperlink" Target="https://www.eia.gov/totalenergy/data/monthly/pdf/mer.pdf" TargetMode="External"/><Relationship Id="rId11" Type="http://schemas.openxmlformats.org/officeDocument/2006/relationships/hyperlink" Target="http://www.fao.org/faostat/en/" TargetMode="External"/><Relationship Id="rId5" Type="http://schemas.openxmlformats.org/officeDocument/2006/relationships/hyperlink" Target="https://www.eia.gov/totalenergy/data/monthly/pdf/mer.pdf" TargetMode="External"/><Relationship Id="rId15" Type="http://schemas.openxmlformats.org/officeDocument/2006/relationships/hyperlink" Target="https://data.bls.gov/cew/apps/data_views/data_views.htm" TargetMode="External"/><Relationship Id="rId10" Type="http://schemas.openxmlformats.org/officeDocument/2006/relationships/hyperlink" Target="https://www.eia.gov/totalenergy/data/monthly/pdf/mer.pdf" TargetMode="External"/><Relationship Id="rId4" Type="http://schemas.openxmlformats.org/officeDocument/2006/relationships/hyperlink" Target="https://www.eia.gov/totalenergy/data/monthly/pdf/mer.pdf" TargetMode="External"/><Relationship Id="rId9" Type="http://schemas.openxmlformats.org/officeDocument/2006/relationships/hyperlink" Target="https://www.eia.gov/totalenergy/data/monthly/pdf/mer.pdf" TargetMode="External"/><Relationship Id="rId14" Type="http://schemas.openxmlformats.org/officeDocument/2006/relationships/hyperlink" Target="http://www.fao.org/faostat/en/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facts-and-figures-about-materials-waste-and-recycling/advancing-sustainable-materials-management" TargetMode="External"/><Relationship Id="rId13" Type="http://schemas.openxmlformats.org/officeDocument/2006/relationships/hyperlink" Target="http://www.eia.gov/electricity/annual/html/epa_05_07_c.html" TargetMode="External"/><Relationship Id="rId18" Type="http://schemas.openxmlformats.org/officeDocument/2006/relationships/hyperlink" Target="http://www.eia.gov/electricity/annual/html/epa_05_07_f.html" TargetMode="External"/><Relationship Id="rId3" Type="http://schemas.openxmlformats.org/officeDocument/2006/relationships/hyperlink" Target="https://www.eia.gov/electricity/data/eia860m/" TargetMode="External"/><Relationship Id="rId21" Type="http://schemas.openxmlformats.org/officeDocument/2006/relationships/hyperlink" Target="https://www.ibisworld.com/united-states/industry/waste-to-energy-plant-operation/4496/" TargetMode="External"/><Relationship Id="rId7" Type="http://schemas.openxmlformats.org/officeDocument/2006/relationships/hyperlink" Target="https://www.epa.gov/facts-and-figures-about-materials-waste-and-recycling/advancing-sustainable-materials-management" TargetMode="External"/><Relationship Id="rId12" Type="http://schemas.openxmlformats.org/officeDocument/2006/relationships/hyperlink" Target="http://www.eia.gov/electricity/annual/html/epa_05_07_b.html" TargetMode="External"/><Relationship Id="rId17" Type="http://schemas.openxmlformats.org/officeDocument/2006/relationships/hyperlink" Target="http://www.eia.gov/electricity/annual/html/epa_05_07_f.html" TargetMode="External"/><Relationship Id="rId2" Type="http://schemas.openxmlformats.org/officeDocument/2006/relationships/hyperlink" Target="https://www.eia.gov/electricity/data/eia860m/" TargetMode="External"/><Relationship Id="rId16" Type="http://schemas.openxmlformats.org/officeDocument/2006/relationships/hyperlink" Target="http://www.eia.gov/electricity/annual/html/epa_05_07_f.html" TargetMode="External"/><Relationship Id="rId20" Type="http://schemas.openxmlformats.org/officeDocument/2006/relationships/hyperlink" Target="http://www.eia.gov/electricity/annual/html/epa_05_07_f.html" TargetMode="External"/><Relationship Id="rId1" Type="http://schemas.openxmlformats.org/officeDocument/2006/relationships/hyperlink" Target="https://www.eia.gov/electricity/data/eia860m/" TargetMode="External"/><Relationship Id="rId6" Type="http://schemas.openxmlformats.org/officeDocument/2006/relationships/hyperlink" Target="https://www.eia.gov/electricity/data/eia860m/" TargetMode="External"/><Relationship Id="rId11" Type="http://schemas.openxmlformats.org/officeDocument/2006/relationships/hyperlink" Target="http://www.eia.gov/electricity/annual/html/epa_05_07_a.html" TargetMode="External"/><Relationship Id="rId5" Type="http://schemas.openxmlformats.org/officeDocument/2006/relationships/hyperlink" Target="https://www.eia.gov/electricity/data/eia860m/" TargetMode="External"/><Relationship Id="rId15" Type="http://schemas.openxmlformats.org/officeDocument/2006/relationships/hyperlink" Target="http://www.eia.gov/electricity/annual/html/epa_05_07_e.html" TargetMode="External"/><Relationship Id="rId23" Type="http://schemas.openxmlformats.org/officeDocument/2006/relationships/drawing" Target="../drawings/drawing7.xml"/><Relationship Id="rId10" Type="http://schemas.openxmlformats.org/officeDocument/2006/relationships/hyperlink" Target="https://www.epa.gov/facts-and-figures-about-materials-waste-and-recycling/advancing-sustainable-materials-management" TargetMode="External"/><Relationship Id="rId19" Type="http://schemas.openxmlformats.org/officeDocument/2006/relationships/hyperlink" Target="http://www.eia.gov/electricity/annual/html/epa_05_07_f.html" TargetMode="External"/><Relationship Id="rId4" Type="http://schemas.openxmlformats.org/officeDocument/2006/relationships/hyperlink" Target="https://www.eia.gov/electricity/data/eia860m/" TargetMode="External"/><Relationship Id="rId9" Type="http://schemas.openxmlformats.org/officeDocument/2006/relationships/hyperlink" Target="https://www.epa.gov/facts-and-figures-about-materials-waste-and-recycling/advancing-sustainable-materials-management" TargetMode="External"/><Relationship Id="rId14" Type="http://schemas.openxmlformats.org/officeDocument/2006/relationships/hyperlink" Target="http://www.eia.gov/electricity/annual/html/epa_05_07_d.html" TargetMode="External"/><Relationship Id="rId22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agstar/livestock-anaerobic-digester-database" TargetMode="External"/><Relationship Id="rId13" Type="http://schemas.openxmlformats.org/officeDocument/2006/relationships/hyperlink" Target="https://www.epa.gov/agstar/livestock-anaerobic-digester-database" TargetMode="External"/><Relationship Id="rId18" Type="http://schemas.openxmlformats.org/officeDocument/2006/relationships/hyperlink" Target="https://www.eia.gov/electricity/annual/html/epa_05_06_c.html" TargetMode="External"/><Relationship Id="rId26" Type="http://schemas.openxmlformats.org/officeDocument/2006/relationships/hyperlink" Target="https://www.epa.gov/lmop/landfill-gas-energy-project-data" TargetMode="External"/><Relationship Id="rId3" Type="http://schemas.openxmlformats.org/officeDocument/2006/relationships/hyperlink" Target="https://www.epa.gov/agstar/livestock-anaerobic-digester-database" TargetMode="External"/><Relationship Id="rId21" Type="http://schemas.openxmlformats.org/officeDocument/2006/relationships/hyperlink" Target="https://19january2017snapshot.epa.gov/sites/production/files/2015-12/documents/biogas-roadmap.pdf" TargetMode="External"/><Relationship Id="rId7" Type="http://schemas.openxmlformats.org/officeDocument/2006/relationships/hyperlink" Target="https://www.epa.gov/agstar/livestock-anaerobic-digester-database" TargetMode="External"/><Relationship Id="rId12" Type="http://schemas.openxmlformats.org/officeDocument/2006/relationships/hyperlink" Target="https://americanbiogascouncil.org/biogas-market-snapshot/" TargetMode="External"/><Relationship Id="rId17" Type="http://schemas.openxmlformats.org/officeDocument/2006/relationships/hyperlink" Target="https://www.eia.gov/electricity/annual/html/epa_05_06_f.html" TargetMode="External"/><Relationship Id="rId25" Type="http://schemas.openxmlformats.org/officeDocument/2006/relationships/hyperlink" Target="https://www.epa.gov/lmop/renewable-natural-gas" TargetMode="External"/><Relationship Id="rId2" Type="http://schemas.openxmlformats.org/officeDocument/2006/relationships/hyperlink" Target="https://www.epa.gov/agstar/livestock-anaerobic-digester-database" TargetMode="External"/><Relationship Id="rId16" Type="http://schemas.openxmlformats.org/officeDocument/2006/relationships/hyperlink" Target="https://www3.epa.gov/climatechange/ghgemissions/inventoryexplorer/index.html" TargetMode="External"/><Relationship Id="rId20" Type="http://schemas.openxmlformats.org/officeDocument/2006/relationships/hyperlink" Target="https://www3.epa.gov/climatechange/ghgemissions/inventoryexplorer/index.html" TargetMode="External"/><Relationship Id="rId1" Type="http://schemas.openxmlformats.org/officeDocument/2006/relationships/hyperlink" Target="https://www.epa.gov/agstar/livestock-anaerobic-digester-database" TargetMode="External"/><Relationship Id="rId6" Type="http://schemas.openxmlformats.org/officeDocument/2006/relationships/hyperlink" Target="https://www.epa.gov/agstar/livestock-anaerobic-digester-database" TargetMode="External"/><Relationship Id="rId11" Type="http://schemas.openxmlformats.org/officeDocument/2006/relationships/hyperlink" Target="https://americanbiogascouncil.org/biogas-market-snapshot/" TargetMode="External"/><Relationship Id="rId24" Type="http://schemas.openxmlformats.org/officeDocument/2006/relationships/hyperlink" Target="https://www.epa.gov/lmop/renewable-natural-gas" TargetMode="External"/><Relationship Id="rId5" Type="http://schemas.openxmlformats.org/officeDocument/2006/relationships/hyperlink" Target="https://www.epa.gov/agstar/livestock-anaerobic-digester-database" TargetMode="External"/><Relationship Id="rId15" Type="http://schemas.openxmlformats.org/officeDocument/2006/relationships/hyperlink" Target="https://www.epa.gov/agstar/livestock-anaerobic-digester-database" TargetMode="External"/><Relationship Id="rId23" Type="http://schemas.openxmlformats.org/officeDocument/2006/relationships/hyperlink" Target="https://19january2017snapshot.epa.gov/sites/production/files/2015-12/documents/biogas-roadmap.pdf" TargetMode="External"/><Relationship Id="rId10" Type="http://schemas.openxmlformats.org/officeDocument/2006/relationships/hyperlink" Target="https://www.epa.gov/lmop/landfill-technical-data" TargetMode="External"/><Relationship Id="rId19" Type="http://schemas.openxmlformats.org/officeDocument/2006/relationships/hyperlink" Target="https://www.epa.gov/lmop/landfill-technical-data" TargetMode="External"/><Relationship Id="rId4" Type="http://schemas.openxmlformats.org/officeDocument/2006/relationships/hyperlink" Target="https://www.epa.gov/agstar/livestock-anaerobic-digester-database" TargetMode="External"/><Relationship Id="rId9" Type="http://schemas.openxmlformats.org/officeDocument/2006/relationships/hyperlink" Target="https://www.epa.gov/lmop/landfill-technical-data" TargetMode="External"/><Relationship Id="rId14" Type="http://schemas.openxmlformats.org/officeDocument/2006/relationships/hyperlink" Target="https://www.epa.gov/agstar/livestock-anaerobic-digester-database" TargetMode="External"/><Relationship Id="rId22" Type="http://schemas.openxmlformats.org/officeDocument/2006/relationships/hyperlink" Target="https://19january2017snapshot.epa.gov/sites/production/files/2015-12/documents/biogas-roadmap.pdf" TargetMode="External"/><Relationship Id="rId27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opreferred.gov/BioPreferred/faces/catalog/Catalog.xhtml" TargetMode="External"/><Relationship Id="rId13" Type="http://schemas.openxmlformats.org/officeDocument/2006/relationships/hyperlink" Target="https://www.biopreferred.gov/BioPreferred/faces/catalog/Catalog.xhtml" TargetMode="External"/><Relationship Id="rId3" Type="http://schemas.openxmlformats.org/officeDocument/2006/relationships/hyperlink" Target="https://www.biopreferred.gov/BioPreferred/faces/catalog/Catalog.xhtml" TargetMode="External"/><Relationship Id="rId7" Type="http://schemas.openxmlformats.org/officeDocument/2006/relationships/hyperlink" Target="https://www.biopreferred.gov/BioPreferred/faces/catalog/Catalog.xhtml" TargetMode="External"/><Relationship Id="rId12" Type="http://schemas.openxmlformats.org/officeDocument/2006/relationships/hyperlink" Target="https://www.biopreferred.gov/BioPreferred/faces/catalog/Catalog.xhtml" TargetMode="External"/><Relationship Id="rId2" Type="http://schemas.openxmlformats.org/officeDocument/2006/relationships/hyperlink" Target="https://www.biopreferred.gov/BioPreferred/faces/catalog/Catalog.xhtml" TargetMode="External"/><Relationship Id="rId16" Type="http://schemas.openxmlformats.org/officeDocument/2006/relationships/drawing" Target="../drawings/drawing9.xml"/><Relationship Id="rId1" Type="http://schemas.openxmlformats.org/officeDocument/2006/relationships/hyperlink" Target="https://www.biopreferred.gov/BioPreferred/faces/catalog/Catalog.xhtml" TargetMode="External"/><Relationship Id="rId6" Type="http://schemas.openxmlformats.org/officeDocument/2006/relationships/hyperlink" Target="https://www.biopreferred.gov/BioPreferred/faces/catalog/Catalog.xhtml" TargetMode="External"/><Relationship Id="rId11" Type="http://schemas.openxmlformats.org/officeDocument/2006/relationships/hyperlink" Target="https://www.biopreferred.gov/BioPreferred/faces/catalog/Catalog.xhtml" TargetMode="External"/><Relationship Id="rId5" Type="http://schemas.openxmlformats.org/officeDocument/2006/relationships/hyperlink" Target="https://www.biopreferred.gov/BioPreferred/faces/catalog/Catalog.xhtml" TargetMode="External"/><Relationship Id="rId15" Type="http://schemas.openxmlformats.org/officeDocument/2006/relationships/hyperlink" Target="https://www.biopreferred.gov/BioPreferred/faces/catalog/Catalog.xhtml" TargetMode="External"/><Relationship Id="rId10" Type="http://schemas.openxmlformats.org/officeDocument/2006/relationships/hyperlink" Target="https://www.biopreferred.gov/BioPreferred/faces/catalog/Catalog.xhtml" TargetMode="External"/><Relationship Id="rId4" Type="http://schemas.openxmlformats.org/officeDocument/2006/relationships/hyperlink" Target="https://www.biopreferred.gov/BioPreferred/faces/catalog/Catalog.xhtml" TargetMode="External"/><Relationship Id="rId9" Type="http://schemas.openxmlformats.org/officeDocument/2006/relationships/hyperlink" Target="https://www.biopreferred.gov/BioPreferred/faces/catalog/Catalog.xhtml" TargetMode="External"/><Relationship Id="rId14" Type="http://schemas.openxmlformats.org/officeDocument/2006/relationships/hyperlink" Target="https://www.biopreferred.gov/BioPreferred/faces/catalog/Catalog.xhtml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my-ibisworld-com.libezproxy2.syr.edu/us/en/industry-specialized/OD4512/key-success-factors" TargetMode="External"/><Relationship Id="rId3" Type="http://schemas.openxmlformats.org/officeDocument/2006/relationships/hyperlink" Target="https://apps.bea.gov/iTable/iTable.cfm?reqid=19&amp;step=2&amp;isuri=1&amp;1921=survey" TargetMode="External"/><Relationship Id="rId7" Type="http://schemas.openxmlformats.org/officeDocument/2006/relationships/hyperlink" Target="https://www.european-bioplastics.org/bioplastics/feedstock/" TargetMode="External"/><Relationship Id="rId12" Type="http://schemas.openxmlformats.org/officeDocument/2006/relationships/drawing" Target="../drawings/drawing10.xml"/><Relationship Id="rId2" Type="http://schemas.openxmlformats.org/officeDocument/2006/relationships/hyperlink" Target="https://www.bea.gov/iTable/iTable.cfm?ReqID=51&amp;step=1" TargetMode="External"/><Relationship Id="rId1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6" Type="http://schemas.openxmlformats.org/officeDocument/2006/relationships/hyperlink" Target="https://www.european-bioplastics.org/bioplastics/feedstock/" TargetMode="External"/><Relationship Id="rId11" Type="http://schemas.openxmlformats.org/officeDocument/2006/relationships/hyperlink" Target="https://my-ibisworld-com.libezproxy2.syr.edu/us/en/industry-specialized/OD4512/key-success-factors" TargetMode="External"/><Relationship Id="rId5" Type="http://schemas.openxmlformats.org/officeDocument/2006/relationships/hyperlink" Target="https://plasticseurope.org/resources/market-data/" TargetMode="External"/><Relationship Id="rId10" Type="http://schemas.openxmlformats.org/officeDocument/2006/relationships/hyperlink" Target="https://my-ibisworld-com.libezproxy2.syr.edu/us/en/industry-specialized/OD4512/key-success-factors" TargetMode="External"/><Relationship Id="rId4" Type="http://schemas.openxmlformats.org/officeDocument/2006/relationships/hyperlink" Target="https://apps.bea.gov/iTable/iTable.cfm?reqid=19&amp;step=2&amp;isuri=1&amp;1921=survey" TargetMode="External"/><Relationship Id="rId9" Type="http://schemas.openxmlformats.org/officeDocument/2006/relationships/hyperlink" Target="https://my-ibisworld-com.libezproxy2.syr.edu/us/en/industry-specialized/OD4512/key-success-factor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cresearch.com/market-research/biotechnology/global-markets-for-enzymes-in-industrial-applications.html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3" Type="http://schemas.openxmlformats.org/officeDocument/2006/relationships/hyperlink" Target="https://www.trade.gov/data-visualization/tradestats-express-us-trade-product" TargetMode="External"/><Relationship Id="rId3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7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2" Type="http://schemas.openxmlformats.org/officeDocument/2006/relationships/hyperlink" Target="https://www.trade.gov/data-visualization/tradestats-express-us-trade-product" TargetMode="External"/><Relationship Id="rId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6" Type="http://schemas.openxmlformats.org/officeDocument/2006/relationships/drawing" Target="../drawings/drawing11.xml"/><Relationship Id="rId1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6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1" Type="http://schemas.openxmlformats.org/officeDocument/2006/relationships/hyperlink" Target="https://www.trade.gov/data-visualization/tradestats-express-us-trade-product" TargetMode="External"/><Relationship Id="rId5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5" Type="http://schemas.openxmlformats.org/officeDocument/2006/relationships/printerSettings" Target="../printerSettings/printerSettings14.bin"/><Relationship Id="rId10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4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9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4" Type="http://schemas.openxmlformats.org/officeDocument/2006/relationships/hyperlink" Target="https://www.trade.gov/data-visualization/tradestats-express-us-trade-product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3" Type="http://schemas.openxmlformats.org/officeDocument/2006/relationships/hyperlink" Target="http://www.fao.org/faostat/en/" TargetMode="External"/><Relationship Id="rId18" Type="http://schemas.openxmlformats.org/officeDocument/2006/relationships/hyperlink" Target="http://www.fao.org/faostat/en/" TargetMode="External"/><Relationship Id="rId3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7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2" Type="http://schemas.openxmlformats.org/officeDocument/2006/relationships/hyperlink" Target="http://www.fao.org/faostat/en/" TargetMode="External"/><Relationship Id="rId17" Type="http://schemas.openxmlformats.org/officeDocument/2006/relationships/hyperlink" Target="http://www.fao.org/faostat/en/" TargetMode="External"/><Relationship Id="rId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6" Type="http://schemas.openxmlformats.org/officeDocument/2006/relationships/hyperlink" Target="http://www.fao.org/faostat/en/" TargetMode="External"/><Relationship Id="rId1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6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1" Type="http://schemas.openxmlformats.org/officeDocument/2006/relationships/hyperlink" Target="http://www.fao.org/faostat/en/" TargetMode="External"/><Relationship Id="rId5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5" Type="http://schemas.openxmlformats.org/officeDocument/2006/relationships/hyperlink" Target="http://www.fao.org/faostat/en/" TargetMode="External"/><Relationship Id="rId10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9" Type="http://schemas.openxmlformats.org/officeDocument/2006/relationships/drawing" Target="../drawings/drawing12.xml"/><Relationship Id="rId4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9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4" Type="http://schemas.openxmlformats.org/officeDocument/2006/relationships/hyperlink" Target="http://www.fao.org/faostat/en/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nifa.usda.gov/enterprise-search/project_details" TargetMode="External"/><Relationship Id="rId13" Type="http://schemas.openxmlformats.org/officeDocument/2006/relationships/hyperlink" Target="https://portal.nifa.usda.gov/enterprise-search/project_details" TargetMode="External"/><Relationship Id="rId18" Type="http://schemas.openxmlformats.org/officeDocument/2006/relationships/hyperlink" Target="https://www.nsf.gov/awardsearch/advancedSearch.jsp" TargetMode="External"/><Relationship Id="rId3" Type="http://schemas.openxmlformats.org/officeDocument/2006/relationships/hyperlink" Target="https://portal.nifa.usda.gov/enterprise-search/project_details" TargetMode="External"/><Relationship Id="rId21" Type="http://schemas.openxmlformats.org/officeDocument/2006/relationships/drawing" Target="../drawings/drawing13.xml"/><Relationship Id="rId7" Type="http://schemas.openxmlformats.org/officeDocument/2006/relationships/hyperlink" Target="https://portal.nifa.usda.gov/enterprise-search/project_details" TargetMode="External"/><Relationship Id="rId12" Type="http://schemas.openxmlformats.org/officeDocument/2006/relationships/hyperlink" Target="https://portal.nifa.usda.gov/enterprise-search/project_details" TargetMode="External"/><Relationship Id="rId17" Type="http://schemas.openxmlformats.org/officeDocument/2006/relationships/hyperlink" Target="https://www.nsf.gov/awardsearch/advancedSearch.jsp" TargetMode="External"/><Relationship Id="rId2" Type="http://schemas.openxmlformats.org/officeDocument/2006/relationships/hyperlink" Target="https://portal.nifa.usda.gov/enterprise-search/project_details" TargetMode="External"/><Relationship Id="rId16" Type="http://schemas.openxmlformats.org/officeDocument/2006/relationships/hyperlink" Target="https://portal.nifa.usda.gov/enterprise-search/project_details" TargetMode="External"/><Relationship Id="rId20" Type="http://schemas.openxmlformats.org/officeDocument/2006/relationships/hyperlink" Target="https://www.nsf.gov/awardsearch/advancedSearch.jsp" TargetMode="External"/><Relationship Id="rId1" Type="http://schemas.openxmlformats.org/officeDocument/2006/relationships/hyperlink" Target="https://portal.nifa.usda.gov/enterprise-search/project_details" TargetMode="External"/><Relationship Id="rId6" Type="http://schemas.openxmlformats.org/officeDocument/2006/relationships/hyperlink" Target="https://portal.nifa.usda.gov/enterprise-search/project_details" TargetMode="External"/><Relationship Id="rId11" Type="http://schemas.openxmlformats.org/officeDocument/2006/relationships/hyperlink" Target="https://portal.nifa.usda.gov/enterprise-search/project_details" TargetMode="External"/><Relationship Id="rId5" Type="http://schemas.openxmlformats.org/officeDocument/2006/relationships/hyperlink" Target="https://portal.nifa.usda.gov/enterprise-search/project_details" TargetMode="External"/><Relationship Id="rId15" Type="http://schemas.openxmlformats.org/officeDocument/2006/relationships/hyperlink" Target="https://www.nsf.gov/awardsearch/advancedSearch.jsp" TargetMode="External"/><Relationship Id="rId10" Type="http://schemas.openxmlformats.org/officeDocument/2006/relationships/hyperlink" Target="https://portal.nifa.usda.gov/enterprise-search/project_details" TargetMode="External"/><Relationship Id="rId19" Type="http://schemas.openxmlformats.org/officeDocument/2006/relationships/hyperlink" Target="https://www.nsf.gov/awardsearch/advancedSearch.jsp" TargetMode="External"/><Relationship Id="rId4" Type="http://schemas.openxmlformats.org/officeDocument/2006/relationships/hyperlink" Target="https://portal.nifa.usda.gov/enterprise-search/project_details" TargetMode="External"/><Relationship Id="rId9" Type="http://schemas.openxmlformats.org/officeDocument/2006/relationships/hyperlink" Target="https://portal.nifa.usda.gov/enterprise-search/project_details" TargetMode="External"/><Relationship Id="rId14" Type="http://schemas.openxmlformats.org/officeDocument/2006/relationships/hyperlink" Target="https://www.nsf.gov/awardsearch/advancedSearch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" workbookViewId="0">
      <selection activeCell="B38" sqref="B38"/>
    </sheetView>
  </sheetViews>
  <sheetFormatPr defaultColWidth="14.42578125" defaultRowHeight="15" customHeight="1"/>
  <cols>
    <col min="1" max="1" width="40.28515625" customWidth="1"/>
    <col min="2" max="5" width="9.7109375" customWidth="1"/>
    <col min="6" max="9" width="8.85546875" customWidth="1"/>
    <col min="10" max="10" width="11" customWidth="1"/>
    <col min="11" max="26" width="8.85546875" customWidth="1"/>
  </cols>
  <sheetData>
    <row r="1" spans="1:26" ht="2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.75" customHeight="1">
      <c r="A2" s="3"/>
      <c r="B2" s="4"/>
      <c r="C2" s="4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>
      <c r="A3" s="6"/>
      <c r="B3" s="2"/>
      <c r="C3" s="2"/>
      <c r="D3" s="2"/>
      <c r="E3" s="7"/>
      <c r="F3" s="7"/>
      <c r="G3" s="7"/>
      <c r="H3" s="7"/>
      <c r="I3" s="7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>
      <c r="A4" s="9" t="s">
        <v>1</v>
      </c>
      <c r="B4" s="10"/>
      <c r="C4" s="10"/>
      <c r="D4" s="10"/>
      <c r="E4" s="11"/>
      <c r="F4" s="11"/>
      <c r="G4" s="11"/>
      <c r="H4" s="11"/>
      <c r="I4" s="11"/>
      <c r="J4" s="1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>
      <c r="A5" s="6"/>
      <c r="B5" s="2"/>
      <c r="C5" s="2"/>
      <c r="D5" s="2"/>
      <c r="E5" s="7"/>
      <c r="F5" s="7"/>
      <c r="G5" s="7"/>
      <c r="H5" s="7"/>
      <c r="I5" s="7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13" t="s">
        <v>2</v>
      </c>
      <c r="B6" s="2"/>
      <c r="C6" s="2"/>
      <c r="D6" s="2"/>
      <c r="E6" s="7"/>
      <c r="F6" s="7"/>
      <c r="G6" s="7"/>
      <c r="H6" s="7"/>
      <c r="I6" s="7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13" t="s">
        <v>3</v>
      </c>
      <c r="B7" s="2"/>
      <c r="C7" s="2"/>
      <c r="D7" s="2"/>
      <c r="E7" s="7"/>
      <c r="F7" s="7"/>
      <c r="G7" s="7"/>
      <c r="H7" s="7"/>
      <c r="I7" s="7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3" t="s">
        <v>4</v>
      </c>
      <c r="B8" s="2"/>
      <c r="C8" s="2"/>
      <c r="D8" s="2"/>
      <c r="E8" s="7"/>
      <c r="F8" s="7"/>
      <c r="G8" s="7"/>
      <c r="H8" s="7"/>
      <c r="I8" s="7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13" t="s">
        <v>5</v>
      </c>
      <c r="B9" s="2"/>
      <c r="C9" s="2"/>
      <c r="D9" s="2"/>
      <c r="E9" s="7"/>
      <c r="F9" s="7"/>
      <c r="G9" s="7"/>
      <c r="H9" s="7"/>
      <c r="I9" s="7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13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>
      <c r="A11" s="13" t="s">
        <v>7</v>
      </c>
      <c r="B11" s="2"/>
      <c r="C11" s="2"/>
      <c r="D11" s="2"/>
      <c r="E11" s="7"/>
      <c r="F11" s="7"/>
      <c r="G11" s="7"/>
      <c r="H11" s="7"/>
      <c r="I11" s="7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>
      <c r="A12" s="13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>
      <c r="A13" s="13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>
      <c r="A14" s="13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>
      <c r="A15" s="6"/>
      <c r="B15" s="2"/>
      <c r="C15" s="2"/>
      <c r="D15" s="2"/>
      <c r="E15" s="14"/>
      <c r="F15" s="14"/>
      <c r="G15" s="14"/>
      <c r="H15" s="14"/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>
      <c r="A16" s="15" t="s">
        <v>11</v>
      </c>
      <c r="B16" s="16"/>
      <c r="C16" s="16"/>
      <c r="D16" s="16"/>
      <c r="E16" s="17"/>
      <c r="F16" s="17"/>
      <c r="G16" s="17"/>
      <c r="H16" s="17"/>
      <c r="I16" s="17"/>
      <c r="J16" s="18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>
      <c r="A18" s="13" t="s">
        <v>12</v>
      </c>
      <c r="B18" s="2"/>
      <c r="C18" s="2"/>
      <c r="D18" s="2"/>
      <c r="E18" s="2"/>
      <c r="F18" s="1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>
      <c r="A19" s="13" t="s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3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3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/>
      <c r="B22" s="2"/>
      <c r="C22" s="2"/>
      <c r="D22" s="2"/>
      <c r="E22" s="2"/>
      <c r="F22" s="2"/>
      <c r="G22" s="2"/>
      <c r="H22" s="2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1" t="s">
        <v>16</v>
      </c>
      <c r="B23" s="22"/>
      <c r="C23" s="22"/>
      <c r="D23" s="22"/>
      <c r="E23" s="23"/>
      <c r="F23" s="23"/>
      <c r="G23" s="23"/>
      <c r="H23" s="23"/>
      <c r="I23" s="23"/>
      <c r="J23" s="24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6"/>
      <c r="B24" s="2"/>
      <c r="C24" s="2"/>
      <c r="D24" s="2"/>
      <c r="E24" s="2"/>
      <c r="F24" s="2"/>
      <c r="G24" s="2"/>
      <c r="H24" s="2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3" t="s">
        <v>17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84" t="s">
        <v>480</v>
      </c>
      <c r="B27" s="285"/>
      <c r="C27" s="285"/>
      <c r="D27" s="285"/>
      <c r="E27" s="285"/>
      <c r="F27" s="285"/>
      <c r="G27" s="285"/>
      <c r="H27" s="285"/>
      <c r="I27" s="285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</row>
    <row r="28" spans="1:26" ht="15.75" customHeight="1"/>
    <row r="29" spans="1:26" ht="15" customHeight="1">
      <c r="A29" s="287" t="s">
        <v>481</v>
      </c>
      <c r="B29" s="288"/>
      <c r="C29" s="288"/>
      <c r="D29" s="288"/>
      <c r="E29" s="288"/>
      <c r="F29" s="288"/>
      <c r="G29" s="288"/>
      <c r="H29" s="288"/>
      <c r="I29" s="288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</row>
    <row r="30" spans="1:26" ht="15.75" customHeight="1">
      <c r="A30" s="287" t="s">
        <v>482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</row>
    <row r="31" spans="1:26" ht="15.75" customHeight="1">
      <c r="A31" s="287" t="s">
        <v>483</v>
      </c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</row>
    <row r="32" spans="1:26" ht="15.75" customHeight="1">
      <c r="A32" s="287" t="s">
        <v>484</v>
      </c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</row>
    <row r="33" spans="1:26" ht="15.75" customHeight="1">
      <c r="A33" s="287" t="s">
        <v>485</v>
      </c>
      <c r="B33" s="289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</row>
    <row r="34" spans="1:26" ht="15.75" customHeight="1">
      <c r="A34" s="287" t="s">
        <v>486</v>
      </c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89"/>
      <c r="Z34" s="289"/>
    </row>
    <row r="35" spans="1:26" ht="15.75" customHeight="1">
      <c r="A35" s="287" t="s">
        <v>487</v>
      </c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</row>
    <row r="36" spans="1:26" ht="15.75" customHeight="1">
      <c r="A36" s="287" t="s">
        <v>488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</row>
    <row r="37" spans="1:26" ht="15.75" customHeight="1">
      <c r="A37" s="287" t="s">
        <v>489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</row>
    <row r="38" spans="1:26" ht="15.75" customHeight="1">
      <c r="A38" s="287" t="s">
        <v>490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</row>
    <row r="39" spans="1:26" ht="15.75" customHeight="1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A6" location="ETHANOL!A1" display="Ethanol" xr:uid="{00000000-0004-0000-0000-000000000000}"/>
    <hyperlink ref="A7" location="BIODIESEL!A1" display="Biodiesel" xr:uid="{00000000-0004-0000-0000-000002000000}"/>
    <hyperlink ref="A8" location="FATS!A1" display="Fats" xr:uid="{00000000-0004-0000-0000-000003000000}"/>
    <hyperlink ref="A9" location="'RENEWABLE DIESEL'!A1" display="Renewable Diesel" xr:uid="{00000000-0004-0000-0000-000004000000}"/>
    <hyperlink ref="A10" location="'RENEWABLE JET FUEL'!A1" display="Renewable Jet Fuel" xr:uid="{00000000-0004-0000-0000-000005000000}"/>
    <hyperlink ref="A11" location="'WOOD PELLETS'!A1" display="Wood Pellets" xr:uid="{00000000-0004-0000-0000-000006000000}"/>
    <hyperlink ref="A12" location="'WASTE TO ENERGY'!A1" display="Waste to Energy " xr:uid="{00000000-0004-0000-0000-000007000000}"/>
    <hyperlink ref="A13" location="BIOGAS!A1" display="Biogas" xr:uid="{00000000-0004-0000-0000-000008000000}"/>
    <hyperlink ref="A18" location="BIOPRODUCTS!A1" display="BioProducts" xr:uid="{00000000-0004-0000-0000-000009000000}"/>
    <hyperlink ref="A19" location="BIOPLASTICS!A1" display="Bioplastics" xr:uid="{00000000-0004-0000-0000-00000A000000}"/>
    <hyperlink ref="A20" location="ENZYMES!A1" display="Enzymes" xr:uid="{00000000-0004-0000-0000-00000B000000}"/>
    <hyperlink ref="A21" location="'FOREST PRODUCTS'!A1" display="Forest Products" xr:uid="{00000000-0004-0000-0000-00000C000000}"/>
    <hyperlink ref="A25" location="FUNDING!A1" display="Funding" xr:uid="{00000000-0004-0000-0000-00000D000000}"/>
    <hyperlink ref="A14" location="TRADE!A1" display="Trade" xr:uid="{9904B8FD-8391-43D3-AB4F-D7C952096049}"/>
    <hyperlink ref="A29" location="'Agriculture Summary'!A1" display="Agricultural Summary" xr:uid="{A775D640-BBAB-4B41-AAF5-36EB17475CA6}"/>
    <hyperlink ref="A30" location="Corn!A1" display="Corn" xr:uid="{8E145843-8114-4FA1-BD1C-EE91BCDFDC90}"/>
    <hyperlink ref="A31" location="Wheat!A1" display="Wheat" xr:uid="{D32BDCD9-3C98-4A4F-86CC-7EF354A924C7}"/>
    <hyperlink ref="A32" location="Barley!A1" display="Barley" xr:uid="{45ED235C-3BD3-4ED9-A74D-F9F3026C4DF1}"/>
    <hyperlink ref="A33" location="Sorghum!A1" display="Sorghum" xr:uid="{5BDAF0EC-0781-4776-9BFB-02334E78E2D2}"/>
    <hyperlink ref="A34" location="Soy!A1" display="Soy" xr:uid="{BBA294B5-842D-42DB-AF55-6D6720846314}"/>
    <hyperlink ref="A35" location="Cotton!A1" display="Cotton" xr:uid="{1B3D262C-EF3D-423F-A837-CE506212BC3F}"/>
    <hyperlink ref="A36" location="Peanuts!A1" display="Peanuts" xr:uid="{3D32F95F-717A-4BDE-9F08-9506880BA3D7}"/>
    <hyperlink ref="A37" location="Sunflowers!A1" display="Sunflowers" xr:uid="{409EB2ED-AFDD-4BD8-B45A-F1E5BBE26259}"/>
    <hyperlink ref="A38" location="null!A1" display="Canola" xr:uid="{6553622F-26AD-4172-9608-338F6B518016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B504-2081-426F-B418-3ED11EAFC0CC}">
  <sheetPr>
    <tabColor theme="9" tint="-0.499984740745262"/>
  </sheetPr>
  <dimension ref="A1:AE38"/>
  <sheetViews>
    <sheetView zoomScale="85" zoomScaleNormal="85" workbookViewId="0">
      <selection sqref="A1:XFD1048576"/>
    </sheetView>
  </sheetViews>
  <sheetFormatPr defaultColWidth="14.42578125" defaultRowHeight="15"/>
  <cols>
    <col min="1" max="1" width="65.7109375" customWidth="1"/>
    <col min="19" max="19" width="25.28515625" customWidth="1"/>
  </cols>
  <sheetData>
    <row r="1" spans="1:31">
      <c r="A1" s="636" t="s">
        <v>535</v>
      </c>
    </row>
    <row r="2" spans="1:31">
      <c r="A2" s="637"/>
    </row>
    <row r="3" spans="1:31">
      <c r="A3" s="192" t="s">
        <v>536</v>
      </c>
      <c r="B3" s="456">
        <v>2010</v>
      </c>
      <c r="C3" s="456">
        <v>2011</v>
      </c>
      <c r="D3" s="456">
        <v>2012</v>
      </c>
      <c r="E3" s="456">
        <v>2013</v>
      </c>
      <c r="F3" s="456">
        <v>2014</v>
      </c>
      <c r="G3" s="456">
        <v>2015</v>
      </c>
      <c r="H3" s="456">
        <v>2016</v>
      </c>
      <c r="I3" s="456">
        <v>2017</v>
      </c>
      <c r="J3" s="456">
        <v>2018</v>
      </c>
      <c r="K3" s="456">
        <v>2019</v>
      </c>
      <c r="L3" s="456">
        <v>2020</v>
      </c>
      <c r="M3" s="456">
        <v>2021</v>
      </c>
      <c r="N3" s="456">
        <v>2022</v>
      </c>
      <c r="O3" s="456">
        <v>2023</v>
      </c>
      <c r="P3" s="456">
        <v>2024</v>
      </c>
      <c r="Q3" s="94" t="s">
        <v>241</v>
      </c>
      <c r="R3" s="94" t="s">
        <v>242</v>
      </c>
      <c r="S3" s="479" t="s">
        <v>22</v>
      </c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</row>
    <row r="4" spans="1:31">
      <c r="A4" s="30" t="s">
        <v>537</v>
      </c>
      <c r="B4" s="335">
        <v>2.1495199999999999</v>
      </c>
      <c r="C4" s="335">
        <v>2.13124</v>
      </c>
      <c r="D4" s="335">
        <v>2.10981</v>
      </c>
      <c r="E4" s="335">
        <v>2.1020099999999999</v>
      </c>
      <c r="F4" s="335">
        <v>2.085</v>
      </c>
      <c r="G4" s="335">
        <v>2.0680000000000001</v>
      </c>
      <c r="H4" s="335">
        <v>2.06</v>
      </c>
      <c r="I4" s="335">
        <v>2.0419999999999998</v>
      </c>
      <c r="J4" s="335">
        <v>2.0232000000000001</v>
      </c>
      <c r="K4" s="335">
        <v>2.0076000000000001</v>
      </c>
      <c r="L4" s="335">
        <v>1.9922</v>
      </c>
      <c r="M4" s="335">
        <v>1.9595499999999999</v>
      </c>
      <c r="N4" s="335">
        <v>1.90065</v>
      </c>
      <c r="O4" s="335">
        <v>1.8949499999999999</v>
      </c>
      <c r="P4" s="335">
        <v>1.88</v>
      </c>
      <c r="Q4" s="30" t="s">
        <v>49</v>
      </c>
      <c r="R4" s="490" t="s">
        <v>566</v>
      </c>
      <c r="S4" s="130" t="s">
        <v>492</v>
      </c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 spans="1:31">
      <c r="A5" s="30" t="s">
        <v>538</v>
      </c>
      <c r="B5" s="374">
        <v>915.66</v>
      </c>
      <c r="C5" s="374">
        <v>914.42</v>
      </c>
      <c r="D5" s="374">
        <v>914.6</v>
      </c>
      <c r="E5" s="374">
        <v>914.03</v>
      </c>
      <c r="F5" s="374">
        <v>913</v>
      </c>
      <c r="G5" s="374">
        <v>912</v>
      </c>
      <c r="H5" s="374">
        <v>911</v>
      </c>
      <c r="I5" s="374">
        <v>900.37</v>
      </c>
      <c r="J5" s="374">
        <v>898.86</v>
      </c>
      <c r="K5" s="374">
        <v>894.93</v>
      </c>
      <c r="L5" s="374">
        <v>893.11</v>
      </c>
      <c r="M5" s="374">
        <v>888.8</v>
      </c>
      <c r="N5" s="374">
        <v>879.66</v>
      </c>
      <c r="O5" s="374">
        <v>878.56</v>
      </c>
      <c r="P5" s="374">
        <v>876.46</v>
      </c>
      <c r="Q5" s="30" t="s">
        <v>49</v>
      </c>
      <c r="R5" s="490" t="s">
        <v>566</v>
      </c>
      <c r="S5" s="130" t="s">
        <v>492</v>
      </c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 spans="1:31">
      <c r="A6" s="30" t="s">
        <v>539</v>
      </c>
      <c r="B6" s="492"/>
      <c r="C6" s="493"/>
      <c r="D6" s="374">
        <v>415.3</v>
      </c>
      <c r="E6" s="494"/>
      <c r="F6" s="492"/>
      <c r="G6" s="492"/>
      <c r="H6" s="492"/>
      <c r="I6" s="377">
        <v>401</v>
      </c>
      <c r="J6" s="492"/>
      <c r="K6" s="492"/>
      <c r="L6" s="492"/>
      <c r="M6" s="492"/>
      <c r="N6" s="377">
        <v>393</v>
      </c>
      <c r="O6" s="492"/>
      <c r="P6" s="492"/>
      <c r="Q6" s="30" t="s">
        <v>49</v>
      </c>
      <c r="R6" s="491" t="s">
        <v>567</v>
      </c>
      <c r="S6" s="130" t="s">
        <v>492</v>
      </c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spans="1:31">
      <c r="A7" s="30" t="s">
        <v>540</v>
      </c>
      <c r="B7" s="492"/>
      <c r="C7" s="493"/>
      <c r="D7" s="374">
        <v>389.7</v>
      </c>
      <c r="E7" s="492"/>
      <c r="F7" s="492"/>
      <c r="G7" s="492"/>
      <c r="H7" s="492"/>
      <c r="I7" s="374">
        <v>396.43381699999998</v>
      </c>
      <c r="J7" s="492"/>
      <c r="K7" s="492"/>
      <c r="L7" s="492"/>
      <c r="M7" s="492"/>
      <c r="N7" s="377">
        <v>382</v>
      </c>
      <c r="O7" s="492"/>
      <c r="P7" s="492"/>
      <c r="Q7" s="30" t="s">
        <v>49</v>
      </c>
      <c r="R7" s="490" t="s">
        <v>567</v>
      </c>
      <c r="S7" s="130" t="s">
        <v>492</v>
      </c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spans="1:31">
      <c r="A8" s="30" t="s">
        <v>541</v>
      </c>
      <c r="B8" s="492"/>
      <c r="C8" s="492"/>
      <c r="D8" s="374">
        <v>315</v>
      </c>
      <c r="E8" s="492"/>
      <c r="F8" s="492"/>
      <c r="G8" s="492"/>
      <c r="H8" s="492"/>
      <c r="I8" s="374">
        <v>320.04185799999999</v>
      </c>
      <c r="J8" s="492"/>
      <c r="K8" s="492"/>
      <c r="L8" s="492"/>
      <c r="M8" s="492"/>
      <c r="N8" s="377">
        <v>301</v>
      </c>
      <c r="O8" s="492"/>
      <c r="P8" s="492"/>
      <c r="Q8" s="30" t="s">
        <v>49</v>
      </c>
      <c r="R8" s="490" t="s">
        <v>567</v>
      </c>
      <c r="S8" s="130" t="s">
        <v>492</v>
      </c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</row>
    <row r="9" spans="1:31">
      <c r="A9" s="30" t="s">
        <v>542</v>
      </c>
      <c r="B9" s="492"/>
      <c r="C9" s="493"/>
      <c r="D9" s="374">
        <v>77</v>
      </c>
      <c r="E9" s="492"/>
      <c r="F9" s="492"/>
      <c r="G9" s="492"/>
      <c r="H9" s="492"/>
      <c r="I9" s="377">
        <v>73</v>
      </c>
      <c r="J9" s="492"/>
      <c r="K9" s="492"/>
      <c r="L9" s="492"/>
      <c r="M9" s="492"/>
      <c r="N9" s="377">
        <v>72</v>
      </c>
      <c r="O9" s="492"/>
      <c r="P9" s="492"/>
      <c r="Q9" s="30" t="s">
        <v>49</v>
      </c>
      <c r="R9" s="490" t="s">
        <v>567</v>
      </c>
      <c r="S9" s="130" t="s">
        <v>492</v>
      </c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spans="1:31">
      <c r="A10" s="30" t="s">
        <v>543</v>
      </c>
      <c r="B10" s="492"/>
      <c r="C10" s="493"/>
      <c r="D10" s="374">
        <v>32.5</v>
      </c>
      <c r="E10" s="492"/>
      <c r="F10" s="492"/>
      <c r="G10" s="492"/>
      <c r="H10" s="492"/>
      <c r="I10" s="377">
        <v>30</v>
      </c>
      <c r="J10" s="492"/>
      <c r="K10" s="492"/>
      <c r="L10" s="492"/>
      <c r="M10" s="492"/>
      <c r="N10" s="377">
        <v>33</v>
      </c>
      <c r="O10" s="492"/>
      <c r="P10" s="492"/>
      <c r="Q10" s="30" t="s">
        <v>49</v>
      </c>
      <c r="R10" s="490" t="s">
        <v>567</v>
      </c>
      <c r="S10" s="130" t="s">
        <v>492</v>
      </c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 spans="1:31">
      <c r="A11" s="30" t="s">
        <v>544</v>
      </c>
      <c r="B11" s="377">
        <v>426</v>
      </c>
      <c r="C11" s="377">
        <v>429</v>
      </c>
      <c r="D11" s="313">
        <v>433</v>
      </c>
      <c r="E11" s="377">
        <v>435</v>
      </c>
      <c r="F11" s="377">
        <v>438</v>
      </c>
      <c r="G11" s="377">
        <v>441</v>
      </c>
      <c r="H11" s="377">
        <v>442</v>
      </c>
      <c r="I11" s="377">
        <v>441</v>
      </c>
      <c r="J11" s="377">
        <v>444</v>
      </c>
      <c r="K11" s="377">
        <v>446</v>
      </c>
      <c r="L11" s="377">
        <v>448</v>
      </c>
      <c r="M11" s="377">
        <v>454</v>
      </c>
      <c r="N11" s="377">
        <v>463</v>
      </c>
      <c r="O11" s="377">
        <v>464</v>
      </c>
      <c r="P11" s="377">
        <v>466</v>
      </c>
      <c r="Q11" s="30" t="s">
        <v>49</v>
      </c>
      <c r="R11" s="490" t="s">
        <v>566</v>
      </c>
      <c r="S11" s="130" t="s">
        <v>492</v>
      </c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 spans="1:31">
      <c r="A12" s="482"/>
      <c r="B12" s="496"/>
      <c r="C12" s="496"/>
      <c r="D12" s="496"/>
      <c r="E12" s="496"/>
      <c r="F12" s="496"/>
      <c r="G12" s="496"/>
      <c r="H12" s="496"/>
      <c r="I12" s="496"/>
      <c r="J12" s="496"/>
      <c r="K12" s="496"/>
      <c r="L12" s="496"/>
      <c r="M12" s="496"/>
      <c r="N12" s="496"/>
      <c r="O12" s="496"/>
      <c r="P12" s="496"/>
      <c r="Q12" s="483"/>
      <c r="R12" s="483"/>
      <c r="S12" s="484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 spans="1:31">
      <c r="A13" s="485" t="s">
        <v>145</v>
      </c>
      <c r="B13" s="456">
        <v>2010</v>
      </c>
      <c r="C13" s="456">
        <v>2011</v>
      </c>
      <c r="D13" s="456">
        <v>2012</v>
      </c>
      <c r="E13" s="456">
        <v>2013</v>
      </c>
      <c r="F13" s="456">
        <v>2014</v>
      </c>
      <c r="G13" s="456">
        <v>2015</v>
      </c>
      <c r="H13" s="456">
        <v>2016</v>
      </c>
      <c r="I13" s="456">
        <v>2017</v>
      </c>
      <c r="J13" s="456">
        <v>2018</v>
      </c>
      <c r="K13" s="456">
        <v>2019</v>
      </c>
      <c r="L13" s="456">
        <v>2020</v>
      </c>
      <c r="M13" s="456">
        <v>2021</v>
      </c>
      <c r="N13" s="456">
        <v>2022</v>
      </c>
      <c r="O13" s="456">
        <v>2023</v>
      </c>
      <c r="P13" s="456">
        <v>2024</v>
      </c>
      <c r="Q13" s="94" t="s">
        <v>241</v>
      </c>
      <c r="R13" s="94" t="s">
        <v>242</v>
      </c>
      <c r="S13" s="487" t="s">
        <v>22</v>
      </c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spans="1:31">
      <c r="A14" s="488" t="s">
        <v>563</v>
      </c>
      <c r="B14" s="384">
        <v>191.09882500000001</v>
      </c>
      <c r="C14" s="384">
        <v>211.35933</v>
      </c>
      <c r="D14" s="384">
        <v>223.86720600000001</v>
      </c>
      <c r="E14" s="384">
        <v>210.17748900000001</v>
      </c>
      <c r="F14" s="384">
        <v>194.803494</v>
      </c>
      <c r="G14" s="384">
        <v>179.165302</v>
      </c>
      <c r="H14" s="384">
        <v>185.66010700000001</v>
      </c>
      <c r="I14" s="384">
        <v>187.871601</v>
      </c>
      <c r="J14" s="384">
        <v>185.332964</v>
      </c>
      <c r="K14" s="384">
        <v>174.049845</v>
      </c>
      <c r="L14" s="384">
        <v>206.442858</v>
      </c>
      <c r="M14" s="384">
        <v>257.23450600000001</v>
      </c>
      <c r="N14" s="384">
        <v>263.014769</v>
      </c>
      <c r="O14" s="384">
        <v>233.46980199999999</v>
      </c>
      <c r="P14" s="495"/>
      <c r="Q14" s="30" t="s">
        <v>49</v>
      </c>
      <c r="R14" s="469" t="s">
        <v>545</v>
      </c>
      <c r="S14" s="130" t="s">
        <v>492</v>
      </c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</row>
    <row r="15" spans="1:31">
      <c r="A15" s="502" t="s">
        <v>565</v>
      </c>
      <c r="B15" s="299">
        <v>118.71899999999999</v>
      </c>
      <c r="C15" s="299">
        <v>142.12899999999999</v>
      </c>
      <c r="D15" s="299">
        <v>145.91800000000001</v>
      </c>
      <c r="E15" s="299">
        <v>148.483</v>
      </c>
      <c r="F15" s="299">
        <v>154.542</v>
      </c>
      <c r="G15" s="299">
        <v>137.21600000000001</v>
      </c>
      <c r="H15" s="299">
        <v>138.90299999999999</v>
      </c>
      <c r="I15" s="299">
        <v>142.86600000000001</v>
      </c>
      <c r="J15" s="299">
        <v>144.733</v>
      </c>
      <c r="K15" s="299">
        <v>141.08199999999999</v>
      </c>
      <c r="L15" s="299">
        <v>149.672</v>
      </c>
      <c r="M15" s="299">
        <v>176.631</v>
      </c>
      <c r="N15" s="299">
        <v>195.68</v>
      </c>
      <c r="O15" s="299">
        <v>174.172</v>
      </c>
      <c r="P15" s="299">
        <v>175.97900000000001</v>
      </c>
      <c r="Q15" s="410" t="s">
        <v>49</v>
      </c>
      <c r="R15" s="469" t="s">
        <v>574</v>
      </c>
      <c r="S15" s="130" t="s">
        <v>492</v>
      </c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 spans="1:31">
      <c r="A16" s="502" t="s">
        <v>564</v>
      </c>
      <c r="B16" s="299">
        <v>85.581999999999994</v>
      </c>
      <c r="C16" s="299">
        <v>102.033</v>
      </c>
      <c r="D16" s="299">
        <v>108.762</v>
      </c>
      <c r="E16" s="299">
        <v>111.002</v>
      </c>
      <c r="F16" s="299">
        <v>118.73</v>
      </c>
      <c r="G16" s="299">
        <v>121.122</v>
      </c>
      <c r="H16" s="299">
        <v>122.569</v>
      </c>
      <c r="I16" s="299">
        <v>129.21</v>
      </c>
      <c r="J16" s="299">
        <v>137.99100000000001</v>
      </c>
      <c r="K16" s="299">
        <v>141.56200000000001</v>
      </c>
      <c r="L16" s="299">
        <v>146.28200000000001</v>
      </c>
      <c r="M16" s="299">
        <v>170.595</v>
      </c>
      <c r="N16" s="299">
        <v>198.24299999999999</v>
      </c>
      <c r="O16" s="299">
        <v>194.84200000000001</v>
      </c>
      <c r="P16" s="299">
        <v>213</v>
      </c>
      <c r="Q16" s="410" t="s">
        <v>49</v>
      </c>
      <c r="R16" s="469" t="s">
        <v>574</v>
      </c>
      <c r="S16" s="130" t="s">
        <v>492</v>
      </c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 spans="1:31">
      <c r="A17" s="482"/>
      <c r="B17" s="501"/>
      <c r="C17" s="501"/>
      <c r="D17" s="501"/>
      <c r="E17" s="501"/>
      <c r="F17" s="501"/>
      <c r="G17" s="501"/>
      <c r="H17" s="501"/>
      <c r="I17" s="501"/>
      <c r="J17" s="501"/>
      <c r="K17" s="501"/>
      <c r="L17" s="501"/>
      <c r="M17" s="501"/>
      <c r="N17" s="501"/>
      <c r="O17" s="501"/>
      <c r="P17" s="501"/>
      <c r="Q17" s="483"/>
      <c r="R17" s="483"/>
      <c r="S17" s="484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 spans="1:31">
      <c r="A18" s="485" t="s">
        <v>51</v>
      </c>
      <c r="B18" s="456">
        <v>2010</v>
      </c>
      <c r="C18" s="456">
        <v>2011</v>
      </c>
      <c r="D18" s="456">
        <v>2012</v>
      </c>
      <c r="E18" s="456">
        <v>2013</v>
      </c>
      <c r="F18" s="456">
        <v>2014</v>
      </c>
      <c r="G18" s="456">
        <v>2015</v>
      </c>
      <c r="H18" s="456">
        <v>2016</v>
      </c>
      <c r="I18" s="456">
        <v>2017</v>
      </c>
      <c r="J18" s="456">
        <v>2018</v>
      </c>
      <c r="K18" s="456">
        <v>2019</v>
      </c>
      <c r="L18" s="456">
        <v>2020</v>
      </c>
      <c r="M18" s="456">
        <v>2021</v>
      </c>
      <c r="N18" s="456">
        <v>2022</v>
      </c>
      <c r="O18" s="456">
        <v>2023</v>
      </c>
      <c r="P18" s="456">
        <v>2024</v>
      </c>
      <c r="Q18" s="94" t="s">
        <v>241</v>
      </c>
      <c r="R18" s="94" t="s">
        <v>242</v>
      </c>
      <c r="S18" s="487" t="s">
        <v>22</v>
      </c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 spans="1:31">
      <c r="A19" s="30" t="s">
        <v>546</v>
      </c>
      <c r="B19" s="313">
        <v>96.335984999999994</v>
      </c>
      <c r="C19" s="497">
        <v>123.215256</v>
      </c>
      <c r="D19" s="313">
        <v>135.27696399999999</v>
      </c>
      <c r="E19" s="313">
        <v>135.55843400000001</v>
      </c>
      <c r="F19" s="313">
        <v>131.55399299999999</v>
      </c>
      <c r="G19" s="313">
        <v>106.197675</v>
      </c>
      <c r="H19" s="313">
        <v>95.569630000000004</v>
      </c>
      <c r="I19" s="313">
        <v>101.268356</v>
      </c>
      <c r="J19" s="313">
        <v>103.476866</v>
      </c>
      <c r="K19" s="313">
        <v>109.15947199999999</v>
      </c>
      <c r="L19" s="313">
        <v>120.877381</v>
      </c>
      <c r="M19" s="313">
        <v>155.19728900000001</v>
      </c>
      <c r="N19" s="313">
        <v>210.042993</v>
      </c>
      <c r="O19" s="313">
        <v>156.74037899999999</v>
      </c>
      <c r="P19" s="313">
        <v>140.558255</v>
      </c>
      <c r="Q19" s="30" t="s">
        <v>49</v>
      </c>
      <c r="R19" s="490" t="s">
        <v>575</v>
      </c>
      <c r="S19" s="130" t="s">
        <v>492</v>
      </c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 spans="1:31">
      <c r="A20" s="30" t="s">
        <v>547</v>
      </c>
      <c r="B20" s="497">
        <v>77.098341000000005</v>
      </c>
      <c r="C20" s="497">
        <v>113.593051</v>
      </c>
      <c r="D20" s="497">
        <v>96.455950999999999</v>
      </c>
      <c r="E20" s="497">
        <v>123.752836</v>
      </c>
      <c r="F20" s="497">
        <v>92.429956000000004</v>
      </c>
      <c r="G20" s="497">
        <v>81.364080999999999</v>
      </c>
      <c r="H20" s="497">
        <v>62.314520000000002</v>
      </c>
      <c r="I20" s="497">
        <v>75.727324999999993</v>
      </c>
      <c r="J20" s="497">
        <v>82.395831000000001</v>
      </c>
      <c r="K20" s="497">
        <v>82.000033999999999</v>
      </c>
      <c r="L20" s="497">
        <v>98.866383999999996</v>
      </c>
      <c r="M20" s="497">
        <v>146.331478</v>
      </c>
      <c r="N20" s="497">
        <v>181.95227700000001</v>
      </c>
      <c r="O20" s="497">
        <v>147.281891</v>
      </c>
      <c r="P20" s="497">
        <v>127.827342</v>
      </c>
      <c r="Q20" s="30" t="s">
        <v>49</v>
      </c>
      <c r="R20" s="490" t="s">
        <v>575</v>
      </c>
      <c r="S20" s="130" t="s">
        <v>492</v>
      </c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spans="1:31">
      <c r="A21" s="30" t="s">
        <v>548</v>
      </c>
      <c r="B21" s="497">
        <v>2170.832085</v>
      </c>
      <c r="C21" s="497">
        <v>2318.720178</v>
      </c>
      <c r="D21" s="497">
        <v>2638.2371990000001</v>
      </c>
      <c r="E21" s="497">
        <v>2776.1095879999998</v>
      </c>
      <c r="F21" s="497">
        <v>2949.2384670000001</v>
      </c>
      <c r="G21" s="497">
        <v>2909.6531730000002</v>
      </c>
      <c r="H21" s="497">
        <v>2914.4409089999999</v>
      </c>
      <c r="I21" s="497">
        <v>3005.9448630000002</v>
      </c>
      <c r="J21" s="497">
        <v>3019.139557</v>
      </c>
      <c r="K21" s="497">
        <v>3049.0815120000002</v>
      </c>
      <c r="L21" s="497">
        <v>3130.5056199999999</v>
      </c>
      <c r="M21" s="497">
        <v>3424.1307179999999</v>
      </c>
      <c r="N21" s="497">
        <v>3788.4202169999999</v>
      </c>
      <c r="O21" s="497">
        <v>4014.3413260000002</v>
      </c>
      <c r="P21" s="497">
        <v>4218.2092279999997</v>
      </c>
      <c r="Q21" s="30" t="s">
        <v>49</v>
      </c>
      <c r="R21" s="490" t="s">
        <v>575</v>
      </c>
      <c r="S21" s="130" t="s">
        <v>492</v>
      </c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 spans="1:31">
      <c r="A22" s="30" t="s">
        <v>549</v>
      </c>
      <c r="B22" s="497">
        <v>278.93053400000002</v>
      </c>
      <c r="C22" s="497">
        <v>294.47213299999999</v>
      </c>
      <c r="D22" s="497">
        <v>297.52112299999999</v>
      </c>
      <c r="E22" s="497">
        <v>315.33248800000001</v>
      </c>
      <c r="F22" s="497">
        <v>345.20135399999998</v>
      </c>
      <c r="G22" s="497">
        <v>356.73804100000001</v>
      </c>
      <c r="H22" s="497">
        <v>374.16421200000002</v>
      </c>
      <c r="I22" s="497">
        <v>390.42522300000002</v>
      </c>
      <c r="J22" s="497">
        <v>402.605504</v>
      </c>
      <c r="K22" s="497">
        <v>420.4948</v>
      </c>
      <c r="L22" s="497">
        <v>441.25379299999997</v>
      </c>
      <c r="M22" s="497">
        <v>474.30510600000002</v>
      </c>
      <c r="N22" s="497">
        <v>496.14235300000001</v>
      </c>
      <c r="O22" s="497">
        <v>519.29941799999995</v>
      </c>
      <c r="P22" s="497">
        <v>563.47871599999996</v>
      </c>
      <c r="Q22" s="30" t="s">
        <v>49</v>
      </c>
      <c r="R22" s="490" t="s">
        <v>575</v>
      </c>
      <c r="S22" s="130" t="s">
        <v>492</v>
      </c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 spans="1:31">
      <c r="A23" s="30" t="s">
        <v>550</v>
      </c>
      <c r="B23" s="497">
        <v>1891.9015509999999</v>
      </c>
      <c r="C23" s="497">
        <v>2024.248045</v>
      </c>
      <c r="D23" s="497">
        <v>2340.7160749999998</v>
      </c>
      <c r="E23" s="497">
        <v>2460.7770999999998</v>
      </c>
      <c r="F23" s="497">
        <v>2604.0371140000002</v>
      </c>
      <c r="G23" s="497">
        <v>2552.9151310000002</v>
      </c>
      <c r="H23" s="497">
        <v>2540.2766969999998</v>
      </c>
      <c r="I23" s="497">
        <v>2615.51964</v>
      </c>
      <c r="J23" s="497">
        <v>2616.5340529999999</v>
      </c>
      <c r="K23" s="497">
        <v>2628.5867119999998</v>
      </c>
      <c r="L23" s="497">
        <v>2689.2518260000002</v>
      </c>
      <c r="M23" s="497">
        <v>2949.8256120000001</v>
      </c>
      <c r="N23" s="497">
        <v>3292.2778640000001</v>
      </c>
      <c r="O23" s="497">
        <v>3495.0419080000001</v>
      </c>
      <c r="P23" s="497">
        <v>3654.7305120000001</v>
      </c>
      <c r="Q23" s="30" t="s">
        <v>49</v>
      </c>
      <c r="R23" s="490" t="s">
        <v>575</v>
      </c>
      <c r="S23" s="130" t="s">
        <v>492</v>
      </c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 spans="1:31">
      <c r="A24" s="30" t="s">
        <v>568</v>
      </c>
      <c r="B24" s="377">
        <v>117</v>
      </c>
      <c r="C24" s="377">
        <v>151.1</v>
      </c>
      <c r="D24" s="377">
        <v>148.80000000000001</v>
      </c>
      <c r="E24" s="377">
        <v>184.5</v>
      </c>
      <c r="F24" s="377">
        <v>167.1</v>
      </c>
      <c r="G24" s="377">
        <v>146.30000000000001</v>
      </c>
      <c r="H24" s="377">
        <v>130.30000000000001</v>
      </c>
      <c r="I24" s="377">
        <v>138.69999999999999</v>
      </c>
      <c r="J24" s="377">
        <v>136.80000000000001</v>
      </c>
      <c r="K24" s="377">
        <v>122.6</v>
      </c>
      <c r="L24" s="377">
        <v>120.5</v>
      </c>
      <c r="M24" s="377">
        <v>185.7</v>
      </c>
      <c r="N24" s="377">
        <v>247.1</v>
      </c>
      <c r="O24" s="377">
        <v>218.2</v>
      </c>
      <c r="P24" s="377">
        <v>215.8</v>
      </c>
      <c r="Q24" s="30" t="s">
        <v>570</v>
      </c>
      <c r="R24" s="30" t="s">
        <v>569</v>
      </c>
      <c r="S24" s="130" t="s">
        <v>492</v>
      </c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spans="1:31">
      <c r="A25" s="30" t="s">
        <v>571</v>
      </c>
      <c r="B25" s="384">
        <v>320.89999999999998</v>
      </c>
      <c r="C25" s="384">
        <v>380.3</v>
      </c>
      <c r="D25" s="384">
        <v>404.2</v>
      </c>
      <c r="E25" s="384">
        <v>437.6</v>
      </c>
      <c r="F25" s="384">
        <v>442.2</v>
      </c>
      <c r="G25" s="384">
        <v>403.2</v>
      </c>
      <c r="H25" s="384">
        <v>379.8</v>
      </c>
      <c r="I25" s="384">
        <v>395.5</v>
      </c>
      <c r="J25" s="384">
        <v>395.1</v>
      </c>
      <c r="K25" s="384">
        <v>388.1</v>
      </c>
      <c r="L25" s="384">
        <v>390.9</v>
      </c>
      <c r="M25" s="384">
        <v>475.4</v>
      </c>
      <c r="N25" s="384">
        <v>576.70000000000005</v>
      </c>
      <c r="O25" s="384">
        <v>570</v>
      </c>
      <c r="P25" s="384">
        <v>565.70000000000005</v>
      </c>
      <c r="Q25" s="30" t="s">
        <v>570</v>
      </c>
      <c r="R25" s="30" t="s">
        <v>569</v>
      </c>
      <c r="S25" s="130" t="s">
        <v>492</v>
      </c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</row>
    <row r="26" spans="1:31">
      <c r="A26" s="499" t="s">
        <v>572</v>
      </c>
      <c r="B26" s="408">
        <v>0.8</v>
      </c>
      <c r="C26" s="408">
        <v>1</v>
      </c>
      <c r="D26" s="408">
        <v>0.9</v>
      </c>
      <c r="E26" s="408">
        <v>1.1000000000000001</v>
      </c>
      <c r="F26" s="408">
        <v>0.9</v>
      </c>
      <c r="G26" s="408">
        <v>0.8</v>
      </c>
      <c r="H26" s="408">
        <v>0.7</v>
      </c>
      <c r="I26" s="408">
        <v>0.7</v>
      </c>
      <c r="J26" s="408">
        <v>0.7</v>
      </c>
      <c r="K26" s="408">
        <v>0.6</v>
      </c>
      <c r="L26" s="408">
        <v>0.6</v>
      </c>
      <c r="M26" s="408">
        <v>0.8</v>
      </c>
      <c r="N26" s="408">
        <v>0.9</v>
      </c>
      <c r="O26" s="408">
        <v>0.8</v>
      </c>
      <c r="P26" s="408">
        <v>0.7</v>
      </c>
      <c r="Q26" s="30" t="s">
        <v>570</v>
      </c>
      <c r="R26" s="30" t="s">
        <v>569</v>
      </c>
      <c r="S26" s="130" t="s">
        <v>492</v>
      </c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 spans="1:31">
      <c r="A27" s="30" t="s">
        <v>573</v>
      </c>
      <c r="B27" s="384">
        <v>754</v>
      </c>
      <c r="C27" s="384">
        <v>763</v>
      </c>
      <c r="D27" s="384">
        <v>780</v>
      </c>
      <c r="E27" s="384">
        <v>789</v>
      </c>
      <c r="F27" s="384">
        <v>803</v>
      </c>
      <c r="G27" s="384">
        <v>817</v>
      </c>
      <c r="H27" s="384">
        <v>820</v>
      </c>
      <c r="I27" s="384">
        <v>819</v>
      </c>
      <c r="J27" s="384">
        <v>814</v>
      </c>
      <c r="K27" s="384">
        <v>813</v>
      </c>
      <c r="L27" s="384">
        <v>809</v>
      </c>
      <c r="M27" s="384">
        <v>811</v>
      </c>
      <c r="N27" s="384">
        <v>814</v>
      </c>
      <c r="O27" s="384">
        <v>813</v>
      </c>
      <c r="P27" s="384">
        <v>811</v>
      </c>
      <c r="Q27" s="30" t="s">
        <v>570</v>
      </c>
      <c r="R27" s="30" t="s">
        <v>569</v>
      </c>
      <c r="S27" s="130" t="s">
        <v>492</v>
      </c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31">
      <c r="A28" s="482"/>
      <c r="B28" s="501"/>
      <c r="C28" s="501"/>
      <c r="D28" s="501"/>
      <c r="E28" s="501"/>
      <c r="F28" s="501"/>
      <c r="G28" s="501"/>
      <c r="H28" s="501"/>
      <c r="I28" s="501"/>
      <c r="J28" s="501"/>
      <c r="K28" s="501"/>
      <c r="L28" s="501"/>
      <c r="M28" s="501"/>
      <c r="N28" s="501"/>
      <c r="O28" s="501"/>
      <c r="P28" s="501"/>
      <c r="Q28" s="483"/>
      <c r="R28" s="483"/>
      <c r="S28" s="484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</row>
    <row r="29" spans="1:31">
      <c r="A29" s="505" t="s">
        <v>551</v>
      </c>
      <c r="B29" s="506">
        <v>2010</v>
      </c>
      <c r="C29" s="506">
        <v>2011</v>
      </c>
      <c r="D29" s="506">
        <v>2012</v>
      </c>
      <c r="E29" s="506">
        <v>2013</v>
      </c>
      <c r="F29" s="506">
        <v>2014</v>
      </c>
      <c r="G29" s="506">
        <v>2015</v>
      </c>
      <c r="H29" s="506">
        <v>2016</v>
      </c>
      <c r="I29" s="506">
        <v>2017</v>
      </c>
      <c r="J29" s="506">
        <v>2018</v>
      </c>
      <c r="K29" s="506">
        <v>2019</v>
      </c>
      <c r="L29" s="506">
        <v>2020</v>
      </c>
      <c r="M29" s="506">
        <v>2021</v>
      </c>
      <c r="N29" s="506">
        <v>2022</v>
      </c>
      <c r="O29" s="506">
        <v>2023</v>
      </c>
      <c r="P29" s="456">
        <v>2024</v>
      </c>
      <c r="Q29" s="94" t="s">
        <v>241</v>
      </c>
      <c r="R29" s="94" t="s">
        <v>242</v>
      </c>
      <c r="S29" s="487" t="s">
        <v>22</v>
      </c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</row>
    <row r="30" spans="1:31">
      <c r="A30" s="137" t="s">
        <v>576</v>
      </c>
      <c r="B30" s="507">
        <v>19.792300000000001</v>
      </c>
      <c r="C30" s="507">
        <v>20.3628</v>
      </c>
      <c r="D30" s="507">
        <v>20.8613</v>
      </c>
      <c r="E30" s="507">
        <v>21.086800000000004</v>
      </c>
      <c r="F30" s="507">
        <v>19.977800000000002</v>
      </c>
      <c r="G30" s="507">
        <v>20.075700000000001</v>
      </c>
      <c r="H30" s="507">
        <v>20.713999999999999</v>
      </c>
      <c r="I30" s="507">
        <v>20.989999999999995</v>
      </c>
      <c r="J30" s="507">
        <v>19.689</v>
      </c>
      <c r="K30" s="507">
        <v>20.55</v>
      </c>
      <c r="L30" s="507">
        <v>20.180400000000002</v>
      </c>
      <c r="M30" s="507">
        <v>18.732199999999999</v>
      </c>
      <c r="N30" s="507">
        <v>20.506599999999999</v>
      </c>
      <c r="O30" s="507">
        <v>20.137699999999999</v>
      </c>
      <c r="P30" s="504"/>
      <c r="Q30" s="30" t="s">
        <v>580</v>
      </c>
      <c r="R30" s="490" t="s">
        <v>581</v>
      </c>
      <c r="S30" s="130" t="s">
        <v>492</v>
      </c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</row>
    <row r="31" spans="1:31">
      <c r="A31" s="137" t="s">
        <v>578</v>
      </c>
      <c r="B31" s="507">
        <v>11.737</v>
      </c>
      <c r="C31" s="507">
        <v>12.231399999999999</v>
      </c>
      <c r="D31" s="507">
        <v>12.187899999999999</v>
      </c>
      <c r="E31" s="507">
        <v>12.060700000000001</v>
      </c>
      <c r="F31" s="507">
        <v>11.816700000000001</v>
      </c>
      <c r="G31" s="507">
        <v>11.6831</v>
      </c>
      <c r="H31" s="507">
        <v>11.7514</v>
      </c>
      <c r="I31" s="507">
        <v>11.815299999999999</v>
      </c>
      <c r="J31" s="507">
        <v>11.602</v>
      </c>
      <c r="K31" s="507">
        <v>11.949</v>
      </c>
      <c r="L31" s="507">
        <v>11.8626</v>
      </c>
      <c r="M31" s="507">
        <v>11.164100000000001</v>
      </c>
      <c r="N31" s="507">
        <v>12.0008</v>
      </c>
      <c r="O31" s="507">
        <v>11.620100000000001</v>
      </c>
      <c r="P31" s="504"/>
      <c r="Q31" s="30" t="s">
        <v>580</v>
      </c>
      <c r="R31" s="490" t="s">
        <v>581</v>
      </c>
      <c r="S31" s="130" t="s">
        <v>492</v>
      </c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</row>
    <row r="32" spans="1:31">
      <c r="A32" s="137" t="s">
        <v>577</v>
      </c>
      <c r="B32" s="507">
        <v>3.8901999999999997</v>
      </c>
      <c r="C32" s="507">
        <v>3.9455999999999998</v>
      </c>
      <c r="D32" s="507">
        <v>4.2886000000000006</v>
      </c>
      <c r="E32" s="507">
        <v>4.2601000000000004</v>
      </c>
      <c r="F32" s="507">
        <v>3.8740999999999999</v>
      </c>
      <c r="G32" s="507">
        <v>3.9198000000000004</v>
      </c>
      <c r="H32" s="507">
        <v>4.0907999999999998</v>
      </c>
      <c r="I32" s="507">
        <v>4.2973999999999997</v>
      </c>
      <c r="J32" s="507">
        <v>3.7669999999999999</v>
      </c>
      <c r="K32" s="507">
        <v>4.0869999999999997</v>
      </c>
      <c r="L32" s="507">
        <v>3.7708000000000004</v>
      </c>
      <c r="M32" s="507">
        <v>3.5238</v>
      </c>
      <c r="N32" s="507">
        <v>3.895</v>
      </c>
      <c r="O32" s="507">
        <v>3.8874</v>
      </c>
      <c r="P32" s="504"/>
      <c r="Q32" s="30" t="s">
        <v>580</v>
      </c>
      <c r="R32" s="490" t="s">
        <v>581</v>
      </c>
      <c r="S32" s="130" t="s">
        <v>492</v>
      </c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</row>
    <row r="33" spans="1:31">
      <c r="A33" s="137" t="s">
        <v>579</v>
      </c>
      <c r="B33" s="507">
        <v>4.1651000000000007</v>
      </c>
      <c r="C33" s="507">
        <v>4.1858000000000004</v>
      </c>
      <c r="D33" s="507">
        <v>4.3848000000000003</v>
      </c>
      <c r="E33" s="507">
        <v>4.766</v>
      </c>
      <c r="F33" s="507">
        <v>4.2869999999999999</v>
      </c>
      <c r="G33" s="507">
        <v>4.4728000000000003</v>
      </c>
      <c r="H33" s="507">
        <v>4.8718000000000004</v>
      </c>
      <c r="I33" s="507">
        <v>4.8773</v>
      </c>
      <c r="J33" s="507">
        <v>4.32</v>
      </c>
      <c r="K33" s="507">
        <v>4.5140000000000002</v>
      </c>
      <c r="L33" s="507">
        <v>4.5469999999999997</v>
      </c>
      <c r="M33" s="507">
        <v>4.0442999999999998</v>
      </c>
      <c r="N33" s="507">
        <v>4.6108000000000002</v>
      </c>
      <c r="O33" s="507">
        <v>4.6301999999999994</v>
      </c>
      <c r="P33" s="504"/>
      <c r="Q33" s="30" t="s">
        <v>580</v>
      </c>
      <c r="R33" s="490" t="s">
        <v>581</v>
      </c>
      <c r="S33" s="130" t="s">
        <v>492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</row>
    <row r="34" spans="1:31">
      <c r="A34" s="192" t="s">
        <v>554</v>
      </c>
      <c r="B34" s="456">
        <v>2010</v>
      </c>
      <c r="C34" s="456">
        <v>2011</v>
      </c>
      <c r="D34" s="456">
        <v>2012</v>
      </c>
      <c r="E34" s="456">
        <v>2013</v>
      </c>
      <c r="F34" s="456">
        <v>2014</v>
      </c>
      <c r="G34" s="456">
        <v>2015</v>
      </c>
      <c r="H34" s="456">
        <v>2016</v>
      </c>
      <c r="I34" s="456">
        <v>2017</v>
      </c>
      <c r="J34" s="456">
        <v>2018</v>
      </c>
      <c r="K34" s="456">
        <v>2019</v>
      </c>
      <c r="L34" s="456">
        <v>2020</v>
      </c>
      <c r="M34" s="456">
        <v>2021</v>
      </c>
      <c r="N34" s="456">
        <v>2022</v>
      </c>
      <c r="O34" s="456">
        <v>2023</v>
      </c>
      <c r="P34" s="456">
        <v>2024</v>
      </c>
      <c r="Q34" s="94" t="s">
        <v>241</v>
      </c>
      <c r="R34" s="556" t="s">
        <v>242</v>
      </c>
      <c r="S34" s="170" t="s">
        <v>22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</row>
    <row r="35" spans="1:31" ht="30">
      <c r="A35" s="30" t="s">
        <v>555</v>
      </c>
      <c r="B35" s="498">
        <v>62.383490000000002</v>
      </c>
      <c r="C35" s="492"/>
      <c r="D35" s="492"/>
      <c r="E35" s="492"/>
      <c r="F35" s="492"/>
      <c r="G35" s="374">
        <v>63.5</v>
      </c>
      <c r="H35" s="492"/>
      <c r="I35" s="492"/>
      <c r="J35" s="492"/>
      <c r="K35" s="492"/>
      <c r="L35" s="492"/>
      <c r="M35" s="492"/>
      <c r="N35" s="492"/>
      <c r="O35" s="492"/>
      <c r="P35" s="492"/>
      <c r="Q35" s="30" t="s">
        <v>556</v>
      </c>
      <c r="R35" s="490" t="s">
        <v>582</v>
      </c>
      <c r="S35" s="255" t="s">
        <v>558</v>
      </c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</row>
    <row r="36" spans="1:31" ht="30">
      <c r="A36" s="30" t="s">
        <v>559</v>
      </c>
      <c r="B36" s="498">
        <v>129.16531000000001</v>
      </c>
      <c r="C36" s="492"/>
      <c r="D36" s="492"/>
      <c r="E36" s="492"/>
      <c r="F36" s="492"/>
      <c r="G36" s="377">
        <v>132</v>
      </c>
      <c r="H36" s="492"/>
      <c r="I36" s="492"/>
      <c r="J36" s="492"/>
      <c r="K36" s="492"/>
      <c r="L36" s="492"/>
      <c r="M36" s="492"/>
      <c r="N36" s="492"/>
      <c r="O36" s="492"/>
      <c r="P36" s="492"/>
      <c r="Q36" s="30" t="s">
        <v>556</v>
      </c>
      <c r="R36" s="490" t="s">
        <v>557</v>
      </c>
      <c r="S36" s="31" t="s">
        <v>558</v>
      </c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</row>
    <row r="37" spans="1:31" ht="30">
      <c r="A37" s="30" t="s">
        <v>560</v>
      </c>
      <c r="B37" s="498">
        <v>55.405110000000001</v>
      </c>
      <c r="C37" s="492"/>
      <c r="D37" s="492"/>
      <c r="E37" s="492"/>
      <c r="F37" s="492"/>
      <c r="G37" s="377">
        <v>64.099999999999994</v>
      </c>
      <c r="H37" s="492"/>
      <c r="I37" s="492"/>
      <c r="J37" s="492"/>
      <c r="K37" s="492"/>
      <c r="L37" s="492"/>
      <c r="M37" s="492"/>
      <c r="N37" s="492"/>
      <c r="O37" s="492"/>
      <c r="P37" s="492"/>
      <c r="Q37" s="30" t="s">
        <v>556</v>
      </c>
      <c r="R37" s="490" t="s">
        <v>557</v>
      </c>
      <c r="S37" s="31" t="s">
        <v>558</v>
      </c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</row>
    <row r="38" spans="1:31" ht="30">
      <c r="A38" s="30" t="s">
        <v>561</v>
      </c>
      <c r="B38" s="498">
        <v>73.862840000000006</v>
      </c>
      <c r="C38" s="492"/>
      <c r="D38" s="492"/>
      <c r="E38" s="492"/>
      <c r="F38" s="492"/>
      <c r="G38" s="377">
        <v>68.3</v>
      </c>
      <c r="H38" s="492"/>
      <c r="I38" s="492"/>
      <c r="J38" s="492"/>
      <c r="K38" s="492"/>
      <c r="L38" s="492"/>
      <c r="M38" s="492"/>
      <c r="N38" s="492"/>
      <c r="O38" s="492"/>
      <c r="P38" s="492"/>
      <c r="Q38" s="30" t="s">
        <v>556</v>
      </c>
      <c r="R38" s="490" t="s">
        <v>557</v>
      </c>
      <c r="S38" s="31" t="s">
        <v>558</v>
      </c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</row>
  </sheetData>
  <mergeCells count="1">
    <mergeCell ref="A1:A2"/>
  </mergeCells>
  <hyperlinks>
    <hyperlink ref="R14" r:id="rId1" xr:uid="{904AFD9F-1CC7-4E50-9DB9-02550A14DDD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7897-4B55-4095-BB3A-FE9CFC9C68E5}">
  <sheetPr>
    <tabColor theme="9" tint="-0.499984740745262"/>
  </sheetPr>
  <dimension ref="A1:AE41"/>
  <sheetViews>
    <sheetView topLeftCell="A30" zoomScale="70" zoomScaleNormal="70" workbookViewId="0">
      <selection activeCell="B46" sqref="B46:B56"/>
    </sheetView>
  </sheetViews>
  <sheetFormatPr defaultColWidth="14.42578125" defaultRowHeight="15"/>
  <cols>
    <col min="1" max="1" width="78.5703125" customWidth="1"/>
    <col min="17" max="17" width="18.7109375" customWidth="1"/>
    <col min="18" max="18" width="17.85546875" customWidth="1"/>
    <col min="19" max="19" width="34.42578125" customWidth="1"/>
  </cols>
  <sheetData>
    <row r="1" spans="1:31">
      <c r="A1" s="636" t="s">
        <v>594</v>
      </c>
    </row>
    <row r="2" spans="1:31">
      <c r="A2" s="637"/>
    </row>
    <row r="3" spans="1:31">
      <c r="A3" s="486" t="s">
        <v>19</v>
      </c>
      <c r="B3" s="94">
        <v>2010</v>
      </c>
      <c r="C3" s="94">
        <v>2011</v>
      </c>
      <c r="D3" s="94">
        <v>2012</v>
      </c>
      <c r="E3" s="94">
        <v>2013</v>
      </c>
      <c r="F3" s="94">
        <v>2014</v>
      </c>
      <c r="G3" s="94">
        <v>2015</v>
      </c>
      <c r="H3" s="94">
        <v>2016</v>
      </c>
      <c r="I3" s="94">
        <v>2017</v>
      </c>
      <c r="J3" s="94">
        <v>2018</v>
      </c>
      <c r="K3" s="94">
        <v>2019</v>
      </c>
      <c r="L3" s="94">
        <v>2020</v>
      </c>
      <c r="M3" s="94">
        <v>2021</v>
      </c>
      <c r="N3" s="94">
        <v>2022</v>
      </c>
      <c r="O3" s="94">
        <v>2023</v>
      </c>
      <c r="P3" s="94">
        <v>2024</v>
      </c>
      <c r="Q3" s="94" t="s">
        <v>241</v>
      </c>
      <c r="R3" s="94" t="s">
        <v>242</v>
      </c>
      <c r="S3" s="479" t="s">
        <v>22</v>
      </c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</row>
    <row r="4" spans="1:31">
      <c r="A4" s="30" t="s">
        <v>595</v>
      </c>
      <c r="B4" s="557"/>
      <c r="C4" s="557"/>
      <c r="D4" s="613">
        <v>376.17899999999997</v>
      </c>
      <c r="E4" s="557"/>
      <c r="F4" s="557"/>
      <c r="G4" s="481"/>
      <c r="H4" s="481"/>
      <c r="I4" s="613">
        <v>328.101</v>
      </c>
      <c r="J4" s="481"/>
      <c r="K4" s="481"/>
      <c r="L4" s="481"/>
      <c r="M4" s="481"/>
      <c r="N4" s="613">
        <v>306.053</v>
      </c>
      <c r="O4" s="481"/>
      <c r="P4" s="481"/>
      <c r="Q4" s="30" t="s">
        <v>49</v>
      </c>
      <c r="R4" s="205" t="s">
        <v>760</v>
      </c>
      <c r="S4" s="130" t="s">
        <v>492</v>
      </c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 spans="1:31">
      <c r="A5" s="499" t="s">
        <v>596</v>
      </c>
      <c r="B5" s="354">
        <v>90.909000000000006</v>
      </c>
      <c r="C5" s="354">
        <v>94.641000000000005</v>
      </c>
      <c r="D5" s="354">
        <v>88.162000000000006</v>
      </c>
      <c r="E5" s="354">
        <v>92.900999999999996</v>
      </c>
      <c r="F5" s="354">
        <v>90.432000000000002</v>
      </c>
      <c r="G5" s="354">
        <v>89.37</v>
      </c>
      <c r="H5" s="354">
        <v>88.820999999999998</v>
      </c>
      <c r="I5" s="354">
        <v>90.167000000000002</v>
      </c>
      <c r="J5" s="354">
        <v>94.004000000000005</v>
      </c>
      <c r="K5" s="354">
        <v>88.019000000000005</v>
      </c>
      <c r="L5" s="354">
        <v>90.596999999999994</v>
      </c>
      <c r="M5" s="354">
        <v>95.364999999999995</v>
      </c>
      <c r="N5" s="354">
        <v>97.290999999999997</v>
      </c>
      <c r="O5" s="354">
        <v>91.936000000000007</v>
      </c>
      <c r="P5" s="354">
        <v>88.191999999999993</v>
      </c>
      <c r="Q5" s="410" t="s">
        <v>562</v>
      </c>
      <c r="R5" s="490" t="s">
        <v>597</v>
      </c>
      <c r="S5" s="130" t="s">
        <v>492</v>
      </c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 spans="1:31" ht="30">
      <c r="A6" s="499" t="s">
        <v>598</v>
      </c>
      <c r="B6" s="503">
        <v>4.0525246734505274</v>
      </c>
      <c r="C6" s="503">
        <v>4.0525246734505274</v>
      </c>
      <c r="D6" s="503">
        <v>5.4363135863360732</v>
      </c>
      <c r="E6" s="503">
        <v>5.4363135863360732</v>
      </c>
      <c r="F6" s="503">
        <v>6.1529185590803737</v>
      </c>
      <c r="G6" s="503">
        <v>5.3127610048284346</v>
      </c>
      <c r="H6" s="503">
        <v>5.0656558418131583</v>
      </c>
      <c r="I6" s="503">
        <v>3.2123671191985887</v>
      </c>
      <c r="J6" s="503">
        <v>3.6818669289276129</v>
      </c>
      <c r="K6" s="503">
        <v>4.8185506787978829</v>
      </c>
      <c r="L6" s="503">
        <v>4.7938401624963554</v>
      </c>
      <c r="M6" s="503">
        <v>4.6949980972902443</v>
      </c>
      <c r="N6" s="503">
        <v>5.5351556515421843</v>
      </c>
      <c r="O6" s="503">
        <v>4.7691296461948278</v>
      </c>
      <c r="P6" s="503">
        <v>4.7691296461948278</v>
      </c>
      <c r="Q6" s="410" t="s">
        <v>599</v>
      </c>
      <c r="R6" s="490" t="s">
        <v>600</v>
      </c>
      <c r="S6" s="31" t="s">
        <v>639</v>
      </c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spans="1:31">
      <c r="A7" s="30" t="s">
        <v>601</v>
      </c>
      <c r="B7" s="450">
        <f>B19/B6</f>
        <v>28.322819538140244</v>
      </c>
      <c r="C7" s="450">
        <f t="shared" ref="C7:P7" si="0">C19/C6</f>
        <v>30.960582626920729</v>
      </c>
      <c r="D7" s="450">
        <f t="shared" si="0"/>
        <v>22.993669885818182</v>
      </c>
      <c r="E7" s="450">
        <f t="shared" si="0"/>
        <v>21.343171830931819</v>
      </c>
      <c r="F7" s="450">
        <f t="shared" si="0"/>
        <v>20.818128627911648</v>
      </c>
      <c r="G7" s="450">
        <f t="shared" si="0"/>
        <v>24.469809555116282</v>
      </c>
      <c r="H7" s="450">
        <f t="shared" si="0"/>
        <v>25.779554331756099</v>
      </c>
      <c r="I7" s="450">
        <f t="shared" si="0"/>
        <v>42.27375637996154</v>
      </c>
      <c r="J7" s="450">
        <f t="shared" si="0"/>
        <v>38.056963411442958</v>
      </c>
      <c r="K7" s="450">
        <f t="shared" si="0"/>
        <v>27.902715767128203</v>
      </c>
      <c r="L7" s="450">
        <f t="shared" si="0"/>
        <v>25.327685297036084</v>
      </c>
      <c r="M7" s="450">
        <f t="shared" si="0"/>
        <v>26.771017239078954</v>
      </c>
      <c r="N7" s="450">
        <f t="shared" si="0"/>
        <v>24.026492364843747</v>
      </c>
      <c r="O7" s="450">
        <f t="shared" si="0"/>
        <v>27.131009135647666</v>
      </c>
      <c r="P7" s="450">
        <f t="shared" si="0"/>
        <v>28.771381820051818</v>
      </c>
      <c r="Q7" s="30" t="s">
        <v>100</v>
      </c>
      <c r="R7" s="30"/>
      <c r="S7" s="30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spans="1:31">
      <c r="A8" s="482"/>
      <c r="B8" s="554"/>
      <c r="C8" s="554"/>
      <c r="D8" s="554"/>
      <c r="E8" s="554"/>
      <c r="F8" s="554"/>
      <c r="G8" s="554"/>
      <c r="H8" s="554"/>
      <c r="I8" s="554"/>
      <c r="J8" s="554"/>
      <c r="K8" s="554"/>
      <c r="L8" s="554"/>
      <c r="M8" s="554"/>
      <c r="N8" s="554"/>
      <c r="O8" s="554"/>
      <c r="P8" s="554"/>
      <c r="Q8" s="483"/>
      <c r="R8" s="483"/>
      <c r="S8" s="484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</row>
    <row r="9" spans="1:31">
      <c r="A9" s="486" t="s">
        <v>37</v>
      </c>
      <c r="B9" s="225">
        <v>2010</v>
      </c>
      <c r="C9" s="225">
        <v>2011</v>
      </c>
      <c r="D9" s="225">
        <v>2012</v>
      </c>
      <c r="E9" s="225">
        <v>2013</v>
      </c>
      <c r="F9" s="225">
        <v>2014</v>
      </c>
      <c r="G9" s="225">
        <v>2015</v>
      </c>
      <c r="H9" s="225">
        <v>2016</v>
      </c>
      <c r="I9" s="208">
        <v>2017</v>
      </c>
      <c r="J9" s="208">
        <v>2018</v>
      </c>
      <c r="K9" s="208">
        <v>2019</v>
      </c>
      <c r="L9" s="208">
        <v>2020</v>
      </c>
      <c r="M9" s="208">
        <v>2021</v>
      </c>
      <c r="N9" s="208">
        <v>2022</v>
      </c>
      <c r="O9" s="208">
        <v>2023</v>
      </c>
      <c r="P9" s="208">
        <v>2024</v>
      </c>
      <c r="Q9" s="94" t="s">
        <v>241</v>
      </c>
      <c r="R9" s="94" t="s">
        <v>242</v>
      </c>
      <c r="S9" s="487" t="s">
        <v>22</v>
      </c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spans="1:31">
      <c r="A10" s="499" t="s">
        <v>602</v>
      </c>
      <c r="B10" s="299">
        <v>315.61799999999999</v>
      </c>
      <c r="C10" s="299">
        <v>312.78899999999999</v>
      </c>
      <c r="D10" s="299">
        <v>273.19200000000001</v>
      </c>
      <c r="E10" s="299">
        <v>351.31599999999997</v>
      </c>
      <c r="F10" s="299">
        <v>361.13600000000002</v>
      </c>
      <c r="G10" s="299">
        <v>345.50599999999997</v>
      </c>
      <c r="H10" s="299">
        <v>384.77800000000002</v>
      </c>
      <c r="I10" s="299">
        <v>371.096</v>
      </c>
      <c r="J10" s="299">
        <v>363.78699999999998</v>
      </c>
      <c r="K10" s="299">
        <v>344.65100000000001</v>
      </c>
      <c r="L10" s="299">
        <v>357.81900000000002</v>
      </c>
      <c r="M10" s="299">
        <v>381.46899999999999</v>
      </c>
      <c r="N10" s="299">
        <v>346.73899999999998</v>
      </c>
      <c r="O10" s="299">
        <v>389.66699999999997</v>
      </c>
      <c r="P10" s="299">
        <v>378.26799999999997</v>
      </c>
      <c r="Q10" s="410" t="s">
        <v>49</v>
      </c>
      <c r="R10" s="490" t="s">
        <v>600</v>
      </c>
      <c r="S10" s="130" t="s">
        <v>492</v>
      </c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 spans="1:31">
      <c r="A11" s="499" t="s">
        <v>603</v>
      </c>
      <c r="B11" s="299">
        <v>284.54899999999998</v>
      </c>
      <c r="C11" s="299">
        <v>277.96100000000001</v>
      </c>
      <c r="D11" s="299">
        <v>262.97300000000001</v>
      </c>
      <c r="E11" s="299">
        <v>293.00200000000001</v>
      </c>
      <c r="F11" s="299">
        <v>301.83699999999999</v>
      </c>
      <c r="G11" s="299">
        <v>298.84500000000003</v>
      </c>
      <c r="H11" s="299">
        <v>313.78500000000003</v>
      </c>
      <c r="I11" s="299">
        <v>313.99099999999999</v>
      </c>
      <c r="J11" s="299">
        <v>309.50299999999999</v>
      </c>
      <c r="K11" s="299">
        <v>306.45</v>
      </c>
      <c r="L11" s="299">
        <v>308.21499999999997</v>
      </c>
      <c r="M11" s="299">
        <v>315.66500000000002</v>
      </c>
      <c r="N11" s="299">
        <v>305.93099999999998</v>
      </c>
      <c r="O11" s="299">
        <v>322.87299999999999</v>
      </c>
      <c r="P11" s="299">
        <v>312.10199999999998</v>
      </c>
      <c r="Q11" s="410" t="s">
        <v>49</v>
      </c>
      <c r="R11" s="490" t="s">
        <v>600</v>
      </c>
      <c r="S11" s="130" t="s">
        <v>492</v>
      </c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 spans="1:31">
      <c r="A12" s="499" t="s">
        <v>605</v>
      </c>
      <c r="B12" s="503">
        <v>0.70299999999999996</v>
      </c>
      <c r="C12" s="503">
        <v>0.746</v>
      </c>
      <c r="D12" s="503">
        <v>4.0629999999999997</v>
      </c>
      <c r="E12" s="503">
        <v>0.90900000000000003</v>
      </c>
      <c r="F12" s="503">
        <v>0.80400000000000005</v>
      </c>
      <c r="G12" s="503">
        <v>1.716</v>
      </c>
      <c r="H12" s="503">
        <v>1.45</v>
      </c>
      <c r="I12" s="503">
        <v>0.91500000000000004</v>
      </c>
      <c r="J12" s="503">
        <v>0.71</v>
      </c>
      <c r="K12" s="503">
        <v>1.0640000000000001</v>
      </c>
      <c r="L12" s="503">
        <v>0.61599999999999999</v>
      </c>
      <c r="M12" s="503">
        <v>0.61499999999999999</v>
      </c>
      <c r="N12" s="503">
        <v>0.98199999999999998</v>
      </c>
      <c r="O12" s="503">
        <v>0.72199999999999998</v>
      </c>
      <c r="P12" s="503">
        <v>0.55000000000000004</v>
      </c>
      <c r="Q12" s="410" t="s">
        <v>49</v>
      </c>
      <c r="R12" s="490" t="s">
        <v>600</v>
      </c>
      <c r="S12" s="130" t="s">
        <v>492</v>
      </c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 spans="1:31">
      <c r="A13" s="499" t="s">
        <v>606</v>
      </c>
      <c r="B13" s="299">
        <v>46.508000000000003</v>
      </c>
      <c r="C13" s="299">
        <v>39.095999999999997</v>
      </c>
      <c r="D13" s="299">
        <v>18.545000000000002</v>
      </c>
      <c r="E13" s="299">
        <v>48.79</v>
      </c>
      <c r="F13" s="299">
        <v>47.420999999999999</v>
      </c>
      <c r="G13" s="299">
        <v>48.228000000000002</v>
      </c>
      <c r="H13" s="299">
        <v>58.313000000000002</v>
      </c>
      <c r="I13" s="299">
        <v>61.905999999999999</v>
      </c>
      <c r="J13" s="299">
        <v>52.537999999999997</v>
      </c>
      <c r="K13" s="299">
        <v>45.174999999999997</v>
      </c>
      <c r="L13" s="299">
        <v>69.775000000000006</v>
      </c>
      <c r="M13" s="299">
        <v>62.802</v>
      </c>
      <c r="N13" s="299">
        <v>42.213999999999999</v>
      </c>
      <c r="O13" s="299">
        <v>57.274999999999999</v>
      </c>
      <c r="P13" s="299">
        <v>72.602999999999994</v>
      </c>
      <c r="Q13" s="410" t="s">
        <v>49</v>
      </c>
      <c r="R13" s="490" t="s">
        <v>600</v>
      </c>
      <c r="S13" s="130" t="s">
        <v>492</v>
      </c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spans="1:31">
      <c r="A14" s="499" t="s">
        <v>607</v>
      </c>
      <c r="B14" s="299">
        <v>43.38</v>
      </c>
      <c r="C14" s="299">
        <v>28.643999999999998</v>
      </c>
      <c r="D14" s="299">
        <v>25.122</v>
      </c>
      <c r="E14" s="299">
        <v>20.859000000000002</v>
      </c>
      <c r="F14" s="299">
        <v>31.292000000000002</v>
      </c>
      <c r="G14" s="299">
        <v>43.973999999999997</v>
      </c>
      <c r="H14" s="299">
        <v>44.122999999999998</v>
      </c>
      <c r="I14" s="299">
        <v>58.253</v>
      </c>
      <c r="J14" s="299">
        <v>54.366999999999997</v>
      </c>
      <c r="K14" s="299">
        <v>56.823</v>
      </c>
      <c r="L14" s="299">
        <v>50.912999999999997</v>
      </c>
      <c r="M14" s="299">
        <v>31.358000000000001</v>
      </c>
      <c r="N14" s="299">
        <v>34.975000000000001</v>
      </c>
      <c r="O14" s="299">
        <v>34.551000000000002</v>
      </c>
      <c r="P14" s="299">
        <v>44.792000000000002</v>
      </c>
      <c r="Q14" s="410" t="s">
        <v>49</v>
      </c>
      <c r="R14" s="490" t="s">
        <v>600</v>
      </c>
      <c r="S14" s="130" t="s">
        <v>492</v>
      </c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</row>
    <row r="15" spans="1:31">
      <c r="A15" s="499" t="s">
        <v>608</v>
      </c>
      <c r="B15" s="299">
        <v>28.643999999999998</v>
      </c>
      <c r="C15" s="299">
        <v>25.122</v>
      </c>
      <c r="D15" s="299">
        <v>20.859000000000002</v>
      </c>
      <c r="E15" s="299">
        <v>31.292000000000002</v>
      </c>
      <c r="F15" s="299">
        <v>43.973999999999997</v>
      </c>
      <c r="G15" s="299">
        <v>44.122999999999998</v>
      </c>
      <c r="H15" s="299">
        <v>58.253</v>
      </c>
      <c r="I15" s="299">
        <v>54.366999999999997</v>
      </c>
      <c r="J15" s="299">
        <v>56.823</v>
      </c>
      <c r="K15" s="299">
        <v>50.912999999999997</v>
      </c>
      <c r="L15" s="299">
        <v>31.358000000000001</v>
      </c>
      <c r="M15" s="299">
        <v>34.975000000000001</v>
      </c>
      <c r="N15" s="299">
        <v>34.551000000000002</v>
      </c>
      <c r="O15" s="299">
        <v>44.792000000000002</v>
      </c>
      <c r="P15" s="299">
        <v>38.905000000000001</v>
      </c>
      <c r="Q15" s="410" t="s">
        <v>49</v>
      </c>
      <c r="R15" s="490" t="s">
        <v>600</v>
      </c>
      <c r="S15" s="130" t="s">
        <v>492</v>
      </c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 spans="1:31">
      <c r="A16" s="192" t="s">
        <v>609</v>
      </c>
      <c r="B16" s="488"/>
      <c r="C16" s="488"/>
      <c r="D16" s="488"/>
      <c r="E16" s="488"/>
      <c r="F16" s="488"/>
      <c r="G16" s="488"/>
      <c r="H16" s="488"/>
      <c r="I16" s="488"/>
      <c r="J16" s="488"/>
      <c r="K16" s="488"/>
      <c r="L16" s="488"/>
      <c r="M16" s="488"/>
      <c r="N16" s="488"/>
      <c r="O16" s="488"/>
      <c r="P16" s="488"/>
      <c r="Q16" s="30"/>
      <c r="R16" s="30"/>
      <c r="S16" s="30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 spans="1:31" ht="30">
      <c r="A17" s="30" t="s">
        <v>610</v>
      </c>
      <c r="B17" s="299">
        <v>127.38940000000001</v>
      </c>
      <c r="C17" s="299">
        <v>119.25295000000001</v>
      </c>
      <c r="D17" s="299">
        <v>112.80172500000002</v>
      </c>
      <c r="E17" s="299">
        <v>107.71597500000001</v>
      </c>
      <c r="F17" s="299">
        <v>125.10442499999999</v>
      </c>
      <c r="G17" s="299">
        <v>132.18600000000001</v>
      </c>
      <c r="H17" s="299">
        <v>127.94635000000001</v>
      </c>
      <c r="I17" s="299">
        <v>136.69874999999999</v>
      </c>
      <c r="J17" s="299">
        <v>132.61494999999999</v>
      </c>
      <c r="K17" s="299">
        <v>134.80272500000001</v>
      </c>
      <c r="L17" s="299">
        <v>144.459475</v>
      </c>
      <c r="M17" s="299">
        <v>141.68495000000001</v>
      </c>
      <c r="N17" s="299">
        <v>141.76262500000001</v>
      </c>
      <c r="O17" s="299">
        <v>137.14747500000001</v>
      </c>
      <c r="P17" s="299">
        <v>145.79457500000001</v>
      </c>
      <c r="Q17" s="30" t="s">
        <v>49</v>
      </c>
      <c r="R17" s="491" t="s">
        <v>604</v>
      </c>
      <c r="S17" s="31" t="s">
        <v>640</v>
      </c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 spans="1:31" ht="30">
      <c r="A18" s="30" t="s">
        <v>611</v>
      </c>
      <c r="B18" s="299">
        <v>148.46665000000002</v>
      </c>
      <c r="C18" s="299">
        <v>160.06305</v>
      </c>
      <c r="D18" s="299">
        <v>159.99335000000002</v>
      </c>
      <c r="E18" s="299">
        <v>150.33022500000001</v>
      </c>
      <c r="F18" s="299">
        <v>162.52742499999999</v>
      </c>
      <c r="G18" s="299">
        <v>164.152525</v>
      </c>
      <c r="H18" s="299">
        <v>165.41480000000001</v>
      </c>
      <c r="I18" s="299">
        <v>171.397975</v>
      </c>
      <c r="J18" s="299">
        <v>175.67862500000001</v>
      </c>
      <c r="K18" s="299">
        <v>169.08924999999999</v>
      </c>
      <c r="L18" s="299">
        <v>156.405325</v>
      </c>
      <c r="M18" s="299">
        <v>160.8963</v>
      </c>
      <c r="N18" s="299">
        <v>168.190425</v>
      </c>
      <c r="O18" s="299">
        <v>163.161675</v>
      </c>
      <c r="P18" s="299">
        <v>171.23500000000001</v>
      </c>
      <c r="Q18" s="30" t="s">
        <v>49</v>
      </c>
      <c r="R18" s="490" t="s">
        <v>604</v>
      </c>
      <c r="S18" s="31" t="s">
        <v>640</v>
      </c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 spans="1:31" ht="30">
      <c r="A19" s="30" t="s">
        <v>612</v>
      </c>
      <c r="B19" s="299">
        <v>114.77892500000002</v>
      </c>
      <c r="C19" s="299">
        <v>125.468525</v>
      </c>
      <c r="D19" s="299">
        <v>125.00080000000001</v>
      </c>
      <c r="E19" s="299">
        <v>116.02817500000002</v>
      </c>
      <c r="F19" s="299">
        <v>128.09225000000001</v>
      </c>
      <c r="G19" s="299">
        <v>130.00225</v>
      </c>
      <c r="H19" s="299">
        <v>130.59035</v>
      </c>
      <c r="I19" s="299">
        <v>135.79882500000002</v>
      </c>
      <c r="J19" s="299">
        <v>140.12067500000001</v>
      </c>
      <c r="K19" s="299">
        <v>134.45065</v>
      </c>
      <c r="L19" s="299">
        <v>121.416875</v>
      </c>
      <c r="M19" s="299">
        <v>125.68987500000001</v>
      </c>
      <c r="N19" s="299">
        <v>132.990375</v>
      </c>
      <c r="O19" s="299">
        <v>129.3913</v>
      </c>
      <c r="P19" s="299">
        <v>137.21445000000003</v>
      </c>
      <c r="Q19" s="30" t="s">
        <v>49</v>
      </c>
      <c r="R19" s="490" t="s">
        <v>604</v>
      </c>
      <c r="S19" s="31" t="s">
        <v>640</v>
      </c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 spans="1:31" ht="30">
      <c r="A20" s="30" t="s">
        <v>613</v>
      </c>
      <c r="B20" s="299">
        <v>12.803125000000001</v>
      </c>
      <c r="C20" s="299">
        <v>13.026225</v>
      </c>
      <c r="D20" s="299">
        <v>12.790100000000001</v>
      </c>
      <c r="E20" s="299">
        <v>12.287175000000001</v>
      </c>
      <c r="F20" s="299">
        <v>11.94345</v>
      </c>
      <c r="G20" s="299">
        <v>11.952475</v>
      </c>
      <c r="H20" s="299">
        <v>11.80645</v>
      </c>
      <c r="I20" s="299">
        <v>11.6744</v>
      </c>
      <c r="J20" s="299">
        <v>11.481275</v>
      </c>
      <c r="K20" s="299">
        <v>11.035475</v>
      </c>
      <c r="L20" s="299">
        <v>10.455150000000001</v>
      </c>
      <c r="M20" s="299">
        <v>10.51435</v>
      </c>
      <c r="N20" s="299">
        <v>10.384925000000001</v>
      </c>
      <c r="O20" s="299">
        <v>10.222675000000001</v>
      </c>
      <c r="P20" s="299">
        <v>10.44365</v>
      </c>
      <c r="Q20" s="30" t="s">
        <v>49</v>
      </c>
      <c r="R20" s="490" t="s">
        <v>604</v>
      </c>
      <c r="S20" s="31" t="s">
        <v>640</v>
      </c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spans="1:31" ht="30">
      <c r="A21" s="30" t="s">
        <v>614</v>
      </c>
      <c r="B21" s="299">
        <v>6.4321000000000002</v>
      </c>
      <c r="C21" s="299">
        <v>6.8089250000000012</v>
      </c>
      <c r="D21" s="299">
        <v>7.358975</v>
      </c>
      <c r="E21" s="299">
        <v>7.2980000000000009</v>
      </c>
      <c r="F21" s="299">
        <v>7.6786500000000011</v>
      </c>
      <c r="G21" s="299">
        <v>7.4517250000000006</v>
      </c>
      <c r="H21" s="299">
        <v>8.4259749999999993</v>
      </c>
      <c r="I21" s="299">
        <v>9.2835999999999999</v>
      </c>
      <c r="J21" s="299">
        <v>9.2893000000000008</v>
      </c>
      <c r="K21" s="299">
        <v>8.8778000000000006</v>
      </c>
      <c r="L21" s="299">
        <v>8.904774999999999</v>
      </c>
      <c r="M21" s="299">
        <v>9.1178250000000016</v>
      </c>
      <c r="N21" s="299">
        <v>9.2758000000000003</v>
      </c>
      <c r="O21" s="299">
        <v>8.5949250000000017</v>
      </c>
      <c r="P21" s="299">
        <v>8.4092749999999992</v>
      </c>
      <c r="Q21" s="30" t="s">
        <v>49</v>
      </c>
      <c r="R21" s="490" t="s">
        <v>604</v>
      </c>
      <c r="S21" s="31" t="s">
        <v>640</v>
      </c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 spans="1:31" ht="30">
      <c r="A22" s="30" t="s">
        <v>615</v>
      </c>
      <c r="B22" s="299">
        <v>6.2609250000000003</v>
      </c>
      <c r="C22" s="299">
        <v>6.4593750000000005</v>
      </c>
      <c r="D22" s="299">
        <v>6.35025</v>
      </c>
      <c r="E22" s="299">
        <v>6.234725000000001</v>
      </c>
      <c r="F22" s="299">
        <v>6.2636750000000001</v>
      </c>
      <c r="G22" s="299">
        <v>6.1611750000000001</v>
      </c>
      <c r="H22" s="299">
        <v>5.9395249999999997</v>
      </c>
      <c r="I22" s="299">
        <v>5.8836500000000003</v>
      </c>
      <c r="J22" s="299">
        <v>5.8948749999999999</v>
      </c>
      <c r="K22" s="299">
        <v>5.7628250000000003</v>
      </c>
      <c r="L22" s="299">
        <v>5.8060250000000009</v>
      </c>
      <c r="M22" s="299">
        <v>6.2942500000000008</v>
      </c>
      <c r="N22" s="299">
        <v>6.154325</v>
      </c>
      <c r="O22" s="299">
        <v>5.4827750000000002</v>
      </c>
      <c r="P22" s="299">
        <v>5.5676250000000005</v>
      </c>
      <c r="Q22" s="30" t="s">
        <v>49</v>
      </c>
      <c r="R22" s="490" t="s">
        <v>604</v>
      </c>
      <c r="S22" s="31" t="s">
        <v>640</v>
      </c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 spans="1:31" ht="30">
      <c r="A23" s="30" t="s">
        <v>616</v>
      </c>
      <c r="B23" s="299">
        <v>4.8415750000000006</v>
      </c>
      <c r="C23" s="299">
        <v>4.9250000000000007</v>
      </c>
      <c r="D23" s="299">
        <v>5.080725000000001</v>
      </c>
      <c r="E23" s="299">
        <v>4.9855</v>
      </c>
      <c r="F23" s="299">
        <v>5.0119500000000006</v>
      </c>
      <c r="G23" s="299">
        <v>5.0302250000000006</v>
      </c>
      <c r="H23" s="299">
        <v>5.0775000000000006</v>
      </c>
      <c r="I23" s="299">
        <v>5.1075000000000008</v>
      </c>
      <c r="J23" s="299">
        <v>5.1675000000000004</v>
      </c>
      <c r="K23" s="299">
        <v>5.2125000000000004</v>
      </c>
      <c r="L23" s="299">
        <v>5.4975000000000005</v>
      </c>
      <c r="M23" s="299">
        <v>5.3550000000000004</v>
      </c>
      <c r="N23" s="299">
        <v>5.36</v>
      </c>
      <c r="O23" s="299">
        <v>5.4200000000000008</v>
      </c>
      <c r="P23" s="299">
        <v>5.4750000000000005</v>
      </c>
      <c r="Q23" s="30" t="s">
        <v>49</v>
      </c>
      <c r="R23" s="490" t="s">
        <v>604</v>
      </c>
      <c r="S23" s="31" t="s">
        <v>640</v>
      </c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 spans="1:31" ht="30">
      <c r="A24" s="30" t="s">
        <v>617</v>
      </c>
      <c r="B24" s="299">
        <v>3.35</v>
      </c>
      <c r="C24" s="299">
        <v>3.375</v>
      </c>
      <c r="D24" s="299">
        <v>3.4125000000000001</v>
      </c>
      <c r="E24" s="299">
        <v>3.5</v>
      </c>
      <c r="F24" s="299">
        <v>3.5374499999999998</v>
      </c>
      <c r="G24" s="299">
        <v>3.5546750000000005</v>
      </c>
      <c r="H24" s="299">
        <v>3.5750000000000002</v>
      </c>
      <c r="I24" s="299">
        <v>3.6500000000000004</v>
      </c>
      <c r="J24" s="299">
        <v>3.7250000000000001</v>
      </c>
      <c r="K24" s="299">
        <v>3.75</v>
      </c>
      <c r="L24" s="299">
        <v>4.3250000000000002</v>
      </c>
      <c r="M24" s="299">
        <v>3.9250000000000003</v>
      </c>
      <c r="N24" s="299">
        <v>4.0250000000000004</v>
      </c>
      <c r="O24" s="299">
        <v>4.05</v>
      </c>
      <c r="P24" s="299">
        <v>4.125</v>
      </c>
      <c r="Q24" s="30" t="s">
        <v>49</v>
      </c>
      <c r="R24" s="490" t="s">
        <v>604</v>
      </c>
      <c r="S24" s="31" t="s">
        <v>640</v>
      </c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spans="1:31" ht="30">
      <c r="A25" s="30" t="s">
        <v>618</v>
      </c>
      <c r="B25" s="335">
        <v>0.69387500000000002</v>
      </c>
      <c r="C25" s="335">
        <v>0.73940000000000006</v>
      </c>
      <c r="D25" s="335">
        <v>0.774675</v>
      </c>
      <c r="E25" s="335">
        <v>0.77407500000000007</v>
      </c>
      <c r="F25" s="335">
        <v>0.7430500000000001</v>
      </c>
      <c r="G25" s="335">
        <v>0.731375</v>
      </c>
      <c r="H25" s="335">
        <v>0.76387500000000008</v>
      </c>
      <c r="I25" s="335">
        <v>0.73260000000000003</v>
      </c>
      <c r="J25" s="335">
        <v>0.73827500000000001</v>
      </c>
      <c r="K25" s="335">
        <v>0.72347500000000009</v>
      </c>
      <c r="L25" s="335">
        <v>0.74442500000000011</v>
      </c>
      <c r="M25" s="335">
        <v>0.76467499999999999</v>
      </c>
      <c r="N25" s="335">
        <v>0.72789999999999999</v>
      </c>
      <c r="O25" s="335">
        <v>0.79055000000000009</v>
      </c>
      <c r="P25" s="335">
        <v>0.74327500000000013</v>
      </c>
      <c r="Q25" s="30" t="s">
        <v>49</v>
      </c>
      <c r="R25" s="490" t="s">
        <v>604</v>
      </c>
      <c r="S25" s="31" t="s">
        <v>640</v>
      </c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</row>
    <row r="26" spans="1:31">
      <c r="A26" s="499" t="s">
        <v>619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00"/>
      <c r="R26" s="500"/>
      <c r="S26" s="410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 spans="1:31">
      <c r="A27" s="30" t="s">
        <v>620</v>
      </c>
      <c r="B27" s="558">
        <f>B19/B10</f>
        <v>0.36366406542085689</v>
      </c>
      <c r="C27" s="558">
        <f t="shared" ref="C27:P27" si="1">C19/C10</f>
        <v>0.4011283165328704</v>
      </c>
      <c r="D27" s="558">
        <f t="shared" si="1"/>
        <v>0.45755659023690304</v>
      </c>
      <c r="E27" s="558">
        <f t="shared" si="1"/>
        <v>0.33026726650650706</v>
      </c>
      <c r="F27" s="558">
        <f t="shared" si="1"/>
        <v>0.35469255349785123</v>
      </c>
      <c r="G27" s="558">
        <f t="shared" si="1"/>
        <v>0.37626625876251069</v>
      </c>
      <c r="H27" s="558">
        <f t="shared" si="1"/>
        <v>0.33939141530960709</v>
      </c>
      <c r="I27" s="558">
        <f t="shared" si="1"/>
        <v>0.36593987809084449</v>
      </c>
      <c r="J27" s="558">
        <f t="shared" si="1"/>
        <v>0.38517229862529451</v>
      </c>
      <c r="K27" s="558">
        <f t="shared" si="1"/>
        <v>0.3901066586198792</v>
      </c>
      <c r="L27" s="558">
        <f t="shared" si="1"/>
        <v>0.33932484021250969</v>
      </c>
      <c r="M27" s="558">
        <f t="shared" si="1"/>
        <v>0.32948909347810706</v>
      </c>
      <c r="N27" s="558">
        <f t="shared" si="1"/>
        <v>0.38354605337155617</v>
      </c>
      <c r="O27" s="558">
        <f t="shared" si="1"/>
        <v>0.33205608891694705</v>
      </c>
      <c r="P27" s="558">
        <f t="shared" si="1"/>
        <v>0.3627440068945828</v>
      </c>
      <c r="Q27" s="30" t="s">
        <v>100</v>
      </c>
      <c r="R27" s="30"/>
      <c r="S27" s="30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31">
      <c r="A28" s="30" t="s">
        <v>621</v>
      </c>
      <c r="B28" s="65">
        <v>5.0801438043564053E-2</v>
      </c>
      <c r="C28" s="65">
        <v>0.13788961754681672</v>
      </c>
      <c r="D28" s="65">
        <v>0.25899661716852745</v>
      </c>
      <c r="E28" s="65">
        <v>0.48442799848684293</v>
      </c>
      <c r="F28" s="65">
        <v>0.4399767401987244</v>
      </c>
      <c r="G28" s="65">
        <v>0.47354197604893633</v>
      </c>
      <c r="H28" s="65">
        <v>0.59238105432941657</v>
      </c>
      <c r="I28" s="65">
        <v>0.71620955956060395</v>
      </c>
      <c r="J28" s="65">
        <v>0.94573932000000005</v>
      </c>
      <c r="K28" s="65">
        <v>0.79832192000000002</v>
      </c>
      <c r="L28" s="65">
        <v>0.68764547200000004</v>
      </c>
      <c r="M28" s="559"/>
      <c r="N28" s="559"/>
      <c r="O28" s="559"/>
      <c r="P28" s="65">
        <v>1.96632132</v>
      </c>
      <c r="Q28" s="30" t="s">
        <v>39</v>
      </c>
      <c r="R28" s="490" t="s">
        <v>622</v>
      </c>
      <c r="S28" s="30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</row>
    <row r="29" spans="1:31">
      <c r="A29" s="482"/>
      <c r="B29" s="483"/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3"/>
      <c r="R29" s="483"/>
      <c r="S29" s="484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</row>
    <row r="30" spans="1:31">
      <c r="A30" s="486" t="s">
        <v>51</v>
      </c>
      <c r="B30" s="486">
        <v>2010</v>
      </c>
      <c r="C30" s="486">
        <v>2011</v>
      </c>
      <c r="D30" s="486">
        <v>2012</v>
      </c>
      <c r="E30" s="486">
        <v>2013</v>
      </c>
      <c r="F30" s="486">
        <v>2014</v>
      </c>
      <c r="G30" s="486">
        <v>2015</v>
      </c>
      <c r="H30" s="486">
        <v>2016</v>
      </c>
      <c r="I30" s="94">
        <v>2017</v>
      </c>
      <c r="J30" s="94">
        <v>2018</v>
      </c>
      <c r="K30" s="94">
        <v>2019</v>
      </c>
      <c r="L30" s="94">
        <v>2020</v>
      </c>
      <c r="M30" s="94">
        <v>2021</v>
      </c>
      <c r="N30" s="94">
        <v>2022</v>
      </c>
      <c r="O30" s="94">
        <v>2023</v>
      </c>
      <c r="P30" s="94">
        <v>2024</v>
      </c>
      <c r="Q30" s="94" t="s">
        <v>241</v>
      </c>
      <c r="R30" s="94" t="s">
        <v>242</v>
      </c>
      <c r="S30" s="487" t="s">
        <v>22</v>
      </c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</row>
    <row r="31" spans="1:31" ht="30">
      <c r="A31" s="30" t="s">
        <v>623</v>
      </c>
      <c r="B31" s="299">
        <v>207.2</v>
      </c>
      <c r="C31" s="299">
        <v>248.79999999999998</v>
      </c>
      <c r="D31" s="299">
        <v>275.59999999999997</v>
      </c>
      <c r="E31" s="299">
        <v>178.39999999999998</v>
      </c>
      <c r="F31" s="299">
        <v>148</v>
      </c>
      <c r="G31" s="299">
        <v>144.39999999999998</v>
      </c>
      <c r="H31" s="299">
        <v>134.39999999999998</v>
      </c>
      <c r="I31" s="299">
        <v>134.39999999999998</v>
      </c>
      <c r="J31" s="299">
        <v>144.39999999999998</v>
      </c>
      <c r="K31" s="299">
        <v>142.4</v>
      </c>
      <c r="L31" s="299">
        <v>181.2</v>
      </c>
      <c r="M31" s="299">
        <v>240</v>
      </c>
      <c r="N31" s="299">
        <v>261.59999999999997</v>
      </c>
      <c r="O31" s="299">
        <v>181.99999999999997</v>
      </c>
      <c r="P31" s="299">
        <v>169.6</v>
      </c>
      <c r="Q31" s="30" t="s">
        <v>562</v>
      </c>
      <c r="R31" s="490" t="s">
        <v>624</v>
      </c>
      <c r="S31" s="31" t="s">
        <v>640</v>
      </c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</row>
    <row r="32" spans="1:31" ht="30">
      <c r="A32" s="499" t="s">
        <v>625</v>
      </c>
      <c r="B32" s="299">
        <v>866.19519799999989</v>
      </c>
      <c r="C32" s="299">
        <v>1339.527112</v>
      </c>
      <c r="D32" s="299">
        <v>1236.5713580000001</v>
      </c>
      <c r="E32" s="299">
        <v>1028.6756919999998</v>
      </c>
      <c r="F32" s="299">
        <v>869.28166599999997</v>
      </c>
      <c r="G32" s="299">
        <v>826.29157599999996</v>
      </c>
      <c r="H32" s="299">
        <v>865.3133499999999</v>
      </c>
      <c r="I32" s="299">
        <v>824.72078424999984</v>
      </c>
      <c r="J32" s="299">
        <v>670.08965604166656</v>
      </c>
      <c r="K32" s="299">
        <v>593.79602516666671</v>
      </c>
      <c r="L32" s="299">
        <v>871.6700043333334</v>
      </c>
      <c r="M32" s="299">
        <v>1199.3867673333332</v>
      </c>
      <c r="N32" s="299">
        <v>1416.8477283583331</v>
      </c>
      <c r="O32" s="299">
        <v>1358.4096822999998</v>
      </c>
      <c r="P32" s="299">
        <v>1036.1713999999999</v>
      </c>
      <c r="Q32" s="410" t="s">
        <v>626</v>
      </c>
      <c r="R32" s="205" t="s">
        <v>627</v>
      </c>
      <c r="S32" s="31" t="s">
        <v>628</v>
      </c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</row>
    <row r="33" spans="1:31">
      <c r="A33" s="499" t="s">
        <v>629</v>
      </c>
      <c r="B33" s="503">
        <v>64.529628000000002</v>
      </c>
      <c r="C33" s="503">
        <v>76.651241999999996</v>
      </c>
      <c r="D33" s="503">
        <v>74.155298999999999</v>
      </c>
      <c r="E33" s="503">
        <v>61.935222000000003</v>
      </c>
      <c r="F33" s="503">
        <v>52.958412000000003</v>
      </c>
      <c r="G33" s="503">
        <v>49.339261</v>
      </c>
      <c r="H33" s="503">
        <v>51.304296999999998</v>
      </c>
      <c r="I33" s="503">
        <v>49.567853999999997</v>
      </c>
      <c r="J33" s="503">
        <v>52.029758000000001</v>
      </c>
      <c r="K33" s="503">
        <v>48.737122999999997</v>
      </c>
      <c r="L33" s="503">
        <v>64.197148999999996</v>
      </c>
      <c r="M33" s="503">
        <v>90.264369000000002</v>
      </c>
      <c r="N33" s="503">
        <v>89.452876000000003</v>
      </c>
      <c r="O33" s="503">
        <v>70.085590999999994</v>
      </c>
      <c r="P33" s="503">
        <v>64.672612999999998</v>
      </c>
      <c r="Q33" s="410" t="s">
        <v>562</v>
      </c>
      <c r="R33" s="490" t="s">
        <v>630</v>
      </c>
      <c r="S33" s="130" t="s">
        <v>492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</row>
    <row r="34" spans="1:31">
      <c r="A34" s="30" t="s">
        <v>631</v>
      </c>
      <c r="B34" s="450">
        <f>B19*B31/1000</f>
        <v>23.782193260000003</v>
      </c>
      <c r="C34" s="450">
        <f t="shared" ref="C34:P34" si="2">C19*C31/1000</f>
        <v>31.216569019999998</v>
      </c>
      <c r="D34" s="450">
        <f t="shared" si="2"/>
        <v>34.450220479999999</v>
      </c>
      <c r="E34" s="450">
        <f t="shared" si="2"/>
        <v>20.699426419999998</v>
      </c>
      <c r="F34" s="450">
        <f t="shared" si="2"/>
        <v>18.957653000000001</v>
      </c>
      <c r="G34" s="450">
        <f t="shared" si="2"/>
        <v>18.772324899999997</v>
      </c>
      <c r="H34" s="450">
        <f t="shared" si="2"/>
        <v>17.551343039999995</v>
      </c>
      <c r="I34" s="450">
        <f t="shared" si="2"/>
        <v>18.25136208</v>
      </c>
      <c r="J34" s="450">
        <f t="shared" si="2"/>
        <v>20.233425469999997</v>
      </c>
      <c r="K34" s="450">
        <f t="shared" si="2"/>
        <v>19.145772560000001</v>
      </c>
      <c r="L34" s="450">
        <f t="shared" si="2"/>
        <v>22.000737749999999</v>
      </c>
      <c r="M34" s="450">
        <f t="shared" si="2"/>
        <v>30.165570000000002</v>
      </c>
      <c r="N34" s="450">
        <f t="shared" si="2"/>
        <v>34.790282099999999</v>
      </c>
      <c r="O34" s="450">
        <f t="shared" si="2"/>
        <v>23.549216599999998</v>
      </c>
      <c r="P34" s="450">
        <f t="shared" si="2"/>
        <v>23.271570720000003</v>
      </c>
      <c r="Q34" s="30" t="s">
        <v>100</v>
      </c>
      <c r="R34" s="30"/>
      <c r="S34" s="30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</row>
    <row r="35" spans="1:31">
      <c r="A35" s="30" t="s">
        <v>632</v>
      </c>
      <c r="B35" s="398">
        <f>B28*B32/1000</f>
        <v>4.4003961684829687E-2</v>
      </c>
      <c r="C35" s="398">
        <f t="shared" ref="C35:P35" si="3">C28*C32/1000</f>
        <v>0.18470688116727191</v>
      </c>
      <c r="D35" s="398">
        <f t="shared" si="3"/>
        <v>0.32026779860949217</v>
      </c>
      <c r="E35" s="398">
        <f t="shared" si="3"/>
        <v>0.49831930656762802</v>
      </c>
      <c r="F35" s="398">
        <f t="shared" si="3"/>
        <v>0.38246371372119631</v>
      </c>
      <c r="G35" s="398">
        <f t="shared" si="3"/>
        <v>0.39128374569162988</v>
      </c>
      <c r="H35" s="398">
        <f t="shared" si="3"/>
        <v>0.51259523459831935</v>
      </c>
      <c r="I35" s="398">
        <f t="shared" si="3"/>
        <v>0.59067290964816821</v>
      </c>
      <c r="J35" s="398">
        <f t="shared" si="3"/>
        <v>0.63373013564387959</v>
      </c>
      <c r="K35" s="398">
        <f t="shared" si="3"/>
        <v>0.47404038289942169</v>
      </c>
      <c r="L35" s="398">
        <f t="shared" si="3"/>
        <v>0.59939993155803706</v>
      </c>
      <c r="M35" s="398">
        <f t="shared" si="3"/>
        <v>0</v>
      </c>
      <c r="N35" s="398">
        <f t="shared" si="3"/>
        <v>0</v>
      </c>
      <c r="O35" s="398">
        <f t="shared" si="3"/>
        <v>0</v>
      </c>
      <c r="P35" s="398">
        <f t="shared" si="3"/>
        <v>2.0374459149942479</v>
      </c>
      <c r="Q35" s="30" t="s">
        <v>100</v>
      </c>
      <c r="R35" s="30"/>
      <c r="S35" s="30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</row>
    <row r="36" spans="1:31">
      <c r="A36" s="482"/>
      <c r="B36" s="483"/>
      <c r="C36" s="483"/>
      <c r="D36" s="483"/>
      <c r="E36" s="483"/>
      <c r="F36" s="483"/>
      <c r="G36" s="483"/>
      <c r="H36" s="483"/>
      <c r="I36" s="483"/>
      <c r="J36" s="483"/>
      <c r="K36" s="483"/>
      <c r="L36" s="483"/>
      <c r="M36" s="483"/>
      <c r="N36" s="483"/>
      <c r="O36" s="483"/>
      <c r="P36" s="483"/>
      <c r="Q36" s="483"/>
      <c r="R36" s="483"/>
      <c r="S36" s="484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</row>
    <row r="37" spans="1:31">
      <c r="A37" s="486" t="s">
        <v>551</v>
      </c>
      <c r="B37" s="486">
        <v>2010</v>
      </c>
      <c r="C37" s="486">
        <v>2011</v>
      </c>
      <c r="D37" s="486">
        <v>2012</v>
      </c>
      <c r="E37" s="486">
        <v>2013</v>
      </c>
      <c r="F37" s="486">
        <v>2014</v>
      </c>
      <c r="G37" s="486">
        <v>2015</v>
      </c>
      <c r="H37" s="486">
        <v>2016</v>
      </c>
      <c r="I37" s="94">
        <v>2017</v>
      </c>
      <c r="J37" s="94">
        <v>2018</v>
      </c>
      <c r="K37" s="94">
        <v>2019</v>
      </c>
      <c r="L37" s="94">
        <v>2020</v>
      </c>
      <c r="M37" s="94">
        <v>2021</v>
      </c>
      <c r="N37" s="94">
        <v>2022</v>
      </c>
      <c r="O37" s="94">
        <v>2023</v>
      </c>
      <c r="P37" s="94">
        <v>2024</v>
      </c>
      <c r="Q37" s="94" t="s">
        <v>241</v>
      </c>
      <c r="R37" s="94" t="s">
        <v>242</v>
      </c>
      <c r="S37" s="487" t="s">
        <v>22</v>
      </c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</row>
    <row r="38" spans="1:31">
      <c r="A38" s="192" t="s">
        <v>633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</row>
    <row r="39" spans="1:31" ht="30">
      <c r="A39" s="30" t="s">
        <v>634</v>
      </c>
      <c r="B39" s="153">
        <v>5.0895233064375009</v>
      </c>
      <c r="C39" s="153" t="s">
        <v>635</v>
      </c>
      <c r="D39" s="153" t="s">
        <v>635</v>
      </c>
      <c r="E39" s="153" t="s">
        <v>635</v>
      </c>
      <c r="F39" s="153">
        <v>5.7309118929775327</v>
      </c>
      <c r="G39" s="153" t="s">
        <v>635</v>
      </c>
      <c r="H39" s="153">
        <v>5.5545123180000004</v>
      </c>
      <c r="I39" s="480"/>
      <c r="J39" s="480"/>
      <c r="K39" s="480"/>
      <c r="L39" s="480"/>
      <c r="M39" s="480"/>
      <c r="N39" s="480"/>
      <c r="O39" s="480"/>
      <c r="P39" s="480"/>
      <c r="Q39" s="30" t="s">
        <v>49</v>
      </c>
      <c r="R39" s="490" t="s">
        <v>552</v>
      </c>
      <c r="S39" s="31" t="s">
        <v>553</v>
      </c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</row>
    <row r="40" spans="1:31" ht="30">
      <c r="A40" s="30" t="s">
        <v>636</v>
      </c>
      <c r="B40" s="153">
        <v>1.7539741586249999</v>
      </c>
      <c r="C40" s="153" t="s">
        <v>637</v>
      </c>
      <c r="D40" s="153" t="s">
        <v>637</v>
      </c>
      <c r="E40" s="153" t="s">
        <v>637</v>
      </c>
      <c r="F40" s="153">
        <v>2.0753131011235957</v>
      </c>
      <c r="G40" s="153" t="s">
        <v>635</v>
      </c>
      <c r="H40" s="153">
        <v>1.8878973442500002</v>
      </c>
      <c r="I40" s="480"/>
      <c r="J40" s="480"/>
      <c r="K40" s="480"/>
      <c r="L40" s="480"/>
      <c r="M40" s="480"/>
      <c r="N40" s="480"/>
      <c r="O40" s="480"/>
      <c r="P40" s="480"/>
      <c r="Q40" s="30" t="s">
        <v>49</v>
      </c>
      <c r="R40" s="490" t="s">
        <v>552</v>
      </c>
      <c r="S40" s="31" t="s">
        <v>553</v>
      </c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</row>
    <row r="41" spans="1:31" ht="30">
      <c r="A41" s="30" t="s">
        <v>638</v>
      </c>
      <c r="B41" s="153">
        <v>1.806068690259375</v>
      </c>
      <c r="C41" s="153" t="s">
        <v>635</v>
      </c>
      <c r="D41" s="153" t="s">
        <v>635</v>
      </c>
      <c r="E41" s="153" t="s">
        <v>635</v>
      </c>
      <c r="F41" s="153">
        <v>2.1842772320224721</v>
      </c>
      <c r="G41" s="153" t="s">
        <v>635</v>
      </c>
      <c r="H41" s="153">
        <v>2.04039514275</v>
      </c>
      <c r="I41" s="480"/>
      <c r="J41" s="480"/>
      <c r="K41" s="480"/>
      <c r="L41" s="480"/>
      <c r="M41" s="480"/>
      <c r="N41" s="480"/>
      <c r="O41" s="480"/>
      <c r="P41" s="480"/>
      <c r="Q41" s="30" t="s">
        <v>49</v>
      </c>
      <c r="R41" s="490" t="s">
        <v>552</v>
      </c>
      <c r="S41" s="31" t="s">
        <v>553</v>
      </c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</row>
  </sheetData>
  <mergeCells count="1">
    <mergeCell ref="A1:A2"/>
  </mergeCells>
  <hyperlinks>
    <hyperlink ref="R5" r:id="rId1" xr:uid="{54AD0115-8670-4EBB-8642-AD971462EBE2}"/>
    <hyperlink ref="R6" r:id="rId2" location="/app/downloads" xr:uid="{93A278FC-F451-46BB-A645-4A59EDE6F2B5}"/>
    <hyperlink ref="R17" r:id="rId3" xr:uid="{BDB452A6-DB7F-4A55-9408-CF82949B4D12}"/>
    <hyperlink ref="R18" r:id="rId4" xr:uid="{075F8341-050D-40F4-B69F-B823C4C89600}"/>
    <hyperlink ref="R28" r:id="rId5" xr:uid="{51F3DC6B-61D8-44D0-8207-53CB489EBEDB}"/>
    <hyperlink ref="R31" r:id="rId6" xr:uid="{C4B3BC00-5EDC-4AC5-BBFD-A2F92AEE6D2A}"/>
    <hyperlink ref="R33" r:id="rId7" xr:uid="{67E4FD93-DA4A-45E6-8307-C87156ED2161}"/>
    <hyperlink ref="R39" r:id="rId8" xr:uid="{A13F9719-9B5F-4099-A687-484BEDBFD460}"/>
    <hyperlink ref="R40" r:id="rId9" xr:uid="{E3BD2F4C-14D9-4C6B-9D8F-A4D42D3DB65B}"/>
    <hyperlink ref="R41" r:id="rId10" xr:uid="{87CE4AEB-AC6D-4C04-AA56-42233CB94605}"/>
    <hyperlink ref="R32" r:id="rId11" xr:uid="{4885BF6F-1B32-45B7-8604-AAEC7B570153}"/>
  </hyperlinks>
  <pageMargins left="0.7" right="0.7" top="0.75" bottom="0.75" header="0.3" footer="0.3"/>
  <pageSetup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B57D-F94C-41BA-8050-A4C0C98CF2E8}">
  <sheetPr>
    <tabColor theme="9" tint="-0.499984740745262"/>
  </sheetPr>
  <dimension ref="A1:AE24"/>
  <sheetViews>
    <sheetView zoomScale="85" zoomScaleNormal="85" workbookViewId="0">
      <selection sqref="A1:XFD1048576"/>
    </sheetView>
  </sheetViews>
  <sheetFormatPr defaultColWidth="14.42578125" defaultRowHeight="15"/>
  <cols>
    <col min="1" max="1" width="88.85546875" customWidth="1"/>
    <col min="17" max="17" width="15" customWidth="1"/>
    <col min="18" max="18" width="17.85546875" customWidth="1"/>
    <col min="19" max="19" width="38.42578125" customWidth="1"/>
  </cols>
  <sheetData>
    <row r="1" spans="1:31">
      <c r="A1" s="636" t="s">
        <v>641</v>
      </c>
    </row>
    <row r="2" spans="1:31">
      <c r="A2" s="637"/>
    </row>
    <row r="3" spans="1:31">
      <c r="A3" s="486" t="s">
        <v>19</v>
      </c>
      <c r="B3" s="208">
        <v>2010</v>
      </c>
      <c r="C3" s="208">
        <v>2011</v>
      </c>
      <c r="D3" s="208">
        <v>2012</v>
      </c>
      <c r="E3" s="208">
        <v>2013</v>
      </c>
      <c r="F3" s="208">
        <v>2014</v>
      </c>
      <c r="G3" s="208">
        <v>2015</v>
      </c>
      <c r="H3" s="208">
        <v>2016</v>
      </c>
      <c r="I3" s="208">
        <v>2017</v>
      </c>
      <c r="J3" s="208">
        <v>2018</v>
      </c>
      <c r="K3" s="208">
        <v>2019</v>
      </c>
      <c r="L3" s="208">
        <v>2020</v>
      </c>
      <c r="M3" s="208">
        <v>2021</v>
      </c>
      <c r="N3" s="208">
        <v>2022</v>
      </c>
      <c r="O3" s="208">
        <v>2023</v>
      </c>
      <c r="P3" s="208">
        <v>2024</v>
      </c>
      <c r="Q3" s="208" t="s">
        <v>241</v>
      </c>
      <c r="R3" s="208" t="s">
        <v>242</v>
      </c>
      <c r="S3" s="479" t="s">
        <v>22</v>
      </c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</row>
    <row r="4" spans="1:31">
      <c r="A4" s="30" t="s">
        <v>761</v>
      </c>
      <c r="B4" s="557"/>
      <c r="C4" s="557"/>
      <c r="D4" s="613">
        <v>20.036999999999999</v>
      </c>
      <c r="E4" s="557"/>
      <c r="F4" s="557"/>
      <c r="G4" s="481"/>
      <c r="H4" s="481"/>
      <c r="I4" s="613">
        <v>15.339</v>
      </c>
      <c r="J4" s="481"/>
      <c r="K4" s="481"/>
      <c r="L4" s="481"/>
      <c r="M4" s="481"/>
      <c r="N4" s="613">
        <v>13.590999999999999</v>
      </c>
      <c r="O4" s="481"/>
      <c r="P4" s="481"/>
      <c r="Q4" s="30" t="s">
        <v>49</v>
      </c>
      <c r="R4" s="205" t="s">
        <v>762</v>
      </c>
      <c r="S4" s="130" t="s">
        <v>492</v>
      </c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 spans="1:31">
      <c r="A5" s="560" t="s">
        <v>642</v>
      </c>
      <c r="B5" s="503">
        <v>5.3689999999999998</v>
      </c>
      <c r="C5" s="503">
        <v>5.4509999999999996</v>
      </c>
      <c r="D5" s="503">
        <v>6.2590000000000003</v>
      </c>
      <c r="E5" s="503">
        <v>8.0760000000000005</v>
      </c>
      <c r="F5" s="503">
        <v>7.1379999999999999</v>
      </c>
      <c r="G5" s="503">
        <v>8.4589999999999996</v>
      </c>
      <c r="H5" s="503">
        <v>6.69</v>
      </c>
      <c r="I5" s="503">
        <v>5.6289999999999996</v>
      </c>
      <c r="J5" s="503">
        <v>5.69</v>
      </c>
      <c r="K5" s="503">
        <v>5.2649999999999997</v>
      </c>
      <c r="L5" s="503">
        <v>5.88</v>
      </c>
      <c r="M5" s="503">
        <v>7.3049999999999997</v>
      </c>
      <c r="N5" s="503">
        <v>6.3250000000000002</v>
      </c>
      <c r="O5" s="503">
        <v>7.1950000000000003</v>
      </c>
      <c r="P5" s="503">
        <v>6.3150000000000004</v>
      </c>
      <c r="Q5" s="564" t="s">
        <v>562</v>
      </c>
      <c r="R5" s="565" t="s">
        <v>653</v>
      </c>
      <c r="S5" s="561" t="s">
        <v>492</v>
      </c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 spans="1:31">
      <c r="A6" s="482"/>
      <c r="B6" s="562"/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3"/>
      <c r="R6" s="563"/>
      <c r="S6" s="484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spans="1:31">
      <c r="A7" s="486" t="s">
        <v>37</v>
      </c>
      <c r="B7" s="225">
        <v>2010</v>
      </c>
      <c r="C7" s="225">
        <v>2011</v>
      </c>
      <c r="D7" s="225">
        <v>2012</v>
      </c>
      <c r="E7" s="225">
        <v>2013</v>
      </c>
      <c r="F7" s="225">
        <v>2014</v>
      </c>
      <c r="G7" s="225">
        <v>2015</v>
      </c>
      <c r="H7" s="225">
        <v>2016</v>
      </c>
      <c r="I7" s="208">
        <v>2017</v>
      </c>
      <c r="J7" s="208">
        <v>2018</v>
      </c>
      <c r="K7" s="208">
        <v>2019</v>
      </c>
      <c r="L7" s="208">
        <v>2020</v>
      </c>
      <c r="M7" s="208">
        <v>2021</v>
      </c>
      <c r="N7" s="208">
        <v>2022</v>
      </c>
      <c r="O7" s="208">
        <v>2023</v>
      </c>
      <c r="P7" s="208">
        <v>2024</v>
      </c>
      <c r="Q7" s="94" t="s">
        <v>241</v>
      </c>
      <c r="R7" s="94" t="s">
        <v>242</v>
      </c>
      <c r="S7" s="487" t="s">
        <v>22</v>
      </c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spans="1:31" ht="30">
      <c r="A8" s="499" t="s">
        <v>643</v>
      </c>
      <c r="B8" s="503">
        <v>9.5401250000000015</v>
      </c>
      <c r="C8" s="503">
        <v>8.6365999999999996</v>
      </c>
      <c r="D8" s="503">
        <v>5.3248250000000006</v>
      </c>
      <c r="E8" s="503">
        <v>6.1935500000000001</v>
      </c>
      <c r="F8" s="503">
        <v>9.8082750000000019</v>
      </c>
      <c r="G8" s="503">
        <v>10.814375</v>
      </c>
      <c r="H8" s="503">
        <v>14.918775</v>
      </c>
      <c r="I8" s="503">
        <v>12.006525000000002</v>
      </c>
      <c r="J8" s="503">
        <v>9.0467750000000002</v>
      </c>
      <c r="K8" s="503">
        <v>9.1246500000000008</v>
      </c>
      <c r="L8" s="503">
        <v>8.5365000000000002</v>
      </c>
      <c r="M8" s="503">
        <v>9.3239999999999998</v>
      </c>
      <c r="N8" s="503">
        <v>11.195250000000001</v>
      </c>
      <c r="O8" s="503">
        <v>4.6946250000000003</v>
      </c>
      <c r="P8" s="503">
        <v>7.9436250000000008</v>
      </c>
      <c r="Q8" s="410" t="s">
        <v>49</v>
      </c>
      <c r="R8" s="491" t="s">
        <v>604</v>
      </c>
      <c r="S8" s="31" t="s">
        <v>657</v>
      </c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</row>
    <row r="9" spans="1:31" ht="30">
      <c r="A9" s="499" t="s">
        <v>645</v>
      </c>
      <c r="B9" s="503">
        <v>5.7737250000000007</v>
      </c>
      <c r="C9" s="503">
        <v>5.1932499999999999</v>
      </c>
      <c r="D9" s="503">
        <v>3.8546500000000004</v>
      </c>
      <c r="E9" s="503">
        <v>4.7204500000000005</v>
      </c>
      <c r="F9" s="503">
        <v>4.0640000000000001</v>
      </c>
      <c r="G9" s="503">
        <v>2.4206250000000002</v>
      </c>
      <c r="H9" s="503">
        <v>6.0317500000000006</v>
      </c>
      <c r="I9" s="503">
        <v>6.18445</v>
      </c>
      <c r="J9" s="503">
        <v>4.0534999999999997</v>
      </c>
      <c r="K9" s="503">
        <v>6.1146250000000002</v>
      </c>
      <c r="L9" s="503">
        <v>4.2964250000000002</v>
      </c>
      <c r="M9" s="503">
        <v>2.5960750000000004</v>
      </c>
      <c r="N9" s="503">
        <v>3.1256250000000003</v>
      </c>
      <c r="O9" s="503">
        <v>2.544775</v>
      </c>
      <c r="P9" s="503">
        <v>1.880725</v>
      </c>
      <c r="Q9" s="566" t="s">
        <v>49</v>
      </c>
      <c r="R9" s="491" t="s">
        <v>604</v>
      </c>
      <c r="S9" s="31" t="s">
        <v>657</v>
      </c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spans="1:31" ht="30">
      <c r="A10" s="499" t="s">
        <v>646</v>
      </c>
      <c r="B10" s="503">
        <v>1.25E-4</v>
      </c>
      <c r="C10" s="503">
        <v>7.5000000000000002E-4</v>
      </c>
      <c r="D10" s="503">
        <v>2.6250000000000002E-3</v>
      </c>
      <c r="E10" s="503">
        <v>0.23932500000000001</v>
      </c>
      <c r="F10" s="503">
        <v>2.2499999999999998E-3</v>
      </c>
      <c r="G10" s="503">
        <v>9.4000000000000004E-3</v>
      </c>
      <c r="H10" s="503">
        <v>0.114675</v>
      </c>
      <c r="I10" s="503">
        <v>4.3525000000000008E-2</v>
      </c>
      <c r="J10" s="503">
        <v>5.0449999999999995E-2</v>
      </c>
      <c r="K10" s="503">
        <v>9.7500000000000006E-4</v>
      </c>
      <c r="L10" s="503">
        <v>1.2500000000000002E-3</v>
      </c>
      <c r="M10" s="503">
        <v>7.2500000000000006E-4</v>
      </c>
      <c r="N10" s="503">
        <v>3.2499999999999999E-4</v>
      </c>
      <c r="O10" s="503">
        <v>2.0000000000000001E-4</v>
      </c>
      <c r="P10" s="503">
        <v>5.2500000000000008E-4</v>
      </c>
      <c r="Q10" s="566" t="s">
        <v>49</v>
      </c>
      <c r="R10" s="491" t="s">
        <v>604</v>
      </c>
      <c r="S10" s="31" t="s">
        <v>657</v>
      </c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 spans="1:31" ht="30">
      <c r="A11" s="499" t="s">
        <v>647</v>
      </c>
      <c r="B11" s="503">
        <v>4.1033250000000008</v>
      </c>
      <c r="C11" s="503">
        <v>3.7888500000000001</v>
      </c>
      <c r="D11" s="503">
        <v>1.58525</v>
      </c>
      <c r="E11" s="503">
        <v>1.9074000000000002</v>
      </c>
      <c r="F11" s="503">
        <v>5.2745500000000005</v>
      </c>
      <c r="G11" s="503">
        <v>8.7937250000000002</v>
      </c>
      <c r="H11" s="503">
        <v>8.5461250000000017</v>
      </c>
      <c r="I11" s="503">
        <v>5.9449250000000005</v>
      </c>
      <c r="J11" s="503">
        <v>5.0088500000000007</v>
      </c>
      <c r="K11" s="503">
        <v>2.2908249999999999</v>
      </c>
      <c r="L11" s="503">
        <v>5.0804749999999999</v>
      </c>
      <c r="M11" s="503">
        <v>6.9730750000000006</v>
      </c>
      <c r="N11" s="503">
        <v>7.395975</v>
      </c>
      <c r="O11" s="503">
        <v>2.7260500000000003</v>
      </c>
      <c r="P11" s="503">
        <v>5.8515750000000004</v>
      </c>
      <c r="Q11" s="90" t="s">
        <v>49</v>
      </c>
      <c r="R11" s="491" t="s">
        <v>604</v>
      </c>
      <c r="S11" s="31" t="s">
        <v>657</v>
      </c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 spans="1:31" ht="30">
      <c r="A12" s="499" t="s">
        <v>607</v>
      </c>
      <c r="B12" s="503">
        <v>1.3678000000000001</v>
      </c>
      <c r="C12" s="503">
        <v>1.0310000000000001</v>
      </c>
      <c r="D12" s="503">
        <v>0.68625000000000003</v>
      </c>
      <c r="E12" s="503">
        <v>0.57380000000000009</v>
      </c>
      <c r="F12" s="503">
        <v>0.37882500000000002</v>
      </c>
      <c r="G12" s="503">
        <v>0.8508</v>
      </c>
      <c r="H12" s="503">
        <v>0.460225</v>
      </c>
      <c r="I12" s="503">
        <v>0.91579999999999995</v>
      </c>
      <c r="J12" s="503">
        <v>0.83647500000000008</v>
      </c>
      <c r="K12" s="503">
        <v>0.87135000000000007</v>
      </c>
      <c r="L12" s="503">
        <v>1.5915250000000001</v>
      </c>
      <c r="M12" s="503">
        <v>0.75237500000000002</v>
      </c>
      <c r="N12" s="503">
        <v>0.50795000000000001</v>
      </c>
      <c r="O12" s="503">
        <v>1.1819250000000001</v>
      </c>
      <c r="P12" s="503">
        <v>0.60592500000000005</v>
      </c>
      <c r="Q12" s="410" t="s">
        <v>49</v>
      </c>
      <c r="R12" s="491" t="s">
        <v>604</v>
      </c>
      <c r="S12" s="31" t="s">
        <v>657</v>
      </c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 spans="1:31" ht="30">
      <c r="A13" s="499" t="s">
        <v>608</v>
      </c>
      <c r="B13" s="503">
        <v>1.0310000000000001</v>
      </c>
      <c r="C13" s="503">
        <v>0.68625000000000003</v>
      </c>
      <c r="D13" s="503">
        <v>0.57380000000000009</v>
      </c>
      <c r="E13" s="503">
        <v>0.37882500000000002</v>
      </c>
      <c r="F13" s="503">
        <v>0.8508</v>
      </c>
      <c r="G13" s="503">
        <v>0.460225</v>
      </c>
      <c r="H13" s="503">
        <v>0.91579999999999995</v>
      </c>
      <c r="I13" s="503">
        <v>0.83647500000000008</v>
      </c>
      <c r="J13" s="503">
        <v>0.87135000000000007</v>
      </c>
      <c r="K13" s="503">
        <v>1.5915250000000001</v>
      </c>
      <c r="L13" s="503">
        <v>0.75237500000000002</v>
      </c>
      <c r="M13" s="503">
        <v>0.50795000000000001</v>
      </c>
      <c r="N13" s="503">
        <v>1.1819250000000001</v>
      </c>
      <c r="O13" s="503">
        <v>0.60592500000000005</v>
      </c>
      <c r="P13" s="503">
        <v>0.81777500000000003</v>
      </c>
      <c r="Q13" s="410" t="s">
        <v>49</v>
      </c>
      <c r="R13" s="491" t="s">
        <v>604</v>
      </c>
      <c r="S13" s="31" t="s">
        <v>657</v>
      </c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spans="1:31">
      <c r="A14" s="192" t="s">
        <v>609</v>
      </c>
      <c r="B14" s="567"/>
      <c r="C14" s="567"/>
      <c r="D14" s="567"/>
      <c r="E14" s="567"/>
      <c r="F14" s="567"/>
      <c r="G14" s="567"/>
      <c r="H14" s="567"/>
      <c r="I14" s="567"/>
      <c r="J14" s="567"/>
      <c r="K14" s="567"/>
      <c r="L14" s="567"/>
      <c r="M14" s="567"/>
      <c r="N14" s="567"/>
      <c r="O14" s="567"/>
      <c r="P14" s="567"/>
      <c r="Q14" s="30"/>
      <c r="R14" s="30"/>
      <c r="S14" s="30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</row>
    <row r="15" spans="1:31" ht="30">
      <c r="A15" s="499" t="s">
        <v>648</v>
      </c>
      <c r="B15" s="569">
        <v>3.5237250000000007</v>
      </c>
      <c r="C15" s="569">
        <v>3.0682500000000004</v>
      </c>
      <c r="D15" s="569">
        <v>1.7296500000000004</v>
      </c>
      <c r="E15" s="569">
        <v>2.3370500000000001</v>
      </c>
      <c r="F15" s="569">
        <v>2.3168250000000001</v>
      </c>
      <c r="G15" s="569">
        <v>2.0453749999999999</v>
      </c>
      <c r="H15" s="569">
        <v>2.6080500000000004</v>
      </c>
      <c r="I15" s="569">
        <v>3.3191000000000006</v>
      </c>
      <c r="J15" s="569">
        <v>2.543425</v>
      </c>
      <c r="K15" s="569">
        <v>3.4742500000000001</v>
      </c>
      <c r="L15" s="569">
        <v>2.4173749999999998</v>
      </c>
      <c r="M15" s="569">
        <v>2.4265000000000003</v>
      </c>
      <c r="N15" s="569">
        <v>1.9988000000000001</v>
      </c>
      <c r="O15" s="569">
        <v>1.0619500000000002</v>
      </c>
      <c r="P15" s="569">
        <v>1.2735250000000002</v>
      </c>
      <c r="Q15" s="410" t="s">
        <v>49</v>
      </c>
      <c r="R15" s="491" t="s">
        <v>604</v>
      </c>
      <c r="S15" s="31" t="s">
        <v>657</v>
      </c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 spans="1:31" ht="30">
      <c r="A16" s="499" t="s">
        <v>649</v>
      </c>
      <c r="B16" s="569">
        <v>2.2314250000000002</v>
      </c>
      <c r="C16" s="569">
        <v>2.1087500000000001</v>
      </c>
      <c r="D16" s="569">
        <v>2.1056500000000002</v>
      </c>
      <c r="E16" s="569">
        <v>2.3586749999999999</v>
      </c>
      <c r="F16" s="569">
        <v>1.7252500000000002</v>
      </c>
      <c r="G16" s="569">
        <v>0.349275</v>
      </c>
      <c r="H16" s="569">
        <v>3.4034750000000003</v>
      </c>
      <c r="I16" s="569">
        <v>2.8480500000000002</v>
      </c>
      <c r="J16" s="569">
        <v>1.4924500000000001</v>
      </c>
      <c r="K16" s="569">
        <v>2.6240500000000004</v>
      </c>
      <c r="L16" s="569">
        <v>1.8604250000000002</v>
      </c>
      <c r="M16" s="569">
        <v>0.14695</v>
      </c>
      <c r="N16" s="569">
        <v>1.10395</v>
      </c>
      <c r="O16" s="569">
        <v>1.4596750000000001</v>
      </c>
      <c r="P16" s="569">
        <v>0.58762499999999995</v>
      </c>
      <c r="Q16" s="410" t="s">
        <v>49</v>
      </c>
      <c r="R16" s="491" t="s">
        <v>604</v>
      </c>
      <c r="S16" s="31" t="s">
        <v>657</v>
      </c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 spans="1:31" ht="30">
      <c r="A17" s="499" t="s">
        <v>658</v>
      </c>
      <c r="B17" s="569">
        <v>1.8575000000000001E-2</v>
      </c>
      <c r="C17" s="569">
        <v>1.6250000000000001E-2</v>
      </c>
      <c r="D17" s="569">
        <v>1.9350000000000003E-2</v>
      </c>
      <c r="E17" s="569">
        <v>2.4725E-2</v>
      </c>
      <c r="F17" s="569">
        <v>2.1925E-2</v>
      </c>
      <c r="G17" s="569">
        <v>2.5974999999999998E-2</v>
      </c>
      <c r="H17" s="569">
        <v>2.0225000000000003E-2</v>
      </c>
      <c r="I17" s="569">
        <v>1.7299999999999999E-2</v>
      </c>
      <c r="J17" s="569">
        <v>1.7624999999999998E-2</v>
      </c>
      <c r="K17" s="569">
        <v>1.6325000000000003E-2</v>
      </c>
      <c r="L17" s="569">
        <v>1.8624999999999999E-2</v>
      </c>
      <c r="M17" s="569">
        <v>2.2625000000000003E-2</v>
      </c>
      <c r="N17" s="569">
        <v>2.2875000000000003E-2</v>
      </c>
      <c r="O17" s="569">
        <v>2.3150000000000004E-2</v>
      </c>
      <c r="P17" s="569">
        <v>1.9575000000000002E-2</v>
      </c>
      <c r="Q17" s="410" t="s">
        <v>49</v>
      </c>
      <c r="R17" s="491" t="s">
        <v>604</v>
      </c>
      <c r="S17" s="31" t="s">
        <v>657</v>
      </c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 spans="1:31">
      <c r="A18" s="499" t="s">
        <v>650</v>
      </c>
      <c r="B18" s="568"/>
      <c r="C18" s="568"/>
      <c r="D18" s="568"/>
      <c r="E18" s="568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8"/>
      <c r="Q18" s="500"/>
      <c r="R18" s="500"/>
      <c r="S18" s="410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 spans="1:31">
      <c r="A19" s="30" t="s">
        <v>651</v>
      </c>
      <c r="B19" s="558"/>
      <c r="C19" s="558"/>
      <c r="D19" s="558"/>
      <c r="E19" s="558"/>
      <c r="F19" s="558"/>
      <c r="G19" s="558"/>
      <c r="H19" s="558"/>
      <c r="I19" s="558"/>
      <c r="J19" s="558"/>
      <c r="K19" s="558"/>
      <c r="L19" s="558"/>
      <c r="M19" s="558"/>
      <c r="N19" s="558"/>
      <c r="O19" s="558"/>
      <c r="P19" s="558"/>
      <c r="Q19" s="30" t="s">
        <v>100</v>
      </c>
      <c r="R19" s="30"/>
      <c r="S19" s="30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 spans="1:31">
      <c r="A20" s="482"/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3"/>
      <c r="N20" s="483"/>
      <c r="O20" s="483"/>
      <c r="P20" s="483"/>
      <c r="Q20" s="483"/>
      <c r="R20" s="483"/>
      <c r="S20" s="484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spans="1:31">
      <c r="A21" s="486" t="s">
        <v>51</v>
      </c>
      <c r="B21" s="486">
        <v>2010</v>
      </c>
      <c r="C21" s="486">
        <v>2011</v>
      </c>
      <c r="D21" s="486">
        <v>2012</v>
      </c>
      <c r="E21" s="486">
        <v>2013</v>
      </c>
      <c r="F21" s="486">
        <v>2014</v>
      </c>
      <c r="G21" s="486">
        <v>2015</v>
      </c>
      <c r="H21" s="486">
        <v>2016</v>
      </c>
      <c r="I21" s="94">
        <v>2017</v>
      </c>
      <c r="J21" s="94">
        <v>2018</v>
      </c>
      <c r="K21" s="94">
        <v>2019</v>
      </c>
      <c r="L21" s="94">
        <v>2020</v>
      </c>
      <c r="M21" s="94">
        <v>2021</v>
      </c>
      <c r="N21" s="94">
        <v>2022</v>
      </c>
      <c r="O21" s="94">
        <v>2023</v>
      </c>
      <c r="P21" s="94">
        <v>2024</v>
      </c>
      <c r="Q21" s="94" t="s">
        <v>241</v>
      </c>
      <c r="R21" s="94" t="s">
        <v>242</v>
      </c>
      <c r="S21" s="487" t="s">
        <v>22</v>
      </c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 spans="1:31" ht="30">
      <c r="A22" s="30" t="s">
        <v>652</v>
      </c>
      <c r="B22" s="299">
        <v>198</v>
      </c>
      <c r="C22" s="299">
        <v>236</v>
      </c>
      <c r="D22" s="299">
        <v>249</v>
      </c>
      <c r="E22" s="299">
        <v>168</v>
      </c>
      <c r="F22" s="299">
        <v>159</v>
      </c>
      <c r="G22" s="299">
        <v>130</v>
      </c>
      <c r="H22" s="299">
        <v>110</v>
      </c>
      <c r="I22" s="299">
        <v>125</v>
      </c>
      <c r="J22" s="299">
        <v>185</v>
      </c>
      <c r="K22" s="299">
        <v>188</v>
      </c>
      <c r="L22" s="299">
        <v>190</v>
      </c>
      <c r="M22" s="299">
        <v>212</v>
      </c>
      <c r="N22" s="299">
        <v>296</v>
      </c>
      <c r="O22" s="299">
        <v>296</v>
      </c>
      <c r="P22" s="299">
        <v>252</v>
      </c>
      <c r="Q22" s="30" t="s">
        <v>562</v>
      </c>
      <c r="R22" s="490" t="s">
        <v>655</v>
      </c>
      <c r="S22" s="31" t="s">
        <v>654</v>
      </c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 spans="1:31">
      <c r="A23" s="499" t="s">
        <v>644</v>
      </c>
      <c r="B23" s="503">
        <v>1.616773</v>
      </c>
      <c r="C23" s="503">
        <v>1.2596350000000001</v>
      </c>
      <c r="D23" s="503">
        <v>1.6062369999999999</v>
      </c>
      <c r="E23" s="503">
        <v>1.7169270000000001</v>
      </c>
      <c r="F23" s="503">
        <v>1.72133</v>
      </c>
      <c r="G23" s="503">
        <v>2.064638</v>
      </c>
      <c r="H23" s="503">
        <v>1.352438</v>
      </c>
      <c r="I23" s="503">
        <v>1.168526</v>
      </c>
      <c r="J23" s="503">
        <v>1.180847</v>
      </c>
      <c r="K23" s="503">
        <v>1.125759</v>
      </c>
      <c r="L23" s="503">
        <v>1.767844</v>
      </c>
      <c r="M23" s="503">
        <v>2.6662170000000001</v>
      </c>
      <c r="N23" s="503">
        <v>1.2469060000000001</v>
      </c>
      <c r="O23" s="503">
        <v>1.5567029999999999</v>
      </c>
      <c r="P23" s="503">
        <v>1.4547110000000001</v>
      </c>
      <c r="Q23" s="410" t="s">
        <v>562</v>
      </c>
      <c r="R23" s="490" t="s">
        <v>656</v>
      </c>
      <c r="S23" s="130" t="s">
        <v>492</v>
      </c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 spans="1:31">
      <c r="A24" s="48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3"/>
      <c r="P24" s="563"/>
      <c r="Q24" s="483"/>
      <c r="R24" s="483"/>
      <c r="S24" s="484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</sheetData>
  <mergeCells count="1">
    <mergeCell ref="A1:A2"/>
  </mergeCells>
  <hyperlinks>
    <hyperlink ref="R9" r:id="rId1" xr:uid="{98D0BAC4-4AF0-4AFF-A9E9-F33A5B56B59A}"/>
    <hyperlink ref="R10" r:id="rId2" xr:uid="{50968EBC-0FB3-4134-9278-4F828627BBF0}"/>
    <hyperlink ref="R11" r:id="rId3" xr:uid="{3E77FBF2-D998-4B84-9ADD-A9716713B2DE}"/>
    <hyperlink ref="R12" r:id="rId4" xr:uid="{C21CC294-2928-4DC9-82DD-C294944F55B5}"/>
    <hyperlink ref="R13" r:id="rId5" xr:uid="{C9E7BC36-82E4-4903-AE3B-13AA8BAAC043}"/>
    <hyperlink ref="R8" r:id="rId6" xr:uid="{9C3FE8EA-7AD0-4524-9267-C0C61BF82CED}"/>
    <hyperlink ref="R15" r:id="rId7" xr:uid="{1CBC64EA-AEEA-4024-8B1B-994F0F17187B}"/>
    <hyperlink ref="R16" r:id="rId8" xr:uid="{73DCB0D4-2AFF-4524-9F41-B5989FA3B803}"/>
    <hyperlink ref="R17" r:id="rId9" xr:uid="{36A55A4D-DB31-4B01-9364-944BEAD01C09}"/>
  </hyperlinks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D86B-11A9-492E-AC62-BAA79DEF512B}">
  <sheetPr>
    <tabColor theme="9" tint="-0.499984740745262"/>
  </sheetPr>
  <dimension ref="A1:AE22"/>
  <sheetViews>
    <sheetView zoomScale="70" zoomScaleNormal="70" workbookViewId="0">
      <selection sqref="A1:XFD1048576"/>
    </sheetView>
  </sheetViews>
  <sheetFormatPr defaultColWidth="14.42578125" defaultRowHeight="15"/>
  <cols>
    <col min="1" max="1" width="88.85546875" customWidth="1"/>
    <col min="17" max="17" width="15" customWidth="1"/>
    <col min="18" max="18" width="17.85546875" customWidth="1"/>
    <col min="19" max="19" width="38.42578125" customWidth="1"/>
  </cols>
  <sheetData>
    <row r="1" spans="1:31">
      <c r="A1" s="636" t="s">
        <v>659</v>
      </c>
    </row>
    <row r="2" spans="1:31">
      <c r="A2" s="637"/>
    </row>
    <row r="3" spans="1:31">
      <c r="A3" s="486" t="s">
        <v>19</v>
      </c>
      <c r="B3" s="208">
        <v>2010</v>
      </c>
      <c r="C3" s="208">
        <v>2011</v>
      </c>
      <c r="D3" s="208">
        <v>2012</v>
      </c>
      <c r="E3" s="208">
        <v>2013</v>
      </c>
      <c r="F3" s="208">
        <v>2014</v>
      </c>
      <c r="G3" s="208">
        <v>2015</v>
      </c>
      <c r="H3" s="208">
        <v>2016</v>
      </c>
      <c r="I3" s="208">
        <v>2017</v>
      </c>
      <c r="J3" s="208">
        <v>2018</v>
      </c>
      <c r="K3" s="208">
        <v>2019</v>
      </c>
      <c r="L3" s="208">
        <v>2020</v>
      </c>
      <c r="M3" s="208">
        <v>2021</v>
      </c>
      <c r="N3" s="208">
        <v>2022</v>
      </c>
      <c r="O3" s="208">
        <v>2023</v>
      </c>
      <c r="P3" s="208">
        <v>2024</v>
      </c>
      <c r="Q3" s="208" t="s">
        <v>241</v>
      </c>
      <c r="R3" s="208" t="s">
        <v>242</v>
      </c>
      <c r="S3" s="479" t="s">
        <v>22</v>
      </c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</row>
    <row r="4" spans="1:31">
      <c r="A4" s="30" t="s">
        <v>763</v>
      </c>
      <c r="B4" s="557"/>
      <c r="C4" s="557"/>
      <c r="D4" s="613">
        <v>18.667000000000002</v>
      </c>
      <c r="E4" s="557"/>
      <c r="F4" s="557"/>
      <c r="G4" s="481"/>
      <c r="H4" s="481"/>
      <c r="I4" s="613">
        <v>11.188000000000001</v>
      </c>
      <c r="J4" s="481"/>
      <c r="K4" s="481"/>
      <c r="L4" s="481"/>
      <c r="M4" s="481"/>
      <c r="N4" s="613">
        <v>9.1120000000000001</v>
      </c>
      <c r="O4" s="481"/>
      <c r="P4" s="481"/>
      <c r="Q4" s="30" t="s">
        <v>49</v>
      </c>
      <c r="R4" s="205" t="s">
        <v>764</v>
      </c>
      <c r="S4" s="130" t="s">
        <v>492</v>
      </c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 spans="1:31">
      <c r="A5" s="560" t="s">
        <v>660</v>
      </c>
      <c r="B5" s="503">
        <v>2.8719999999999999</v>
      </c>
      <c r="C5" s="503">
        <v>2.5640000000000001</v>
      </c>
      <c r="D5" s="503">
        <v>3.66</v>
      </c>
      <c r="E5" s="503">
        <v>3.528</v>
      </c>
      <c r="F5" s="503">
        <v>3.0310000000000001</v>
      </c>
      <c r="G5" s="503">
        <v>3.5830000000000002</v>
      </c>
      <c r="H5" s="503">
        <v>3.0590000000000002</v>
      </c>
      <c r="I5" s="503">
        <v>2.4860000000000002</v>
      </c>
      <c r="J5" s="503">
        <v>2.4940000000000002</v>
      </c>
      <c r="K5" s="503">
        <v>2.7669999999999999</v>
      </c>
      <c r="L5" s="503">
        <v>2.7269999999999999</v>
      </c>
      <c r="M5" s="503">
        <v>2.7069999999999999</v>
      </c>
      <c r="N5" s="503">
        <v>2.927</v>
      </c>
      <c r="O5" s="503">
        <v>3.109</v>
      </c>
      <c r="P5" s="503">
        <v>2.3809999999999998</v>
      </c>
      <c r="Q5" s="564" t="s">
        <v>562</v>
      </c>
      <c r="R5" s="565" t="s">
        <v>671</v>
      </c>
      <c r="S5" s="561" t="s">
        <v>492</v>
      </c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 spans="1:31">
      <c r="A6" s="482"/>
      <c r="B6" s="562"/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3"/>
      <c r="R6" s="563"/>
      <c r="S6" s="484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spans="1:31">
      <c r="A7" s="486" t="s">
        <v>37</v>
      </c>
      <c r="B7" s="225">
        <v>2010</v>
      </c>
      <c r="C7" s="225">
        <v>2011</v>
      </c>
      <c r="D7" s="225">
        <v>2012</v>
      </c>
      <c r="E7" s="225">
        <v>2013</v>
      </c>
      <c r="F7" s="225">
        <v>2014</v>
      </c>
      <c r="G7" s="225">
        <v>2015</v>
      </c>
      <c r="H7" s="225">
        <v>2016</v>
      </c>
      <c r="I7" s="208">
        <v>2017</v>
      </c>
      <c r="J7" s="208">
        <v>2018</v>
      </c>
      <c r="K7" s="208">
        <v>2019</v>
      </c>
      <c r="L7" s="208">
        <v>2020</v>
      </c>
      <c r="M7" s="208">
        <v>2021</v>
      </c>
      <c r="N7" s="208">
        <v>2022</v>
      </c>
      <c r="O7" s="208">
        <v>2023</v>
      </c>
      <c r="P7" s="208">
        <v>2024</v>
      </c>
      <c r="Q7" s="94" t="s">
        <v>241</v>
      </c>
      <c r="R7" s="94" t="s">
        <v>242</v>
      </c>
      <c r="S7" s="487" t="s">
        <v>22</v>
      </c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spans="1:31" ht="30">
      <c r="A8" s="499" t="s">
        <v>661</v>
      </c>
      <c r="B8" s="503">
        <v>4.7586630000000003</v>
      </c>
      <c r="C8" s="503">
        <v>3.7850610000000007</v>
      </c>
      <c r="D8" s="503">
        <v>3.2505480000000002</v>
      </c>
      <c r="E8" s="503">
        <v>4.5987900000000002</v>
      </c>
      <c r="F8" s="503">
        <v>4.5516450000000006</v>
      </c>
      <c r="G8" s="503">
        <v>3.8123820000000004</v>
      </c>
      <c r="H8" s="503">
        <v>4.5819270000000003</v>
      </c>
      <c r="I8" s="503">
        <v>4.198194</v>
      </c>
      <c r="J8" s="503">
        <v>3.0084180000000003</v>
      </c>
      <c r="K8" s="503">
        <v>3.1766490000000003</v>
      </c>
      <c r="L8" s="503">
        <v>3.6205889999999998</v>
      </c>
      <c r="M8" s="503">
        <v>3.5849100000000003</v>
      </c>
      <c r="N8" s="503">
        <v>2.5324530000000003</v>
      </c>
      <c r="O8" s="503">
        <v>3.65232</v>
      </c>
      <c r="P8" s="503">
        <v>3.9086670000000003</v>
      </c>
      <c r="Q8" s="410" t="s">
        <v>49</v>
      </c>
      <c r="R8" s="491" t="s">
        <v>604</v>
      </c>
      <c r="S8" s="31" t="s">
        <v>670</v>
      </c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</row>
    <row r="9" spans="1:31" ht="30">
      <c r="A9" s="499" t="s">
        <v>662</v>
      </c>
      <c r="B9" s="503">
        <v>4.4262120000000005</v>
      </c>
      <c r="C9" s="503">
        <v>4.3744050000000003</v>
      </c>
      <c r="D9" s="503">
        <v>4.0228229999999998</v>
      </c>
      <c r="E9" s="503">
        <v>4.4732730000000007</v>
      </c>
      <c r="F9" s="503">
        <v>4.6066020000000005</v>
      </c>
      <c r="G9" s="503">
        <v>4.0842480000000005</v>
      </c>
      <c r="H9" s="503">
        <v>4.2511560000000008</v>
      </c>
      <c r="I9" s="503">
        <v>4.2193199999999997</v>
      </c>
      <c r="J9" s="503">
        <v>3.3429690000000001</v>
      </c>
      <c r="K9" s="503">
        <v>3.3530490000000004</v>
      </c>
      <c r="L9" s="503">
        <v>3.686445</v>
      </c>
      <c r="M9" s="503">
        <v>3.722817</v>
      </c>
      <c r="N9" s="503">
        <v>3.4063680000000001</v>
      </c>
      <c r="O9" s="503">
        <v>3.4981380000000004</v>
      </c>
      <c r="P9" s="503">
        <v>3.8231760000000006</v>
      </c>
      <c r="Q9" s="566" t="s">
        <v>49</v>
      </c>
      <c r="R9" s="491" t="s">
        <v>604</v>
      </c>
      <c r="S9" s="31" t="s">
        <v>670</v>
      </c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spans="1:31" ht="30">
      <c r="A10" s="499" t="s">
        <v>666</v>
      </c>
      <c r="B10" s="503">
        <v>0.34851600000000005</v>
      </c>
      <c r="C10" s="503">
        <v>0.199374</v>
      </c>
      <c r="D10" s="503">
        <v>0.34137600000000001</v>
      </c>
      <c r="E10" s="503">
        <v>0.48909000000000002</v>
      </c>
      <c r="F10" s="503">
        <v>0.39370800000000006</v>
      </c>
      <c r="G10" s="503">
        <v>0.49494900000000003</v>
      </c>
      <c r="H10" s="503">
        <v>0.39020100000000002</v>
      </c>
      <c r="I10" s="503">
        <v>0.20233500000000001</v>
      </c>
      <c r="J10" s="503">
        <v>0.19179299999999999</v>
      </c>
      <c r="K10" s="503">
        <v>0.12333300000000001</v>
      </c>
      <c r="L10" s="503">
        <v>0.148953</v>
      </c>
      <c r="M10" s="503">
        <v>0.13673100000000002</v>
      </c>
      <c r="N10" s="503">
        <v>0.30870000000000003</v>
      </c>
      <c r="O10" s="503">
        <v>0.49242900000000006</v>
      </c>
      <c r="P10" s="503">
        <v>0.27925800000000001</v>
      </c>
      <c r="Q10" s="566" t="s">
        <v>49</v>
      </c>
      <c r="R10" s="491" t="s">
        <v>604</v>
      </c>
      <c r="S10" s="31" t="s">
        <v>670</v>
      </c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 spans="1:31" ht="30">
      <c r="A11" s="499" t="s">
        <v>667</v>
      </c>
      <c r="B11" s="503">
        <v>0.118881</v>
      </c>
      <c r="C11" s="503">
        <v>0.15913800000000003</v>
      </c>
      <c r="D11" s="503">
        <v>0.18574500000000002</v>
      </c>
      <c r="E11" s="503">
        <v>0.185997</v>
      </c>
      <c r="F11" s="503">
        <v>0.29973300000000003</v>
      </c>
      <c r="G11" s="503">
        <v>0.30027900000000002</v>
      </c>
      <c r="H11" s="503">
        <v>0.22682100000000002</v>
      </c>
      <c r="I11" s="503">
        <v>9.1875000000000012E-2</v>
      </c>
      <c r="J11" s="503">
        <v>0.106785</v>
      </c>
      <c r="K11" s="503">
        <v>0.103551</v>
      </c>
      <c r="L11" s="503">
        <v>0.12026700000000001</v>
      </c>
      <c r="M11" s="503">
        <v>0.28935900000000003</v>
      </c>
      <c r="N11" s="503">
        <v>0.15426600000000001</v>
      </c>
      <c r="O11" s="503">
        <v>4.4688000000000005E-2</v>
      </c>
      <c r="P11" s="503">
        <v>0.104811</v>
      </c>
      <c r="Q11" s="90" t="s">
        <v>49</v>
      </c>
      <c r="R11" s="491" t="s">
        <v>604</v>
      </c>
      <c r="S11" s="31" t="s">
        <v>670</v>
      </c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 spans="1:31" ht="30">
      <c r="A12" s="499" t="s">
        <v>607</v>
      </c>
      <c r="B12" s="503">
        <v>1.8633930000000003</v>
      </c>
      <c r="C12" s="503">
        <v>2.4254790000000002</v>
      </c>
      <c r="D12" s="503">
        <v>1.876371</v>
      </c>
      <c r="E12" s="503">
        <v>1.259727</v>
      </c>
      <c r="F12" s="503">
        <v>1.6883370000000002</v>
      </c>
      <c r="G12" s="503">
        <v>1.727355</v>
      </c>
      <c r="H12" s="503">
        <v>1.6501589999999999</v>
      </c>
      <c r="I12" s="503">
        <v>2.1443099999999999</v>
      </c>
      <c r="J12" s="503">
        <v>2.2336440000000004</v>
      </c>
      <c r="K12" s="503">
        <v>1.9841010000000001</v>
      </c>
      <c r="L12" s="503">
        <v>1.827483</v>
      </c>
      <c r="M12" s="503">
        <v>1.790313</v>
      </c>
      <c r="N12" s="503">
        <v>1.4997780000000003</v>
      </c>
      <c r="O12" s="503">
        <v>0.78029700000000002</v>
      </c>
      <c r="P12" s="503">
        <v>1.38222</v>
      </c>
      <c r="Q12" s="410" t="s">
        <v>49</v>
      </c>
      <c r="R12" s="491" t="s">
        <v>604</v>
      </c>
      <c r="S12" s="31" t="s">
        <v>670</v>
      </c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 spans="1:31" ht="30">
      <c r="A13" s="499" t="s">
        <v>608</v>
      </c>
      <c r="B13" s="503">
        <v>2.4254790000000002</v>
      </c>
      <c r="C13" s="503">
        <v>1.876371</v>
      </c>
      <c r="D13" s="503">
        <v>1.259727</v>
      </c>
      <c r="E13" s="503">
        <v>1.6883370000000002</v>
      </c>
      <c r="F13" s="503">
        <v>1.727355</v>
      </c>
      <c r="G13" s="503">
        <v>1.6501589999999999</v>
      </c>
      <c r="H13" s="503">
        <v>2.1443099999999999</v>
      </c>
      <c r="I13" s="503">
        <v>2.2336440000000004</v>
      </c>
      <c r="J13" s="503">
        <v>1.9841010000000001</v>
      </c>
      <c r="K13" s="503">
        <v>1.827483</v>
      </c>
      <c r="L13" s="503">
        <v>1.790313</v>
      </c>
      <c r="M13" s="503">
        <v>1.4997780000000003</v>
      </c>
      <c r="N13" s="503">
        <v>0.78029700000000002</v>
      </c>
      <c r="O13" s="503">
        <v>1.38222</v>
      </c>
      <c r="P13" s="503">
        <v>1.642158</v>
      </c>
      <c r="Q13" s="410" t="s">
        <v>49</v>
      </c>
      <c r="R13" s="491" t="s">
        <v>604</v>
      </c>
      <c r="S13" s="31" t="s">
        <v>670</v>
      </c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spans="1:31">
      <c r="A14" s="192" t="s">
        <v>609</v>
      </c>
      <c r="B14" s="567"/>
      <c r="C14" s="567"/>
      <c r="D14" s="567"/>
      <c r="E14" s="567"/>
      <c r="F14" s="567"/>
      <c r="G14" s="567"/>
      <c r="H14" s="567"/>
      <c r="I14" s="567"/>
      <c r="J14" s="567"/>
      <c r="K14" s="567"/>
      <c r="L14" s="567"/>
      <c r="M14" s="567"/>
      <c r="N14" s="567"/>
      <c r="O14" s="567"/>
      <c r="P14" s="567"/>
      <c r="Q14" s="30"/>
      <c r="R14" s="30"/>
      <c r="S14" s="30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</row>
    <row r="15" spans="1:31" ht="30">
      <c r="A15" s="499" t="s">
        <v>663</v>
      </c>
      <c r="B15" s="503">
        <v>0.98802900000000005</v>
      </c>
      <c r="C15" s="503">
        <v>1.0455270000000001</v>
      </c>
      <c r="D15" s="503">
        <v>0.76782300000000014</v>
      </c>
      <c r="E15" s="503">
        <v>1.3902630000000002</v>
      </c>
      <c r="F15" s="503">
        <v>1.3836270000000002</v>
      </c>
      <c r="G15" s="503">
        <v>0.72143400000000002</v>
      </c>
      <c r="H15" s="503">
        <v>0.92807400000000007</v>
      </c>
      <c r="I15" s="503">
        <v>0.94823400000000013</v>
      </c>
      <c r="J15" s="503">
        <v>0.15592500000000001</v>
      </c>
      <c r="K15" s="503">
        <v>0.236733</v>
      </c>
      <c r="L15" s="503">
        <v>0.71011500000000005</v>
      </c>
      <c r="M15" s="503">
        <v>0.643293</v>
      </c>
      <c r="N15" s="503">
        <v>0.61538400000000004</v>
      </c>
      <c r="O15" s="503">
        <v>0.73332000000000008</v>
      </c>
      <c r="P15" s="503">
        <v>1.1825100000000002</v>
      </c>
      <c r="Q15" s="410" t="s">
        <v>49</v>
      </c>
      <c r="R15" s="491" t="s">
        <v>604</v>
      </c>
      <c r="S15" s="31" t="s">
        <v>670</v>
      </c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 spans="1:31" ht="30">
      <c r="A16" s="499" t="s">
        <v>664</v>
      </c>
      <c r="B16" s="503">
        <v>3.3332880000000005</v>
      </c>
      <c r="C16" s="503">
        <v>3.2282880000000005</v>
      </c>
      <c r="D16" s="503">
        <v>3.1284120000000004</v>
      </c>
      <c r="E16" s="503">
        <v>2.9614830000000003</v>
      </c>
      <c r="F16" s="503">
        <v>3.1149300000000006</v>
      </c>
      <c r="G16" s="503">
        <v>3.2392500000000002</v>
      </c>
      <c r="H16" s="503">
        <v>3.2147220000000001</v>
      </c>
      <c r="I16" s="503">
        <v>3.1832850000000006</v>
      </c>
      <c r="J16" s="503">
        <v>3.096975</v>
      </c>
      <c r="K16" s="503">
        <v>3.0185400000000002</v>
      </c>
      <c r="L16" s="503">
        <v>2.880255</v>
      </c>
      <c r="M16" s="503">
        <v>2.9834280000000004</v>
      </c>
      <c r="N16" s="503">
        <v>2.6879789999999999</v>
      </c>
      <c r="O16" s="503">
        <v>2.655408</v>
      </c>
      <c r="P16" s="503">
        <v>2.556603</v>
      </c>
      <c r="Q16" s="410" t="s">
        <v>49</v>
      </c>
      <c r="R16" s="491" t="s">
        <v>604</v>
      </c>
      <c r="S16" s="31" t="s">
        <v>670</v>
      </c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 spans="1:31" ht="30">
      <c r="A17" s="499" t="s">
        <v>668</v>
      </c>
      <c r="B17" s="503">
        <v>0.104895</v>
      </c>
      <c r="C17" s="503">
        <v>0.10059000000000001</v>
      </c>
      <c r="D17" s="503">
        <v>0.12658800000000001</v>
      </c>
      <c r="E17" s="503">
        <v>0.12152700000000001</v>
      </c>
      <c r="F17" s="503">
        <v>0.108045</v>
      </c>
      <c r="G17" s="503">
        <v>0.12356400000000002</v>
      </c>
      <c r="H17" s="503">
        <v>0.10836000000000001</v>
      </c>
      <c r="I17" s="503">
        <v>8.7801000000000004E-2</v>
      </c>
      <c r="J17" s="503">
        <v>9.0068999999999996E-2</v>
      </c>
      <c r="K17" s="503">
        <v>9.7776000000000002E-2</v>
      </c>
      <c r="L17" s="503">
        <v>9.6075000000000008E-2</v>
      </c>
      <c r="M17" s="503">
        <v>9.6096000000000001E-2</v>
      </c>
      <c r="N17" s="503">
        <v>0.10300500000000001</v>
      </c>
      <c r="O17" s="503">
        <v>0.10941000000000001</v>
      </c>
      <c r="P17" s="503">
        <v>8.4063000000000013E-2</v>
      </c>
      <c r="Q17" s="410" t="s">
        <v>49</v>
      </c>
      <c r="R17" s="491" t="s">
        <v>604</v>
      </c>
      <c r="S17" s="31" t="s">
        <v>670</v>
      </c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 spans="1:31">
      <c r="A18" s="482"/>
      <c r="B18" s="483"/>
      <c r="C18" s="483"/>
      <c r="D18" s="483"/>
      <c r="E18" s="483"/>
      <c r="F18" s="483"/>
      <c r="G18" s="483"/>
      <c r="H18" s="483"/>
      <c r="I18" s="483"/>
      <c r="J18" s="483"/>
      <c r="K18" s="483"/>
      <c r="L18" s="483"/>
      <c r="M18" s="483"/>
      <c r="N18" s="483"/>
      <c r="O18" s="483"/>
      <c r="P18" s="483"/>
      <c r="Q18" s="483"/>
      <c r="R18" s="483"/>
      <c r="S18" s="484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 spans="1:31">
      <c r="A19" s="486" t="s">
        <v>51</v>
      </c>
      <c r="B19" s="225">
        <v>2010</v>
      </c>
      <c r="C19" s="225">
        <v>2011</v>
      </c>
      <c r="D19" s="225">
        <v>2012</v>
      </c>
      <c r="E19" s="225">
        <v>2013</v>
      </c>
      <c r="F19" s="225">
        <v>2014</v>
      </c>
      <c r="G19" s="225">
        <v>2015</v>
      </c>
      <c r="H19" s="225">
        <v>2016</v>
      </c>
      <c r="I19" s="208">
        <v>2017</v>
      </c>
      <c r="J19" s="208">
        <v>2018</v>
      </c>
      <c r="K19" s="208">
        <v>2019</v>
      </c>
      <c r="L19" s="208">
        <v>2020</v>
      </c>
      <c r="M19" s="208">
        <v>2021</v>
      </c>
      <c r="N19" s="208">
        <v>2022</v>
      </c>
      <c r="O19" s="208">
        <v>2023</v>
      </c>
      <c r="P19" s="208">
        <v>2024</v>
      </c>
      <c r="Q19" s="94" t="s">
        <v>241</v>
      </c>
      <c r="R19" s="94" t="s">
        <v>242</v>
      </c>
      <c r="S19" s="487" t="s">
        <v>22</v>
      </c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 spans="1:31" ht="30">
      <c r="A20" s="499" t="s">
        <v>669</v>
      </c>
      <c r="B20" s="299">
        <v>190.47619047619045</v>
      </c>
      <c r="C20" s="299">
        <v>228.09523809523807</v>
      </c>
      <c r="D20" s="299">
        <v>284.76190476190476</v>
      </c>
      <c r="E20" s="299">
        <v>298.09523809523807</v>
      </c>
      <c r="F20" s="299">
        <v>269.04761904761904</v>
      </c>
      <c r="G20" s="299">
        <v>249.52380952380952</v>
      </c>
      <c r="H20" s="299">
        <v>246.19047619047618</v>
      </c>
      <c r="I20" s="299">
        <v>222.85714285714283</v>
      </c>
      <c r="J20" s="299">
        <v>215.23809523809521</v>
      </c>
      <c r="K20" s="299">
        <v>223.8095238095238</v>
      </c>
      <c r="L20" s="299">
        <v>224.28571428571428</v>
      </c>
      <c r="M20" s="299">
        <v>239.52380952380952</v>
      </c>
      <c r="N20" s="299">
        <v>314.28571428571428</v>
      </c>
      <c r="O20" s="299">
        <v>349.99999999999994</v>
      </c>
      <c r="P20" s="299">
        <v>325.23809523809524</v>
      </c>
      <c r="Q20" s="410" t="s">
        <v>562</v>
      </c>
      <c r="R20" s="490" t="s">
        <v>672</v>
      </c>
      <c r="S20" s="31" t="s">
        <v>670</v>
      </c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spans="1:31">
      <c r="A21" s="499" t="s">
        <v>665</v>
      </c>
      <c r="B21" s="503">
        <v>0.69157299999999999</v>
      </c>
      <c r="C21" s="503">
        <v>0.80874100000000004</v>
      </c>
      <c r="D21" s="503">
        <v>1.371381</v>
      </c>
      <c r="E21" s="503">
        <v>1.265798</v>
      </c>
      <c r="F21" s="503">
        <v>0.91495499999999996</v>
      </c>
      <c r="G21" s="503">
        <v>1.149831</v>
      </c>
      <c r="H21" s="503">
        <v>0.94987600000000005</v>
      </c>
      <c r="I21" s="503">
        <v>0.62418399999999996</v>
      </c>
      <c r="J21" s="503">
        <v>0.68896299999999999</v>
      </c>
      <c r="K21" s="503">
        <v>0.78841899999999998</v>
      </c>
      <c r="L21" s="503">
        <v>0.78735100000000002</v>
      </c>
      <c r="M21" s="503">
        <v>0.66527000000000003</v>
      </c>
      <c r="N21" s="503">
        <v>1.1607179999999999</v>
      </c>
      <c r="O21" s="503">
        <v>1.3294919999999999</v>
      </c>
      <c r="P21" s="503">
        <v>0.89987899999999998</v>
      </c>
      <c r="Q21" s="410" t="s">
        <v>562</v>
      </c>
      <c r="R21" s="490" t="s">
        <v>673</v>
      </c>
      <c r="S21" s="130" t="s">
        <v>492</v>
      </c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 spans="1:31">
      <c r="A22" s="482"/>
      <c r="B22" s="563"/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3"/>
      <c r="N22" s="563"/>
      <c r="O22" s="563"/>
      <c r="P22" s="563"/>
      <c r="Q22" s="483"/>
      <c r="R22" s="483"/>
      <c r="S22" s="484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</sheetData>
  <mergeCells count="1">
    <mergeCell ref="A1:A2"/>
  </mergeCells>
  <hyperlinks>
    <hyperlink ref="R9" r:id="rId1" xr:uid="{A7968870-E435-4FD5-8026-BE74684847E9}"/>
    <hyperlink ref="R10" r:id="rId2" xr:uid="{85C2C612-C08B-4943-854A-241B89D85573}"/>
    <hyperlink ref="R11" r:id="rId3" xr:uid="{619B2225-641A-46E6-B3D6-334673893EC2}"/>
    <hyperlink ref="R12" r:id="rId4" xr:uid="{B07A6C80-99C4-4954-A408-33F1F6FB4A6F}"/>
    <hyperlink ref="R13" r:id="rId5" xr:uid="{C1840CDD-1689-4D69-BF50-B6E9A715F521}"/>
    <hyperlink ref="R8" r:id="rId6" xr:uid="{980E0C62-17B5-4C9E-B7E5-FF3D3BBCC4E3}"/>
    <hyperlink ref="R15" r:id="rId7" xr:uid="{86D31D14-5489-4FFA-B725-F05AB9F61C1E}"/>
    <hyperlink ref="R16" r:id="rId8" xr:uid="{8B32C0B5-4745-4840-813D-C80BA5DF5EFA}"/>
    <hyperlink ref="R17" r:id="rId9" xr:uid="{75A8D6A8-F53A-4035-99CC-B6C7DB79BFD7}"/>
  </hyperlinks>
  <pageMargins left="0.7" right="0.7" top="0.75" bottom="0.75" header="0.3" footer="0.3"/>
  <pageSetup orientation="portrait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ADE8-005F-49F2-8C5C-399FDA73956D}">
  <sheetPr>
    <tabColor theme="9" tint="-0.499984740745262"/>
  </sheetPr>
  <dimension ref="A1:AE97"/>
  <sheetViews>
    <sheetView workbookViewId="0">
      <selection sqref="A1:XFD1048576"/>
    </sheetView>
  </sheetViews>
  <sheetFormatPr defaultColWidth="8.85546875" defaultRowHeight="15"/>
  <cols>
    <col min="1" max="1" width="64.140625" style="571" customWidth="1"/>
    <col min="2" max="16" width="11.7109375" style="570" customWidth="1"/>
    <col min="17" max="17" width="25" style="571" bestFit="1" customWidth="1"/>
    <col min="18" max="18" width="99.140625" style="571" bestFit="1" customWidth="1"/>
    <col min="19" max="19" width="37.42578125" style="571" customWidth="1"/>
    <col min="20" max="16384" width="8.85546875" style="571"/>
  </cols>
  <sheetData>
    <row r="1" spans="1:31">
      <c r="A1" s="638" t="s">
        <v>674</v>
      </c>
    </row>
    <row r="2" spans="1:31">
      <c r="A2" s="638"/>
      <c r="Q2" s="572"/>
    </row>
    <row r="3" spans="1:31" s="570" customFormat="1">
      <c r="A3" s="573" t="s">
        <v>19</v>
      </c>
      <c r="B3" s="208">
        <v>2010</v>
      </c>
      <c r="C3" s="208">
        <v>2011</v>
      </c>
      <c r="D3" s="208">
        <v>2012</v>
      </c>
      <c r="E3" s="208">
        <v>2013</v>
      </c>
      <c r="F3" s="208">
        <v>2014</v>
      </c>
      <c r="G3" s="208">
        <v>2015</v>
      </c>
      <c r="H3" s="208">
        <v>2016</v>
      </c>
      <c r="I3" s="208">
        <v>2017</v>
      </c>
      <c r="J3" s="208">
        <v>2018</v>
      </c>
      <c r="K3" s="208">
        <v>2019</v>
      </c>
      <c r="L3" s="208">
        <v>2020</v>
      </c>
      <c r="M3" s="208">
        <v>2021</v>
      </c>
      <c r="N3" s="208">
        <v>2022</v>
      </c>
      <c r="O3" s="208">
        <v>2023</v>
      </c>
      <c r="P3" s="208">
        <v>2024</v>
      </c>
      <c r="Q3" s="593" t="s">
        <v>241</v>
      </c>
      <c r="R3" s="575" t="s">
        <v>242</v>
      </c>
      <c r="S3" s="575" t="s">
        <v>22</v>
      </c>
    </row>
    <row r="4" spans="1:31" customFormat="1">
      <c r="A4" s="30" t="s">
        <v>765</v>
      </c>
      <c r="B4" s="557"/>
      <c r="C4" s="557"/>
      <c r="D4" s="613">
        <v>147.63200000000001</v>
      </c>
      <c r="E4" s="557"/>
      <c r="F4" s="557"/>
      <c r="G4" s="481"/>
      <c r="H4" s="481"/>
      <c r="I4" s="613">
        <v>104.792</v>
      </c>
      <c r="J4" s="481"/>
      <c r="K4" s="481"/>
      <c r="L4" s="481"/>
      <c r="M4" s="481"/>
      <c r="N4" s="613">
        <v>97.013999999999996</v>
      </c>
      <c r="O4" s="481"/>
      <c r="P4" s="481"/>
      <c r="Q4" s="30" t="s">
        <v>49</v>
      </c>
      <c r="R4" s="205" t="s">
        <v>768</v>
      </c>
      <c r="S4" s="130" t="s">
        <v>492</v>
      </c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 spans="1:31">
      <c r="A5" s="576" t="s">
        <v>675</v>
      </c>
      <c r="B5" s="354">
        <v>52.62</v>
      </c>
      <c r="C5" s="354">
        <v>54.277000000000001</v>
      </c>
      <c r="D5" s="354">
        <v>55.293999999999997</v>
      </c>
      <c r="E5" s="354">
        <v>56.235999999999997</v>
      </c>
      <c r="F5" s="354">
        <v>56.841000000000001</v>
      </c>
      <c r="G5" s="354">
        <v>54.999000000000002</v>
      </c>
      <c r="H5" s="354">
        <v>50.116</v>
      </c>
      <c r="I5" s="354">
        <v>46.052</v>
      </c>
      <c r="J5" s="354">
        <v>47.82</v>
      </c>
      <c r="K5" s="354">
        <v>45.484999999999999</v>
      </c>
      <c r="L5" s="354">
        <v>44.45</v>
      </c>
      <c r="M5" s="354">
        <v>46.74</v>
      </c>
      <c r="N5" s="354">
        <v>45.768999999999998</v>
      </c>
      <c r="O5" s="354">
        <v>49.575000000000003</v>
      </c>
      <c r="P5" s="354">
        <v>46.274000000000001</v>
      </c>
      <c r="Q5" s="578" t="s">
        <v>49</v>
      </c>
      <c r="R5" s="579" t="s">
        <v>676</v>
      </c>
      <c r="S5" s="561" t="s">
        <v>492</v>
      </c>
    </row>
    <row r="6" spans="1:31">
      <c r="A6" s="581"/>
      <c r="B6" s="582"/>
      <c r="C6" s="582"/>
      <c r="D6" s="582"/>
      <c r="E6" s="582"/>
      <c r="F6" s="582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3"/>
      <c r="R6" s="583"/>
      <c r="S6" s="584"/>
    </row>
    <row r="7" spans="1:31" s="570" customFormat="1">
      <c r="A7" s="573" t="s">
        <v>37</v>
      </c>
      <c r="B7" s="208">
        <v>2010</v>
      </c>
      <c r="C7" s="208">
        <v>2011</v>
      </c>
      <c r="D7" s="208">
        <v>2012</v>
      </c>
      <c r="E7" s="208">
        <v>2013</v>
      </c>
      <c r="F7" s="208">
        <v>2014</v>
      </c>
      <c r="G7" s="208">
        <v>2015</v>
      </c>
      <c r="H7" s="208">
        <v>2016</v>
      </c>
      <c r="I7" s="208">
        <v>2017</v>
      </c>
      <c r="J7" s="208">
        <v>2018</v>
      </c>
      <c r="K7" s="208">
        <v>2019</v>
      </c>
      <c r="L7" s="208">
        <v>2020</v>
      </c>
      <c r="M7" s="208">
        <v>2021</v>
      </c>
      <c r="N7" s="208">
        <v>2022</v>
      </c>
      <c r="O7" s="208">
        <v>2023</v>
      </c>
      <c r="P7" s="208">
        <v>2024</v>
      </c>
      <c r="Q7" s="574" t="s">
        <v>241</v>
      </c>
      <c r="R7" s="575" t="s">
        <v>242</v>
      </c>
      <c r="S7" s="585" t="s">
        <v>22</v>
      </c>
    </row>
    <row r="8" spans="1:31">
      <c r="A8" s="576" t="s">
        <v>678</v>
      </c>
      <c r="B8" s="354">
        <v>58.868000000000002</v>
      </c>
      <c r="C8" s="354">
        <v>54.244</v>
      </c>
      <c r="D8" s="354">
        <v>61.298000000000002</v>
      </c>
      <c r="E8" s="354">
        <v>58.104999999999997</v>
      </c>
      <c r="F8" s="354">
        <v>55.146999999999998</v>
      </c>
      <c r="G8" s="354">
        <v>56.116999999999997</v>
      </c>
      <c r="H8" s="354">
        <v>62.832000000000001</v>
      </c>
      <c r="I8" s="354">
        <v>47.38</v>
      </c>
      <c r="J8" s="354">
        <v>51.311</v>
      </c>
      <c r="K8" s="354">
        <v>52.581000000000003</v>
      </c>
      <c r="L8" s="354">
        <v>49.523000000000003</v>
      </c>
      <c r="M8" s="354">
        <v>44.804000000000002</v>
      </c>
      <c r="N8" s="354">
        <v>44.898000000000003</v>
      </c>
      <c r="O8" s="354">
        <v>49.094999999999999</v>
      </c>
      <c r="P8" s="354">
        <v>53.850999999999999</v>
      </c>
      <c r="Q8" s="578" t="s">
        <v>49</v>
      </c>
      <c r="R8" s="547" t="s">
        <v>600</v>
      </c>
      <c r="S8" s="580" t="s">
        <v>677</v>
      </c>
    </row>
    <row r="9" spans="1:31">
      <c r="A9" s="576" t="s">
        <v>679</v>
      </c>
      <c r="B9" s="354">
        <v>29.423999999999999</v>
      </c>
      <c r="C9" s="354">
        <v>31.992999999999999</v>
      </c>
      <c r="D9" s="354">
        <v>37.81</v>
      </c>
      <c r="E9" s="354">
        <v>34.26</v>
      </c>
      <c r="F9" s="354">
        <v>31.327999999999999</v>
      </c>
      <c r="G9" s="354">
        <v>31.943000000000001</v>
      </c>
      <c r="H9" s="354">
        <v>31.864999999999998</v>
      </c>
      <c r="I9" s="354">
        <v>29.245000000000001</v>
      </c>
      <c r="J9" s="354">
        <v>29.991</v>
      </c>
      <c r="K9" s="354">
        <v>30.437000000000001</v>
      </c>
      <c r="L9" s="354">
        <v>30.184999999999999</v>
      </c>
      <c r="M9" s="354">
        <v>30.411000000000001</v>
      </c>
      <c r="N9" s="354">
        <v>30.361000000000001</v>
      </c>
      <c r="O9" s="354">
        <v>30.18</v>
      </c>
      <c r="P9" s="354">
        <v>31.234999999999999</v>
      </c>
      <c r="Q9" s="578" t="s">
        <v>49</v>
      </c>
      <c r="R9" s="547" t="s">
        <v>600</v>
      </c>
      <c r="S9" s="580" t="s">
        <v>680</v>
      </c>
    </row>
    <row r="10" spans="1:31">
      <c r="A10" s="576" t="s">
        <v>681</v>
      </c>
      <c r="B10" s="354">
        <v>2.6379999999999999</v>
      </c>
      <c r="C10" s="354">
        <v>3.0790000000000002</v>
      </c>
      <c r="D10" s="354">
        <v>3.383</v>
      </c>
      <c r="E10" s="354">
        <v>4.694</v>
      </c>
      <c r="F10" s="354">
        <v>4.1159999999999997</v>
      </c>
      <c r="G10" s="354">
        <v>3.069</v>
      </c>
      <c r="H10" s="354">
        <v>3.2120000000000002</v>
      </c>
      <c r="I10" s="354">
        <v>4.2990000000000004</v>
      </c>
      <c r="J10" s="354">
        <v>3.6619999999999999</v>
      </c>
      <c r="K10" s="354">
        <v>2.8279999999999998</v>
      </c>
      <c r="L10" s="354">
        <v>2.726</v>
      </c>
      <c r="M10" s="354">
        <v>2.617</v>
      </c>
      <c r="N10" s="354">
        <v>3.3090000000000002</v>
      </c>
      <c r="O10" s="354">
        <v>3.75</v>
      </c>
      <c r="P10" s="354">
        <v>4.0540000000000003</v>
      </c>
      <c r="Q10" s="578" t="s">
        <v>49</v>
      </c>
      <c r="R10" s="547" t="s">
        <v>600</v>
      </c>
      <c r="S10" s="580" t="s">
        <v>680</v>
      </c>
    </row>
    <row r="11" spans="1:31">
      <c r="A11" s="576" t="s">
        <v>682</v>
      </c>
      <c r="B11" s="354">
        <v>35.146999999999998</v>
      </c>
      <c r="C11" s="354">
        <v>28.606000000000002</v>
      </c>
      <c r="D11" s="354">
        <v>27.544</v>
      </c>
      <c r="E11" s="354">
        <v>32.012</v>
      </c>
      <c r="F11" s="354">
        <v>23.523</v>
      </c>
      <c r="G11" s="354">
        <v>21.167999999999999</v>
      </c>
      <c r="H11" s="354">
        <v>28.6</v>
      </c>
      <c r="I11" s="354">
        <v>24.658000000000001</v>
      </c>
      <c r="J11" s="354">
        <v>25.503</v>
      </c>
      <c r="K11" s="354">
        <v>26.373000000000001</v>
      </c>
      <c r="L11" s="354">
        <v>27.047999999999998</v>
      </c>
      <c r="M11" s="354">
        <v>21.655999999999999</v>
      </c>
      <c r="N11" s="354">
        <v>20.7</v>
      </c>
      <c r="O11" s="354">
        <v>19.212</v>
      </c>
      <c r="P11" s="354">
        <v>22.477</v>
      </c>
      <c r="Q11" s="578" t="s">
        <v>49</v>
      </c>
      <c r="R11" s="547" t="s">
        <v>600</v>
      </c>
      <c r="S11" s="580" t="s">
        <v>680</v>
      </c>
    </row>
    <row r="12" spans="1:31">
      <c r="A12" s="576" t="s">
        <v>607</v>
      </c>
      <c r="B12" s="354">
        <v>26.552</v>
      </c>
      <c r="C12" s="354">
        <v>23.486999999999998</v>
      </c>
      <c r="D12" s="354">
        <v>20.210999999999999</v>
      </c>
      <c r="E12" s="354">
        <v>19.538</v>
      </c>
      <c r="F12" s="354">
        <v>16.065000000000001</v>
      </c>
      <c r="G12" s="354">
        <v>20.477</v>
      </c>
      <c r="H12" s="354">
        <v>26.552</v>
      </c>
      <c r="I12" s="354">
        <v>32.131</v>
      </c>
      <c r="J12" s="354">
        <v>29.907</v>
      </c>
      <c r="K12" s="354">
        <v>29.385999999999999</v>
      </c>
      <c r="L12" s="354">
        <v>27.984999999999999</v>
      </c>
      <c r="M12" s="354">
        <v>23.001000000000001</v>
      </c>
      <c r="N12" s="354">
        <v>18.355</v>
      </c>
      <c r="O12" s="354">
        <v>15.500999999999999</v>
      </c>
      <c r="P12" s="354">
        <v>18.954000000000001</v>
      </c>
      <c r="Q12" s="578" t="s">
        <v>49</v>
      </c>
      <c r="R12" s="579" t="s">
        <v>600</v>
      </c>
      <c r="S12" s="580" t="s">
        <v>677</v>
      </c>
    </row>
    <row r="13" spans="1:31">
      <c r="A13" s="576" t="s">
        <v>608</v>
      </c>
      <c r="B13" s="354">
        <v>23.486999999999998</v>
      </c>
      <c r="C13" s="354">
        <v>20.210999999999999</v>
      </c>
      <c r="D13" s="354">
        <v>19.538</v>
      </c>
      <c r="E13" s="354">
        <v>16.065000000000001</v>
      </c>
      <c r="F13" s="354">
        <v>20.477</v>
      </c>
      <c r="G13" s="354">
        <v>26.552</v>
      </c>
      <c r="H13" s="354">
        <v>32.131</v>
      </c>
      <c r="I13" s="354">
        <v>29.907</v>
      </c>
      <c r="J13" s="354">
        <v>29.385999999999999</v>
      </c>
      <c r="K13" s="354">
        <v>27.984999999999999</v>
      </c>
      <c r="L13" s="354">
        <v>23.001000000000001</v>
      </c>
      <c r="M13" s="354">
        <v>18.355</v>
      </c>
      <c r="N13" s="354">
        <v>15.500999999999999</v>
      </c>
      <c r="O13" s="354">
        <v>18.954000000000001</v>
      </c>
      <c r="P13" s="354">
        <v>23.146999999999998</v>
      </c>
      <c r="Q13" s="578" t="s">
        <v>49</v>
      </c>
      <c r="R13" s="579" t="s">
        <v>600</v>
      </c>
      <c r="S13" s="580" t="s">
        <v>677</v>
      </c>
    </row>
    <row r="14" spans="1:31">
      <c r="A14" s="581"/>
      <c r="B14" s="586"/>
      <c r="C14" s="586"/>
      <c r="D14" s="586"/>
      <c r="E14" s="586"/>
      <c r="F14" s="586"/>
      <c r="G14" s="586"/>
      <c r="H14" s="586"/>
      <c r="I14" s="586"/>
      <c r="J14" s="586"/>
      <c r="K14" s="586"/>
      <c r="L14" s="586"/>
      <c r="M14" s="586"/>
      <c r="N14" s="586"/>
      <c r="O14" s="586"/>
      <c r="P14" s="586"/>
      <c r="Q14" s="583"/>
      <c r="R14" s="583"/>
      <c r="S14" s="584"/>
    </row>
    <row r="15" spans="1:31" s="570" customFormat="1">
      <c r="A15" s="587" t="s">
        <v>51</v>
      </c>
      <c r="B15" s="208">
        <v>2010</v>
      </c>
      <c r="C15" s="208">
        <v>2011</v>
      </c>
      <c r="D15" s="208">
        <v>2012</v>
      </c>
      <c r="E15" s="208">
        <v>2013</v>
      </c>
      <c r="F15" s="208">
        <v>2014</v>
      </c>
      <c r="G15" s="208">
        <v>2015</v>
      </c>
      <c r="H15" s="208">
        <v>2016</v>
      </c>
      <c r="I15" s="208">
        <v>2017</v>
      </c>
      <c r="J15" s="208">
        <v>2018</v>
      </c>
      <c r="K15" s="208">
        <v>2019</v>
      </c>
      <c r="L15" s="208">
        <v>2020</v>
      </c>
      <c r="M15" s="208">
        <v>2021</v>
      </c>
      <c r="N15" s="208">
        <v>2022</v>
      </c>
      <c r="O15" s="208">
        <v>2023</v>
      </c>
      <c r="P15" s="208">
        <v>2024</v>
      </c>
      <c r="Q15" s="574" t="s">
        <v>241</v>
      </c>
      <c r="R15" s="575" t="s">
        <v>242</v>
      </c>
      <c r="S15" s="585" t="s">
        <v>22</v>
      </c>
    </row>
    <row r="16" spans="1:31" ht="30">
      <c r="A16" s="576" t="s">
        <v>683</v>
      </c>
      <c r="B16" s="354">
        <v>189.62962962962965</v>
      </c>
      <c r="C16" s="354">
        <v>275.5555555555556</v>
      </c>
      <c r="D16" s="354">
        <v>281.48148148148147</v>
      </c>
      <c r="E16" s="354">
        <v>271.11111111111114</v>
      </c>
      <c r="F16" s="354">
        <v>234.44444444444446</v>
      </c>
      <c r="G16" s="354">
        <v>195.55555555555557</v>
      </c>
      <c r="H16" s="354">
        <v>152.22222222222223</v>
      </c>
      <c r="I16" s="354">
        <v>164.44444444444446</v>
      </c>
      <c r="J16" s="354">
        <v>190.37037037037035</v>
      </c>
      <c r="K16" s="354">
        <v>175.55555555555557</v>
      </c>
      <c r="L16" s="354">
        <v>180</v>
      </c>
      <c r="M16" s="354">
        <v>253.33333333333334</v>
      </c>
      <c r="N16" s="354">
        <v>344.44444444444446</v>
      </c>
      <c r="O16" s="354">
        <v>284.07407407407408</v>
      </c>
      <c r="P16" s="354">
        <v>214.81481481481481</v>
      </c>
      <c r="Q16" s="578" t="s">
        <v>562</v>
      </c>
      <c r="R16" s="588" t="s">
        <v>684</v>
      </c>
      <c r="S16" s="580" t="s">
        <v>695</v>
      </c>
    </row>
    <row r="17" spans="1:19">
      <c r="A17" s="576" t="s">
        <v>685</v>
      </c>
      <c r="B17" s="299">
        <v>12.579124999999999</v>
      </c>
      <c r="C17" s="299">
        <v>14.269225</v>
      </c>
      <c r="D17" s="299">
        <v>17.383149</v>
      </c>
      <c r="E17" s="299">
        <v>14.604442000000001</v>
      </c>
      <c r="F17" s="299">
        <v>11.914954</v>
      </c>
      <c r="G17" s="299">
        <v>10.018323000000001</v>
      </c>
      <c r="H17" s="299">
        <v>9.1791900000000002</v>
      </c>
      <c r="I17" s="299">
        <v>8.2551190000000005</v>
      </c>
      <c r="J17" s="299">
        <v>9.6632499999999997</v>
      </c>
      <c r="K17" s="299">
        <v>8.919117</v>
      </c>
      <c r="L17" s="299">
        <v>9.345872</v>
      </c>
      <c r="M17" s="299">
        <v>12.208186</v>
      </c>
      <c r="N17" s="299">
        <v>14.213326</v>
      </c>
      <c r="O17" s="299">
        <v>12.259414</v>
      </c>
      <c r="P17" s="299">
        <v>10.928966000000001</v>
      </c>
      <c r="Q17" s="578" t="s">
        <v>562</v>
      </c>
      <c r="R17" s="547" t="s">
        <v>686</v>
      </c>
      <c r="S17" s="141" t="s">
        <v>492</v>
      </c>
    </row>
    <row r="18" spans="1:19">
      <c r="A18" s="589"/>
    </row>
    <row r="19" spans="1:19">
      <c r="A19" s="589"/>
    </row>
    <row r="20" spans="1:19">
      <c r="A20" s="589"/>
    </row>
    <row r="21" spans="1:19">
      <c r="A21" s="589"/>
    </row>
    <row r="22" spans="1:19">
      <c r="A22" s="589"/>
    </row>
    <row r="23" spans="1:19">
      <c r="A23" s="589"/>
    </row>
    <row r="24" spans="1:19">
      <c r="A24" s="589"/>
    </row>
    <row r="25" spans="1:19">
      <c r="A25" s="589"/>
    </row>
    <row r="26" spans="1:19">
      <c r="A26" s="589"/>
    </row>
    <row r="27" spans="1:19">
      <c r="A27" s="589"/>
    </row>
    <row r="28" spans="1:19">
      <c r="A28" s="589"/>
    </row>
    <row r="29" spans="1:19">
      <c r="A29" s="589"/>
    </row>
    <row r="30" spans="1:19">
      <c r="A30" s="589"/>
    </row>
    <row r="31" spans="1:19">
      <c r="A31" s="589"/>
    </row>
    <row r="32" spans="1:19">
      <c r="A32" s="589"/>
    </row>
    <row r="33" spans="1:17">
      <c r="A33" s="589"/>
    </row>
    <row r="34" spans="1:17">
      <c r="A34" s="589"/>
    </row>
    <row r="35" spans="1:17">
      <c r="A35" s="589"/>
    </row>
    <row r="36" spans="1:17">
      <c r="A36" s="589"/>
    </row>
    <row r="37" spans="1:17">
      <c r="A37" s="589"/>
    </row>
    <row r="38" spans="1:17">
      <c r="A38" s="589"/>
    </row>
    <row r="39" spans="1:17">
      <c r="A39" s="589"/>
    </row>
    <row r="40" spans="1:17">
      <c r="A40" s="589" t="s">
        <v>687</v>
      </c>
    </row>
    <row r="41" spans="1:17">
      <c r="A41" s="589" t="s">
        <v>688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customFormat="1">
      <c r="A42" s="589" t="s">
        <v>689</v>
      </c>
    </row>
    <row r="43" spans="1:17">
      <c r="A43" s="589" t="s">
        <v>690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>
      <c r="A44" s="589" t="s">
        <v>691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>
      <c r="A45" s="589" t="s">
        <v>692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>
      <c r="A46" s="589" t="s">
        <v>693</v>
      </c>
      <c r="B46"/>
      <c r="C46" s="590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>
      <c r="A47" s="589" t="s">
        <v>694</v>
      </c>
      <c r="B47"/>
      <c r="C47" s="590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>
      <c r="A48" s="591"/>
      <c r="B48"/>
      <c r="C48" s="590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>
      <c r="A49" s="591"/>
      <c r="B49"/>
      <c r="C49" s="590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>
      <c r="A50" s="591"/>
      <c r="B50"/>
      <c r="C50" s="59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>
      <c r="A51" s="591"/>
      <c r="B51"/>
      <c r="C51" s="590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>
      <c r="A52"/>
      <c r="B52"/>
      <c r="C52" s="590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>
      <c r="A53"/>
      <c r="B53"/>
      <c r="C53" s="590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>
      <c r="A54"/>
      <c r="B54"/>
      <c r="C54" s="590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>
      <c r="A55"/>
      <c r="B55"/>
      <c r="C55" s="590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>
      <c r="B56" s="592"/>
      <c r="C56" s="592"/>
      <c r="D56" s="592"/>
      <c r="E56" s="592"/>
      <c r="F56" s="592"/>
      <c r="G56" s="592"/>
      <c r="H56" s="592"/>
      <c r="I56" s="592"/>
      <c r="J56" s="592"/>
      <c r="K56" s="592"/>
      <c r="L56" s="592"/>
      <c r="M56" s="592"/>
      <c r="N56" s="592"/>
      <c r="O56" s="592"/>
      <c r="P56" s="592"/>
    </row>
    <row r="57" spans="1:17">
      <c r="B57" s="592"/>
      <c r="C57" s="592"/>
      <c r="D57" s="592"/>
      <c r="E57" s="592"/>
      <c r="F57" s="592"/>
      <c r="G57" s="592"/>
      <c r="H57" s="592"/>
      <c r="I57" s="592"/>
      <c r="J57" s="592"/>
      <c r="K57" s="592"/>
      <c r="L57" s="592"/>
      <c r="M57" s="592"/>
      <c r="N57" s="592"/>
      <c r="O57" s="592"/>
      <c r="P57" s="592"/>
    </row>
    <row r="58" spans="1:17">
      <c r="B58" s="592"/>
      <c r="C58" s="592"/>
      <c r="D58" s="592"/>
      <c r="E58" s="592"/>
      <c r="F58" s="592"/>
      <c r="G58" s="592"/>
      <c r="H58" s="592"/>
      <c r="I58" s="592"/>
      <c r="J58" s="592"/>
      <c r="K58" s="592"/>
      <c r="L58" s="592"/>
      <c r="M58" s="592"/>
      <c r="N58" s="592"/>
      <c r="O58" s="592"/>
      <c r="P58" s="592"/>
    </row>
    <row r="87" spans="3:18"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3:18"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3:18"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3:18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3:18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3:18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3:18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3:18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3:18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3:18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3:18"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</sheetData>
  <mergeCells count="1">
    <mergeCell ref="A1:A2"/>
  </mergeCells>
  <hyperlinks>
    <hyperlink ref="R12" r:id="rId1" location="/app/downloads" xr:uid="{9558FEFA-AA5A-4DCB-93AF-411A3774B8CC}"/>
    <hyperlink ref="R13" r:id="rId2" location="/app/downloads" xr:uid="{7A8D4B91-99F4-4012-831A-2F20809E8DAA}"/>
    <hyperlink ref="R5" r:id="rId3" xr:uid="{347373F8-9801-4AE0-A996-ED35EE26E681}"/>
    <hyperlink ref="R8" r:id="rId4" location="/app/downloads" xr:uid="{AB8E8878-59D2-4380-8F32-243B545B61FA}"/>
    <hyperlink ref="R9" r:id="rId5" location="/app/downloads" xr:uid="{F3D82781-4A18-4C64-A233-5ED115065C95}"/>
    <hyperlink ref="R10" r:id="rId6" location="/app/downloads" xr:uid="{E81C46CA-F6D6-49AF-9D22-42D78B2020E3}"/>
    <hyperlink ref="R11" r:id="rId7" location="/app/downloads" xr:uid="{40C6148F-6733-4AC9-8077-4636E2AE1DA8}"/>
    <hyperlink ref="R17" r:id="rId8" xr:uid="{F7BA1FBB-7F3C-43E4-AB4F-BABFF0AFF67E}"/>
    <hyperlink ref="R16" r:id="rId9" xr:uid="{9093D222-1C2E-403B-A9A5-4CB3E250E60A}"/>
  </hyperlinks>
  <pageMargins left="0.7" right="0.7" top="0.75" bottom="0.75" header="0.3" footer="0.3"/>
  <pageSetup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D8C9-8F2E-41CC-BB8B-43B03B288747}">
  <sheetPr>
    <tabColor theme="9" tint="-0.499984740745262"/>
  </sheetPr>
  <dimension ref="A1:S113"/>
  <sheetViews>
    <sheetView zoomScale="70" zoomScaleNormal="70" workbookViewId="0">
      <selection sqref="A1:XFD1048576"/>
    </sheetView>
  </sheetViews>
  <sheetFormatPr defaultColWidth="8.85546875" defaultRowHeight="15"/>
  <cols>
    <col min="1" max="1" width="86.140625" style="571" bestFit="1" customWidth="1"/>
    <col min="2" max="16" width="11.7109375" style="570" customWidth="1"/>
    <col min="17" max="17" width="25" style="571" bestFit="1" customWidth="1"/>
    <col min="18" max="18" width="99.140625" style="571" bestFit="1" customWidth="1"/>
    <col min="19" max="19" width="32.85546875" style="571" bestFit="1" customWidth="1"/>
    <col min="20" max="16384" width="8.85546875" style="571"/>
  </cols>
  <sheetData>
    <row r="1" spans="1:19">
      <c r="A1" s="638" t="s">
        <v>696</v>
      </c>
    </row>
    <row r="2" spans="1:19">
      <c r="A2" s="638"/>
      <c r="Q2" s="572"/>
    </row>
    <row r="3" spans="1:19" s="570" customFormat="1">
      <c r="A3" s="573" t="s">
        <v>19</v>
      </c>
      <c r="B3" s="208">
        <v>2010</v>
      </c>
      <c r="C3" s="208">
        <v>2011</v>
      </c>
      <c r="D3" s="208">
        <v>2012</v>
      </c>
      <c r="E3" s="208">
        <v>2013</v>
      </c>
      <c r="F3" s="208">
        <v>2014</v>
      </c>
      <c r="G3" s="208">
        <v>2015</v>
      </c>
      <c r="H3" s="208">
        <v>2016</v>
      </c>
      <c r="I3" s="208">
        <v>2017</v>
      </c>
      <c r="J3" s="208">
        <v>2018</v>
      </c>
      <c r="K3" s="208">
        <v>2019</v>
      </c>
      <c r="L3" s="208">
        <v>2020</v>
      </c>
      <c r="M3" s="208">
        <v>2021</v>
      </c>
      <c r="N3" s="208">
        <v>2022</v>
      </c>
      <c r="O3" s="208">
        <v>2023</v>
      </c>
      <c r="P3" s="208">
        <v>2024</v>
      </c>
      <c r="Q3" s="574" t="s">
        <v>241</v>
      </c>
      <c r="R3" s="575" t="s">
        <v>242</v>
      </c>
      <c r="S3" s="575" t="s">
        <v>22</v>
      </c>
    </row>
    <row r="4" spans="1:19">
      <c r="A4" s="576" t="s">
        <v>766</v>
      </c>
      <c r="B4" s="594"/>
      <c r="C4" s="594"/>
      <c r="D4" s="614">
        <v>302.96300000000002</v>
      </c>
      <c r="E4" s="594"/>
      <c r="F4" s="594"/>
      <c r="G4" s="595"/>
      <c r="H4" s="595"/>
      <c r="I4" s="614">
        <v>303.19099999999997</v>
      </c>
      <c r="J4" s="595"/>
      <c r="K4" s="595"/>
      <c r="L4" s="595"/>
      <c r="M4" s="595"/>
      <c r="N4" s="614">
        <v>270.851</v>
      </c>
      <c r="O4" s="595"/>
      <c r="P4" s="595"/>
      <c r="Q4" s="580" t="s">
        <v>49</v>
      </c>
      <c r="R4" s="596" t="s">
        <v>767</v>
      </c>
      <c r="S4" s="561" t="s">
        <v>492</v>
      </c>
    </row>
    <row r="5" spans="1:19">
      <c r="A5" s="576" t="s">
        <v>697</v>
      </c>
      <c r="B5" s="503">
        <v>77.403999999999996</v>
      </c>
      <c r="C5" s="503">
        <v>75.046000000000006</v>
      </c>
      <c r="D5" s="503">
        <v>77.197999999999993</v>
      </c>
      <c r="E5" s="503">
        <v>76.819999999999993</v>
      </c>
      <c r="F5" s="503">
        <v>83.296000000000006</v>
      </c>
      <c r="G5" s="503">
        <v>82.66</v>
      </c>
      <c r="H5" s="503">
        <v>83.453000000000003</v>
      </c>
      <c r="I5" s="614">
        <v>90.162000000000006</v>
      </c>
      <c r="J5" s="503">
        <v>89.167000000000002</v>
      </c>
      <c r="K5" s="503">
        <v>76.099999999999994</v>
      </c>
      <c r="L5" s="503">
        <v>83.353999999999999</v>
      </c>
      <c r="M5" s="503">
        <v>87.194999999999993</v>
      </c>
      <c r="N5" s="503">
        <v>87.45</v>
      </c>
      <c r="O5" s="503">
        <v>83.6</v>
      </c>
      <c r="P5" s="503">
        <v>87.05</v>
      </c>
      <c r="Q5" s="597" t="s">
        <v>49</v>
      </c>
      <c r="R5" s="596" t="s">
        <v>90</v>
      </c>
      <c r="S5" s="561" t="s">
        <v>492</v>
      </c>
    </row>
    <row r="6" spans="1:19">
      <c r="A6" s="576" t="s">
        <v>698</v>
      </c>
      <c r="B6" s="503">
        <v>76.61</v>
      </c>
      <c r="C6" s="503">
        <v>73.775999999999996</v>
      </c>
      <c r="D6" s="503">
        <v>76.144000000000005</v>
      </c>
      <c r="E6" s="503">
        <v>76.233000000000004</v>
      </c>
      <c r="F6" s="503">
        <v>82.611000000000004</v>
      </c>
      <c r="G6" s="503">
        <v>81.742000000000004</v>
      </c>
      <c r="H6" s="503">
        <v>82.706000000000003</v>
      </c>
      <c r="I6" s="503">
        <v>89.542000000000002</v>
      </c>
      <c r="J6" s="503">
        <v>87.593999999999994</v>
      </c>
      <c r="K6" s="503">
        <v>74.918000000000006</v>
      </c>
      <c r="L6" s="503">
        <v>82.602999999999994</v>
      </c>
      <c r="M6" s="503">
        <v>86.292000000000002</v>
      </c>
      <c r="N6" s="503">
        <v>86.174000000000007</v>
      </c>
      <c r="O6" s="503">
        <v>82.271000000000001</v>
      </c>
      <c r="P6" s="503">
        <v>86.05</v>
      </c>
      <c r="Q6" s="597" t="s">
        <v>49</v>
      </c>
      <c r="R6" s="596" t="s">
        <v>90</v>
      </c>
      <c r="S6" s="561" t="s">
        <v>492</v>
      </c>
    </row>
    <row r="7" spans="1:19" s="599" customFormat="1" ht="30">
      <c r="A7" s="598" t="s">
        <v>699</v>
      </c>
      <c r="B7" s="503">
        <v>1.174066858112518</v>
      </c>
      <c r="C7" s="503">
        <v>1.1334828806115809</v>
      </c>
      <c r="D7" s="503">
        <v>1.0786823387266231</v>
      </c>
      <c r="E7" s="503">
        <v>1.1889746959977963</v>
      </c>
      <c r="F7" s="503">
        <v>1.283822856520318</v>
      </c>
      <c r="G7" s="503">
        <v>1.2970447627902424</v>
      </c>
      <c r="H7" s="503">
        <v>1.4026236548738906</v>
      </c>
      <c r="I7" s="503">
        <v>1.3302594424962586</v>
      </c>
      <c r="J7" s="503">
        <v>1.3649342420713748</v>
      </c>
      <c r="K7" s="503">
        <v>1.2797844309778692</v>
      </c>
      <c r="L7" s="503">
        <v>1.3781600426134644</v>
      </c>
      <c r="M7" s="503">
        <v>1.3968998748435544</v>
      </c>
      <c r="N7" s="503">
        <v>1.3379939076751688</v>
      </c>
      <c r="O7" s="503">
        <v>1.3659192060385799</v>
      </c>
      <c r="P7" s="503">
        <v>1.3700788378849507</v>
      </c>
      <c r="Q7" s="597" t="s">
        <v>49</v>
      </c>
      <c r="R7" s="596" t="s">
        <v>90</v>
      </c>
      <c r="S7" s="580" t="s">
        <v>506</v>
      </c>
    </row>
    <row r="8" spans="1:19">
      <c r="A8" s="581"/>
      <c r="B8" s="582"/>
      <c r="C8" s="582"/>
      <c r="D8" s="582"/>
      <c r="E8" s="582"/>
      <c r="F8" s="582"/>
      <c r="G8" s="582"/>
      <c r="H8" s="582"/>
      <c r="I8" s="582"/>
      <c r="J8" s="582"/>
      <c r="K8" s="582"/>
      <c r="L8" s="582"/>
      <c r="M8" s="582"/>
      <c r="N8" s="582"/>
      <c r="O8" s="582"/>
      <c r="P8" s="582"/>
      <c r="Q8" s="583"/>
      <c r="R8" s="583"/>
      <c r="S8" s="584"/>
    </row>
    <row r="9" spans="1:19" s="570" customFormat="1">
      <c r="A9" s="573" t="s">
        <v>37</v>
      </c>
      <c r="B9" s="208">
        <v>2010</v>
      </c>
      <c r="C9" s="208">
        <v>2011</v>
      </c>
      <c r="D9" s="208">
        <v>2012</v>
      </c>
      <c r="E9" s="208">
        <v>2013</v>
      </c>
      <c r="F9" s="208">
        <v>2014</v>
      </c>
      <c r="G9" s="208">
        <v>2015</v>
      </c>
      <c r="H9" s="208">
        <v>2016</v>
      </c>
      <c r="I9" s="208">
        <v>2017</v>
      </c>
      <c r="J9" s="208">
        <v>2018</v>
      </c>
      <c r="K9" s="208">
        <v>2019</v>
      </c>
      <c r="L9" s="208">
        <v>2020</v>
      </c>
      <c r="M9" s="208">
        <v>2021</v>
      </c>
      <c r="N9" s="208">
        <v>2022</v>
      </c>
      <c r="O9" s="208">
        <v>2023</v>
      </c>
      <c r="P9" s="208">
        <v>2024</v>
      </c>
      <c r="Q9" s="574" t="s">
        <v>241</v>
      </c>
      <c r="R9" s="575" t="s">
        <v>242</v>
      </c>
      <c r="S9" s="585" t="s">
        <v>22</v>
      </c>
    </row>
    <row r="10" spans="1:19" ht="30">
      <c r="A10" s="576" t="s">
        <v>700</v>
      </c>
      <c r="B10" s="354">
        <v>90.745137</v>
      </c>
      <c r="C10" s="354">
        <v>89.945262</v>
      </c>
      <c r="D10" s="354">
        <v>83.623833000000005</v>
      </c>
      <c r="E10" s="354">
        <v>82.135187999999999</v>
      </c>
      <c r="F10" s="354">
        <v>90.639107999999993</v>
      </c>
      <c r="G10" s="354">
        <v>106.05789</v>
      </c>
      <c r="H10" s="354">
        <v>106.023033</v>
      </c>
      <c r="I10" s="354">
        <v>116.005392</v>
      </c>
      <c r="J10" s="354">
        <v>119.11409099999999</v>
      </c>
      <c r="K10" s="354">
        <v>119.56004999999999</v>
      </c>
      <c r="L10" s="354">
        <v>95.878889999999998</v>
      </c>
      <c r="M10" s="354">
        <v>113.84015399999998</v>
      </c>
      <c r="N10" s="354">
        <v>120.541284</v>
      </c>
      <c r="O10" s="354">
        <v>115.30028700000001</v>
      </c>
      <c r="P10" s="354">
        <v>112.37553899999999</v>
      </c>
      <c r="Q10" s="597" t="s">
        <v>49</v>
      </c>
      <c r="R10" s="596" t="s">
        <v>90</v>
      </c>
      <c r="S10" s="580" t="s">
        <v>506</v>
      </c>
    </row>
    <row r="11" spans="1:19" ht="30">
      <c r="A11" s="576" t="s">
        <v>701</v>
      </c>
      <c r="B11" s="354">
        <v>50.322167522595485</v>
      </c>
      <c r="C11" s="354">
        <v>47.969535349395869</v>
      </c>
      <c r="D11" s="354">
        <v>48.429981545582784</v>
      </c>
      <c r="E11" s="354">
        <v>48.163878229298156</v>
      </c>
      <c r="F11" s="354">
        <v>49.647278872789393</v>
      </c>
      <c r="G11" s="354">
        <v>54.547375563177347</v>
      </c>
      <c r="H11" s="354">
        <v>54.042181163848738</v>
      </c>
      <c r="I11" s="354">
        <v>55.278710316813438</v>
      </c>
      <c r="J11" s="354">
        <v>58.40647019999998</v>
      </c>
      <c r="K11" s="354">
        <v>59.449418099999981</v>
      </c>
      <c r="L11" s="354">
        <v>61.292335500000007</v>
      </c>
      <c r="M11" s="354">
        <v>60.801767099999971</v>
      </c>
      <c r="N11" s="354">
        <v>62.394345900000026</v>
      </c>
      <c r="O11" s="354">
        <v>62.790047100000002</v>
      </c>
      <c r="P11" s="354">
        <v>65.06220780000001</v>
      </c>
      <c r="Q11" s="597" t="s">
        <v>49</v>
      </c>
      <c r="R11" s="596" t="s">
        <v>90</v>
      </c>
      <c r="S11" s="580" t="s">
        <v>506</v>
      </c>
    </row>
    <row r="12" spans="1:19" ht="30">
      <c r="A12" s="576" t="s">
        <v>702</v>
      </c>
      <c r="B12" s="354">
        <v>0.39387888437358509</v>
      </c>
      <c r="C12" s="354">
        <v>0.39012560503646937</v>
      </c>
      <c r="D12" s="354">
        <v>0.4355640460236303</v>
      </c>
      <c r="E12" s="354">
        <v>1.0939412292981605</v>
      </c>
      <c r="F12" s="354">
        <v>1.9379802465572225</v>
      </c>
      <c r="G12" s="354">
        <v>0.89761126318540108</v>
      </c>
      <c r="H12" s="354">
        <v>0.63560455685988038</v>
      </c>
      <c r="I12" s="354">
        <v>0.60157909629783002</v>
      </c>
      <c r="J12" s="354">
        <v>0.5888835</v>
      </c>
      <c r="K12" s="354">
        <v>0.37954709999999997</v>
      </c>
      <c r="L12" s="354">
        <v>0.41527349999999996</v>
      </c>
      <c r="M12" s="354">
        <v>0.53500500000000006</v>
      </c>
      <c r="N12" s="354">
        <v>0.42971039999999999</v>
      </c>
      <c r="O12" s="354">
        <v>0.66178080000000006</v>
      </c>
      <c r="P12" s="354">
        <v>0.56254769999999998</v>
      </c>
      <c r="Q12" s="597" t="s">
        <v>49</v>
      </c>
      <c r="R12" s="596" t="s">
        <v>90</v>
      </c>
      <c r="S12" s="580" t="s">
        <v>506</v>
      </c>
    </row>
    <row r="13" spans="1:19" ht="30">
      <c r="A13" s="576" t="s">
        <v>703</v>
      </c>
      <c r="B13" s="354">
        <v>40.474299361778101</v>
      </c>
      <c r="C13" s="354">
        <v>40.634396255640596</v>
      </c>
      <c r="D13" s="354">
        <v>36.861776500440861</v>
      </c>
      <c r="E13" s="354">
        <v>35.843201999999998</v>
      </c>
      <c r="F13" s="354">
        <v>44.241091373767823</v>
      </c>
      <c r="G13" s="354">
        <v>49.745412700008053</v>
      </c>
      <c r="H13" s="354">
        <v>52.451243393011154</v>
      </c>
      <c r="I13" s="354">
        <v>58.496878779484398</v>
      </c>
      <c r="J13" s="354">
        <v>57.610734299999997</v>
      </c>
      <c r="K13" s="354">
        <v>47.342610000000001</v>
      </c>
      <c r="L13" s="354">
        <v>45.437624999999997</v>
      </c>
      <c r="M13" s="354">
        <v>61.175565900000002</v>
      </c>
      <c r="N13" s="354">
        <v>58.10644349999999</v>
      </c>
      <c r="O13" s="354">
        <v>53.447690700000003</v>
      </c>
      <c r="P13" s="354">
        <v>45.763155900000001</v>
      </c>
      <c r="Q13" s="597" t="s">
        <v>49</v>
      </c>
      <c r="R13" s="596" t="s">
        <v>90</v>
      </c>
      <c r="S13" s="580" t="s">
        <v>506</v>
      </c>
    </row>
    <row r="14" spans="1:19" ht="30">
      <c r="A14" s="576" t="s">
        <v>607</v>
      </c>
      <c r="B14" s="354">
        <v>3.7313460000000003</v>
      </c>
      <c r="C14" s="354">
        <v>4.0738949999999994</v>
      </c>
      <c r="D14" s="354">
        <v>5.8053509999999999</v>
      </c>
      <c r="E14" s="354">
        <v>4.5729899999999999</v>
      </c>
      <c r="F14" s="354">
        <v>3.7950389999999996</v>
      </c>
      <c r="G14" s="354">
        <v>2.4837569999999998</v>
      </c>
      <c r="H14" s="354">
        <v>5.1464699999999999</v>
      </c>
      <c r="I14" s="354">
        <v>5.3116830000000004</v>
      </c>
      <c r="J14" s="354">
        <v>8.143065</v>
      </c>
      <c r="K14" s="354">
        <v>11.828835</v>
      </c>
      <c r="L14" s="354">
        <v>24.976403999999999</v>
      </c>
      <c r="M14" s="354">
        <v>14.540607000000001</v>
      </c>
      <c r="N14" s="354">
        <v>6.9384329999999999</v>
      </c>
      <c r="O14" s="354">
        <v>7.4086379999999998</v>
      </c>
      <c r="P14" s="354">
        <v>7.1329680000000009</v>
      </c>
      <c r="Q14" s="597" t="s">
        <v>49</v>
      </c>
      <c r="R14" s="596" t="s">
        <v>90</v>
      </c>
      <c r="S14" s="580" t="s">
        <v>506</v>
      </c>
    </row>
    <row r="15" spans="1:19" ht="30">
      <c r="A15" s="576" t="s">
        <v>608</v>
      </c>
      <c r="B15" s="354">
        <v>4.0738949999999994</v>
      </c>
      <c r="C15" s="354">
        <v>5.8053509999999999</v>
      </c>
      <c r="D15" s="354">
        <v>4.5729899999999999</v>
      </c>
      <c r="E15" s="354">
        <v>3.7950389999999996</v>
      </c>
      <c r="F15" s="354">
        <v>2.4837569999999998</v>
      </c>
      <c r="G15" s="354">
        <v>5.1464699999999999</v>
      </c>
      <c r="H15" s="354">
        <v>5.3116830000000004</v>
      </c>
      <c r="I15" s="354">
        <v>8.143065</v>
      </c>
      <c r="J15" s="354">
        <v>11.828835</v>
      </c>
      <c r="K15" s="354">
        <v>24.976403999999999</v>
      </c>
      <c r="L15" s="354">
        <v>14.540607000000001</v>
      </c>
      <c r="M15" s="354">
        <v>6.9384329999999999</v>
      </c>
      <c r="N15" s="354">
        <v>7.4086379999999998</v>
      </c>
      <c r="O15" s="354">
        <v>7.1329680000000009</v>
      </c>
      <c r="P15" s="354">
        <v>9.245690999999999</v>
      </c>
      <c r="Q15" s="597" t="s">
        <v>49</v>
      </c>
      <c r="R15" s="596" t="s">
        <v>90</v>
      </c>
      <c r="S15" s="580" t="s">
        <v>506</v>
      </c>
    </row>
    <row r="16" spans="1:19">
      <c r="A16" s="600" t="s">
        <v>609</v>
      </c>
      <c r="B16" s="610"/>
      <c r="C16" s="610"/>
      <c r="D16" s="610"/>
      <c r="E16" s="610"/>
      <c r="F16" s="610"/>
      <c r="G16" s="610"/>
      <c r="H16" s="610"/>
      <c r="I16" s="610"/>
      <c r="J16" s="610"/>
      <c r="K16" s="610"/>
      <c r="L16" s="610"/>
      <c r="M16" s="610"/>
      <c r="N16" s="610"/>
      <c r="O16" s="610"/>
      <c r="P16" s="610"/>
      <c r="Q16" s="580"/>
      <c r="R16" s="596"/>
      <c r="S16" s="580"/>
    </row>
    <row r="17" spans="1:19" ht="30">
      <c r="A17" s="576" t="s">
        <v>704</v>
      </c>
      <c r="B17" s="354">
        <v>47.295529245000004</v>
      </c>
      <c r="C17" s="354">
        <v>44.497150056000002</v>
      </c>
      <c r="D17" s="354">
        <v>45.981513</v>
      </c>
      <c r="E17" s="354">
        <v>45.600380999999999</v>
      </c>
      <c r="F17" s="354">
        <v>46.814975999999994</v>
      </c>
      <c r="G17" s="354">
        <v>50.584332199287289</v>
      </c>
      <c r="H17" s="354">
        <v>50.9283936</v>
      </c>
      <c r="I17" s="354">
        <v>51.332347800000001</v>
      </c>
      <c r="J17" s="354">
        <v>55.483163999999995</v>
      </c>
      <c r="K17" s="354">
        <v>56.483738099999997</v>
      </c>
      <c r="L17" s="354">
        <v>58.442963400000004</v>
      </c>
      <c r="M17" s="354">
        <v>57.795786899999996</v>
      </c>
      <c r="N17" s="354">
        <v>59.504549399999995</v>
      </c>
      <c r="O17" s="354">
        <v>59.722320600000003</v>
      </c>
      <c r="P17" s="354">
        <v>61.703186399999993</v>
      </c>
      <c r="Q17" s="597" t="s">
        <v>49</v>
      </c>
      <c r="R17" s="596" t="s">
        <v>90</v>
      </c>
      <c r="S17" s="580" t="s">
        <v>506</v>
      </c>
    </row>
    <row r="18" spans="1:19" ht="30">
      <c r="A18" s="576" t="s">
        <v>705</v>
      </c>
      <c r="B18" s="354">
        <v>3.026638277595477</v>
      </c>
      <c r="C18" s="354">
        <v>3.4723852933958654</v>
      </c>
      <c r="D18" s="354">
        <v>2.448468545582775</v>
      </c>
      <c r="E18" s="354">
        <v>2.5634972292981515</v>
      </c>
      <c r="F18" s="354">
        <v>2.8323028727893953</v>
      </c>
      <c r="G18" s="354">
        <v>3.963043363890062</v>
      </c>
      <c r="H18" s="354">
        <v>3.1137875638487391</v>
      </c>
      <c r="I18" s="354">
        <v>3.9463625168134286</v>
      </c>
      <c r="J18" s="354">
        <v>2.923306199999983</v>
      </c>
      <c r="K18" s="354">
        <v>2.9656799999999857</v>
      </c>
      <c r="L18" s="354">
        <v>2.8493721000000081</v>
      </c>
      <c r="M18" s="354">
        <v>3.0059801999999802</v>
      </c>
      <c r="N18" s="354">
        <v>2.8897965000000272</v>
      </c>
      <c r="O18" s="354">
        <v>3.0677265000000067</v>
      </c>
      <c r="P18" s="354">
        <v>3.359021400000008</v>
      </c>
      <c r="Q18" s="597" t="s">
        <v>49</v>
      </c>
      <c r="R18" s="596" t="s">
        <v>90</v>
      </c>
      <c r="S18" s="580" t="s">
        <v>506</v>
      </c>
    </row>
    <row r="19" spans="1:19">
      <c r="A19" s="602" t="s">
        <v>706</v>
      </c>
      <c r="B19" s="603"/>
      <c r="C19" s="603"/>
      <c r="D19" s="603"/>
      <c r="E19" s="603"/>
      <c r="F19" s="603"/>
      <c r="G19" s="603"/>
      <c r="H19" s="603"/>
      <c r="I19" s="603"/>
      <c r="J19" s="603"/>
      <c r="K19" s="603"/>
      <c r="L19" s="603"/>
      <c r="M19" s="603"/>
      <c r="N19" s="603"/>
      <c r="O19" s="603"/>
      <c r="P19" s="603"/>
      <c r="Q19" s="604"/>
      <c r="R19" s="605"/>
      <c r="S19" s="606"/>
    </row>
    <row r="20" spans="1:19" ht="34.5" customHeight="1">
      <c r="A20" s="576" t="s">
        <v>707</v>
      </c>
      <c r="B20" s="503">
        <v>0.76040337073657083</v>
      </c>
      <c r="C20" s="503">
        <v>1.2414826668698762</v>
      </c>
      <c r="D20" s="503">
        <v>2.2108098349739778</v>
      </c>
      <c r="E20" s="503">
        <v>2.1268952228545301</v>
      </c>
      <c r="F20" s="503">
        <v>2.3031476597802252</v>
      </c>
      <c r="G20" s="503">
        <v>2.2854666242104091</v>
      </c>
      <c r="H20" s="503">
        <v>2.5719647177611402</v>
      </c>
      <c r="I20" s="503">
        <v>2.8124095649957228</v>
      </c>
      <c r="J20" s="503">
        <v>3.326515838089251</v>
      </c>
      <c r="K20" s="503">
        <v>3.9296078874292282</v>
      </c>
      <c r="L20" s="503">
        <v>3.9271222005405009</v>
      </c>
      <c r="M20" s="503">
        <v>4.0460450816511857</v>
      </c>
      <c r="N20" s="503">
        <v>4.707723138025476</v>
      </c>
      <c r="O20" s="503">
        <v>5.6745918347907267</v>
      </c>
      <c r="P20" s="503">
        <v>5.8917320520252456</v>
      </c>
      <c r="Q20" s="578" t="s">
        <v>49</v>
      </c>
      <c r="R20" s="607" t="s">
        <v>708</v>
      </c>
      <c r="S20" s="611" t="s">
        <v>510</v>
      </c>
    </row>
    <row r="21" spans="1:19">
      <c r="A21" s="576" t="s">
        <v>709</v>
      </c>
      <c r="B21" s="281">
        <v>0.10600782269690784</v>
      </c>
      <c r="C21" s="281">
        <v>0.16543332692162929</v>
      </c>
      <c r="D21" s="281">
        <v>0.26331678921131102</v>
      </c>
      <c r="E21" s="281">
        <v>0.24958620915132848</v>
      </c>
      <c r="F21" s="281">
        <v>0.26854148866532107</v>
      </c>
      <c r="G21" s="281">
        <v>0.26575633994495657</v>
      </c>
      <c r="H21" s="281">
        <v>0.28122905847517271</v>
      </c>
      <c r="I21" s="281">
        <v>0.31216398397014056</v>
      </c>
      <c r="J21" s="281">
        <v>0.34301392709387057</v>
      </c>
      <c r="K21" s="281">
        <v>0.37873745467428582</v>
      </c>
      <c r="L21" s="281">
        <v>0.38794729431516883</v>
      </c>
      <c r="M21" s="281">
        <v>0.38261702072417214</v>
      </c>
      <c r="N21" s="281">
        <v>0.41803880195982152</v>
      </c>
      <c r="O21" s="281">
        <v>0.47015357257175211</v>
      </c>
      <c r="P21" s="281">
        <v>0.4783668192090485</v>
      </c>
      <c r="Q21" s="578" t="s">
        <v>49</v>
      </c>
      <c r="R21" s="607" t="s">
        <v>708</v>
      </c>
      <c r="S21" s="561" t="s">
        <v>492</v>
      </c>
    </row>
    <row r="22" spans="1:19">
      <c r="A22" s="581"/>
      <c r="B22" s="586"/>
      <c r="C22" s="586"/>
      <c r="D22" s="586"/>
      <c r="E22" s="586"/>
      <c r="F22" s="586"/>
      <c r="G22" s="586"/>
      <c r="H22" s="586"/>
      <c r="I22" s="586"/>
      <c r="J22" s="586"/>
      <c r="K22" s="586"/>
      <c r="L22" s="586"/>
      <c r="M22" s="586"/>
      <c r="N22" s="586"/>
      <c r="O22" s="586"/>
      <c r="P22" s="586"/>
      <c r="Q22" s="583"/>
      <c r="R22" s="583"/>
      <c r="S22" s="584"/>
    </row>
    <row r="23" spans="1:19" s="570" customFormat="1">
      <c r="A23" s="587" t="s">
        <v>51</v>
      </c>
      <c r="B23" s="208">
        <v>2010</v>
      </c>
      <c r="C23" s="208">
        <v>2011</v>
      </c>
      <c r="D23" s="208">
        <v>2012</v>
      </c>
      <c r="E23" s="208">
        <v>2013</v>
      </c>
      <c r="F23" s="208">
        <v>2014</v>
      </c>
      <c r="G23" s="208">
        <v>2015</v>
      </c>
      <c r="H23" s="208">
        <v>2016</v>
      </c>
      <c r="I23" s="208">
        <v>2017</v>
      </c>
      <c r="J23" s="208">
        <v>2018</v>
      </c>
      <c r="K23" s="208">
        <v>2019</v>
      </c>
      <c r="L23" s="208">
        <v>2020</v>
      </c>
      <c r="M23" s="208">
        <v>2021</v>
      </c>
      <c r="N23" s="208">
        <v>2022</v>
      </c>
      <c r="O23" s="208">
        <v>2023</v>
      </c>
      <c r="P23" s="208">
        <v>2024</v>
      </c>
      <c r="Q23" s="574" t="s">
        <v>241</v>
      </c>
      <c r="R23" s="575" t="s">
        <v>242</v>
      </c>
      <c r="S23" s="585" t="s">
        <v>22</v>
      </c>
    </row>
    <row r="24" spans="1:19" ht="30">
      <c r="A24" s="576" t="s">
        <v>89</v>
      </c>
      <c r="B24" s="299">
        <v>355.18518518518516</v>
      </c>
      <c r="C24" s="299">
        <v>418.51851851851853</v>
      </c>
      <c r="D24" s="299">
        <v>462.96296296296299</v>
      </c>
      <c r="E24" s="299">
        <v>533.33333333333337</v>
      </c>
      <c r="F24" s="299">
        <v>481.48148148148147</v>
      </c>
      <c r="G24" s="299">
        <v>374.07407407407408</v>
      </c>
      <c r="H24" s="299">
        <v>331.48148148148147</v>
      </c>
      <c r="I24" s="299">
        <v>350.74074074074076</v>
      </c>
      <c r="J24" s="299">
        <v>345.55555555555554</v>
      </c>
      <c r="K24" s="299">
        <v>314.07407407407408</v>
      </c>
      <c r="L24" s="299">
        <v>317.40740740740745</v>
      </c>
      <c r="M24" s="299">
        <v>400.00000000000006</v>
      </c>
      <c r="N24" s="299">
        <v>492.59259259259261</v>
      </c>
      <c r="O24" s="299">
        <v>525.92592592592587</v>
      </c>
      <c r="P24" s="299">
        <v>459.2592592592593</v>
      </c>
      <c r="Q24">
        <v>368.51851851851848</v>
      </c>
      <c r="R24" s="596" t="s">
        <v>90</v>
      </c>
      <c r="S24" s="580" t="s">
        <v>506</v>
      </c>
    </row>
    <row r="25" spans="1:19" ht="30">
      <c r="A25" s="578" t="s">
        <v>710</v>
      </c>
      <c r="B25" s="298">
        <v>792.56160899999998</v>
      </c>
      <c r="C25" s="298">
        <v>1172.8589039999999</v>
      </c>
      <c r="D25" s="298">
        <v>1144.1988179999998</v>
      </c>
      <c r="E25" s="298">
        <v>1039.0383486000001</v>
      </c>
      <c r="F25" s="298">
        <v>842.82699059999982</v>
      </c>
      <c r="G25" s="298">
        <v>696.66055200000005</v>
      </c>
      <c r="H25" s="298">
        <v>658.3001291999999</v>
      </c>
      <c r="I25" s="298">
        <v>717.6044609999999</v>
      </c>
      <c r="J25" s="298">
        <v>662.26844879999987</v>
      </c>
      <c r="K25" s="298">
        <v>623.02617720000001</v>
      </c>
      <c r="L25" s="298">
        <v>653.67042299999991</v>
      </c>
      <c r="M25" s="298">
        <v>1253.7685314</v>
      </c>
      <c r="N25" s="298">
        <v>1608.9331356</v>
      </c>
      <c r="O25" s="298">
        <v>1438.7363171999998</v>
      </c>
      <c r="P25" s="298">
        <v>1042.3452815999999</v>
      </c>
      <c r="Q25" s="578" t="s">
        <v>626</v>
      </c>
      <c r="R25" s="596" t="s">
        <v>627</v>
      </c>
      <c r="S25" s="611" t="s">
        <v>510</v>
      </c>
    </row>
    <row r="26" spans="1:19">
      <c r="A26" s="576" t="s">
        <v>711</v>
      </c>
      <c r="B26" s="299">
        <v>37.571277000000002</v>
      </c>
      <c r="C26" s="299">
        <v>38.542177000000002</v>
      </c>
      <c r="D26" s="299">
        <v>43.723143999999998</v>
      </c>
      <c r="E26" s="299">
        <v>43.582901</v>
      </c>
      <c r="F26" s="299">
        <v>39.474860999999997</v>
      </c>
      <c r="G26" s="299">
        <v>35.195881999999997</v>
      </c>
      <c r="H26" s="299">
        <v>40.694572999999998</v>
      </c>
      <c r="I26" s="299">
        <v>41.30874</v>
      </c>
      <c r="J26" s="299">
        <v>37.557828000000001</v>
      </c>
      <c r="K26" s="299">
        <v>30.518566</v>
      </c>
      <c r="L26" s="299">
        <v>45.732121999999997</v>
      </c>
      <c r="M26" s="299">
        <v>59.140279</v>
      </c>
      <c r="N26" s="299">
        <v>60.695836999999997</v>
      </c>
      <c r="O26" s="299">
        <v>51.555912999999997</v>
      </c>
      <c r="P26" s="299">
        <v>44.097484000000001</v>
      </c>
      <c r="Q26" s="597" t="s">
        <v>49</v>
      </c>
      <c r="R26" s="596" t="s">
        <v>90</v>
      </c>
      <c r="S26" s="561" t="s">
        <v>492</v>
      </c>
    </row>
    <row r="27" spans="1:19">
      <c r="A27" s="578" t="s">
        <v>712</v>
      </c>
      <c r="B27" s="612">
        <f>B25*B20/1000</f>
        <v>0.60266651900000012</v>
      </c>
      <c r="C27" s="612">
        <f t="shared" ref="C27:P27" si="0">C25*C20/1000</f>
        <v>1.4560840000000002</v>
      </c>
      <c r="D27" s="612">
        <f t="shared" si="0"/>
        <v>2.5296060000000002</v>
      </c>
      <c r="E27" s="612">
        <f t="shared" si="0"/>
        <v>2.2099257000000003</v>
      </c>
      <c r="F27" s="612">
        <f t="shared" si="0"/>
        <v>1.9411550109999993</v>
      </c>
      <c r="G27" s="612">
        <f t="shared" si="0"/>
        <v>1.5921944400000003</v>
      </c>
      <c r="H27" s="612">
        <f t="shared" si="0"/>
        <v>1.6931247059999999</v>
      </c>
      <c r="I27" s="612">
        <f t="shared" si="0"/>
        <v>2.0181976499999998</v>
      </c>
      <c r="J27" s="612">
        <f t="shared" si="0"/>
        <v>2.2030464840000001</v>
      </c>
      <c r="K27" s="612">
        <f t="shared" si="0"/>
        <v>2.44824858</v>
      </c>
      <c r="L27" s="612">
        <f t="shared" si="0"/>
        <v>2.5670436299999997</v>
      </c>
      <c r="M27" s="612">
        <f t="shared" si="0"/>
        <v>5.0728039999999996</v>
      </c>
      <c r="N27" s="612">
        <f t="shared" si="0"/>
        <v>7.5744117500000012</v>
      </c>
      <c r="O27" s="612">
        <f t="shared" si="0"/>
        <v>8.1642413579999999</v>
      </c>
      <c r="P27" s="612">
        <f t="shared" si="0"/>
        <v>6.1412191048799993</v>
      </c>
      <c r="Q27" s="578" t="s">
        <v>100</v>
      </c>
      <c r="R27" s="580"/>
      <c r="S27" s="580"/>
    </row>
    <row r="28" spans="1:19">
      <c r="A28" s="581"/>
      <c r="B28" s="586"/>
      <c r="C28" s="586"/>
      <c r="D28" s="586"/>
      <c r="E28" s="586"/>
      <c r="F28" s="586"/>
      <c r="G28" s="586"/>
      <c r="H28" s="586"/>
      <c r="I28" s="586"/>
      <c r="J28" s="586"/>
      <c r="K28" s="586"/>
      <c r="L28" s="586"/>
      <c r="M28" s="586"/>
      <c r="N28" s="586"/>
      <c r="O28" s="586"/>
      <c r="P28" s="586"/>
      <c r="Q28" s="583"/>
      <c r="R28" s="583"/>
      <c r="S28" s="584"/>
    </row>
    <row r="29" spans="1:19" s="570" customFormat="1">
      <c r="A29" s="587" t="s">
        <v>551</v>
      </c>
      <c r="B29" s="208">
        <v>2010</v>
      </c>
      <c r="C29" s="208">
        <v>2011</v>
      </c>
      <c r="D29" s="208">
        <v>2012</v>
      </c>
      <c r="E29" s="208">
        <v>2013</v>
      </c>
      <c r="F29" s="208">
        <v>2014</v>
      </c>
      <c r="G29" s="208">
        <v>2015</v>
      </c>
      <c r="H29" s="208">
        <v>2016</v>
      </c>
      <c r="I29" s="208">
        <v>2017</v>
      </c>
      <c r="J29" s="208">
        <v>2018</v>
      </c>
      <c r="K29" s="208">
        <v>2019</v>
      </c>
      <c r="L29" s="208">
        <v>2020</v>
      </c>
      <c r="M29" s="208">
        <v>2021</v>
      </c>
      <c r="N29" s="208">
        <v>2022</v>
      </c>
      <c r="O29" s="208">
        <v>2023</v>
      </c>
      <c r="P29" s="208">
        <v>2024</v>
      </c>
      <c r="Q29" s="574" t="s">
        <v>241</v>
      </c>
      <c r="R29" s="575" t="s">
        <v>242</v>
      </c>
      <c r="S29" s="585" t="s">
        <v>22</v>
      </c>
    </row>
    <row r="30" spans="1:19">
      <c r="A30" s="600" t="s">
        <v>633</v>
      </c>
      <c r="B30" s="601"/>
      <c r="C30" s="601"/>
      <c r="D30" s="601"/>
      <c r="E30" s="601"/>
      <c r="F30" s="601"/>
      <c r="G30" s="601"/>
      <c r="H30" s="601"/>
      <c r="I30" s="601"/>
      <c r="J30" s="601"/>
      <c r="K30" s="601"/>
      <c r="L30" s="601"/>
      <c r="M30" s="601"/>
      <c r="N30" s="601"/>
      <c r="O30" s="601"/>
      <c r="P30" s="601"/>
      <c r="Q30" s="580"/>
      <c r="R30" s="580"/>
      <c r="S30" s="580"/>
    </row>
    <row r="31" spans="1:19" ht="30">
      <c r="A31" s="576" t="s">
        <v>634</v>
      </c>
      <c r="B31" s="608">
        <v>0.1011164367456</v>
      </c>
      <c r="C31" s="608">
        <v>0.15149989500000002</v>
      </c>
      <c r="D31" s="608">
        <v>0.15171724140625001</v>
      </c>
      <c r="E31" s="577" t="s">
        <v>635</v>
      </c>
      <c r="F31" s="577" t="s">
        <v>635</v>
      </c>
      <c r="G31" s="608">
        <v>0.18415855500000003</v>
      </c>
      <c r="H31" s="577" t="s">
        <v>635</v>
      </c>
      <c r="I31" s="609"/>
      <c r="J31" s="609"/>
      <c r="K31" s="609"/>
      <c r="L31" s="609"/>
      <c r="M31" s="609"/>
      <c r="N31" s="609"/>
      <c r="O31" s="609"/>
      <c r="P31" s="609"/>
      <c r="Q31" s="578" t="s">
        <v>49</v>
      </c>
      <c r="R31" s="596" t="s">
        <v>552</v>
      </c>
      <c r="S31" s="580" t="s">
        <v>553</v>
      </c>
    </row>
    <row r="32" spans="1:19" ht="30">
      <c r="A32" s="576" t="s">
        <v>636</v>
      </c>
      <c r="B32" s="608">
        <v>0.50066680138620001</v>
      </c>
      <c r="C32" s="608">
        <v>0.63502950000000002</v>
      </c>
      <c r="D32" s="608">
        <v>0.62808386484375001</v>
      </c>
      <c r="E32" s="577" t="s">
        <v>635</v>
      </c>
      <c r="F32" s="577" t="s">
        <v>635</v>
      </c>
      <c r="G32" s="608">
        <v>0.75426642207446815</v>
      </c>
      <c r="H32" s="577" t="s">
        <v>635</v>
      </c>
      <c r="I32" s="609"/>
      <c r="J32" s="609"/>
      <c r="K32" s="609"/>
      <c r="L32" s="609"/>
      <c r="M32" s="609"/>
      <c r="N32" s="609"/>
      <c r="O32" s="609"/>
      <c r="P32" s="609"/>
      <c r="Q32" s="578" t="s">
        <v>49</v>
      </c>
      <c r="R32" s="596" t="s">
        <v>552</v>
      </c>
      <c r="S32" s="580" t="s">
        <v>553</v>
      </c>
    </row>
    <row r="33" spans="1:19" ht="30">
      <c r="A33" s="576" t="s">
        <v>638</v>
      </c>
      <c r="B33" s="608">
        <v>0.70219747739999994</v>
      </c>
      <c r="C33" s="608">
        <v>1.036912455</v>
      </c>
      <c r="D33" s="608">
        <v>1.04642844765625</v>
      </c>
      <c r="E33" s="577" t="s">
        <v>635</v>
      </c>
      <c r="F33" s="577" t="s">
        <v>635</v>
      </c>
      <c r="G33" s="608">
        <v>1.2080519401595746</v>
      </c>
      <c r="H33" s="577" t="s">
        <v>635</v>
      </c>
      <c r="I33" s="609"/>
      <c r="J33" s="609"/>
      <c r="K33" s="609"/>
      <c r="L33" s="609"/>
      <c r="M33" s="609"/>
      <c r="N33" s="609"/>
      <c r="O33" s="609"/>
      <c r="P33" s="609"/>
      <c r="Q33" s="578" t="s">
        <v>49</v>
      </c>
      <c r="R33" s="596" t="s">
        <v>552</v>
      </c>
      <c r="S33" s="580" t="s">
        <v>553</v>
      </c>
    </row>
    <row r="34" spans="1:19">
      <c r="A34" s="589"/>
    </row>
    <row r="35" spans="1:19">
      <c r="A35" s="589"/>
    </row>
    <row r="36" spans="1:19">
      <c r="A36" s="589"/>
    </row>
    <row r="37" spans="1:19">
      <c r="A37" s="589"/>
    </row>
    <row r="38" spans="1:19">
      <c r="A38" s="589"/>
    </row>
    <row r="39" spans="1:19">
      <c r="A39" s="589"/>
    </row>
    <row r="40" spans="1:19">
      <c r="A40" s="589"/>
    </row>
    <row r="41" spans="1:19">
      <c r="A41" s="589"/>
    </row>
    <row r="42" spans="1:19">
      <c r="A42" s="589"/>
    </row>
    <row r="43" spans="1:19">
      <c r="A43" s="589"/>
    </row>
    <row r="44" spans="1:19">
      <c r="A44" s="589"/>
    </row>
    <row r="45" spans="1:19">
      <c r="A45" s="589"/>
    </row>
    <row r="46" spans="1:19">
      <c r="A46" s="589"/>
    </row>
    <row r="47" spans="1:19">
      <c r="A47" s="589"/>
    </row>
    <row r="48" spans="1:19">
      <c r="A48" s="589"/>
    </row>
    <row r="49" spans="1:17">
      <c r="A49" s="589"/>
    </row>
    <row r="50" spans="1:17">
      <c r="A50" s="589"/>
    </row>
    <row r="51" spans="1:17">
      <c r="A51" s="589"/>
    </row>
    <row r="52" spans="1:17">
      <c r="A52" s="589"/>
    </row>
    <row r="53" spans="1:17">
      <c r="A53" s="589"/>
    </row>
    <row r="54" spans="1:17">
      <c r="A54" s="589"/>
    </row>
    <row r="55" spans="1:17">
      <c r="A55" s="589"/>
    </row>
    <row r="56" spans="1:17">
      <c r="A56" s="589" t="s">
        <v>687</v>
      </c>
    </row>
    <row r="57" spans="1:17">
      <c r="A57" s="589" t="s">
        <v>688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customFormat="1">
      <c r="A58" s="589" t="s">
        <v>713</v>
      </c>
    </row>
    <row r="59" spans="1:17">
      <c r="A59" s="589" t="s">
        <v>690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>
      <c r="A60" s="589" t="s">
        <v>691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>
      <c r="A61" s="589" t="s">
        <v>692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>
      <c r="A62" s="589" t="s">
        <v>693</v>
      </c>
      <c r="B62"/>
      <c r="C62" s="590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>
      <c r="A63" s="589" t="s">
        <v>694</v>
      </c>
      <c r="B63"/>
      <c r="C63" s="590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>
      <c r="A64" s="591"/>
      <c r="B64"/>
      <c r="C64" s="590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>
      <c r="A65" s="591"/>
      <c r="B65"/>
      <c r="C65" s="590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>
      <c r="A66" s="591"/>
      <c r="B66"/>
      <c r="C66" s="590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>
      <c r="A67" s="591"/>
      <c r="B67"/>
      <c r="C67" s="590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1:17">
      <c r="A68"/>
      <c r="B68"/>
      <c r="C68" s="590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1:17">
      <c r="A69"/>
      <c r="B69"/>
      <c r="C69" s="590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1:17">
      <c r="A70"/>
      <c r="B70"/>
      <c r="C70" s="59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1:17">
      <c r="A71"/>
      <c r="B71"/>
      <c r="C71" s="590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>
      <c r="B72" s="592"/>
      <c r="C72" s="592"/>
      <c r="D72" s="592"/>
      <c r="E72" s="592"/>
      <c r="F72" s="592"/>
      <c r="G72" s="592"/>
      <c r="H72" s="592"/>
      <c r="I72" s="592"/>
      <c r="J72" s="592"/>
      <c r="K72" s="592"/>
      <c r="L72" s="592"/>
      <c r="M72" s="592"/>
      <c r="N72" s="592"/>
      <c r="O72" s="592"/>
      <c r="P72" s="592"/>
    </row>
    <row r="73" spans="1:17">
      <c r="B73" s="592"/>
      <c r="C73" s="592"/>
      <c r="D73" s="592"/>
      <c r="E73" s="592"/>
      <c r="F73" s="592"/>
      <c r="G73" s="592"/>
      <c r="H73" s="592"/>
      <c r="I73" s="592"/>
      <c r="J73" s="592"/>
      <c r="K73" s="592"/>
      <c r="L73" s="592"/>
      <c r="M73" s="592"/>
      <c r="N73" s="592"/>
      <c r="O73" s="592"/>
      <c r="P73" s="592"/>
    </row>
    <row r="74" spans="1:17">
      <c r="B74" s="592"/>
      <c r="C74" s="592"/>
      <c r="D74" s="592"/>
      <c r="E74" s="592"/>
      <c r="F74" s="592"/>
      <c r="G74" s="592"/>
      <c r="H74" s="592"/>
      <c r="I74" s="592"/>
      <c r="J74" s="592"/>
      <c r="K74" s="592"/>
      <c r="L74" s="592"/>
      <c r="M74" s="592"/>
      <c r="N74" s="592"/>
      <c r="O74" s="592"/>
      <c r="P74" s="592"/>
    </row>
    <row r="103" spans="3:18"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3:18"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3:18"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3:18"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3:18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3:18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3:18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3:18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3:18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3:18"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3:18"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</sheetData>
  <mergeCells count="1">
    <mergeCell ref="A1:A2"/>
  </mergeCells>
  <hyperlinks>
    <hyperlink ref="R31" r:id="rId1" xr:uid="{6DF5AFAF-8B8D-422F-8FA5-00A7110EA062}"/>
    <hyperlink ref="R32" r:id="rId2" xr:uid="{340E642E-3FC7-48D6-BD8D-8F94910616ED}"/>
    <hyperlink ref="R33" r:id="rId3" xr:uid="{C83175E4-9054-4950-A13A-9851152F702C}"/>
    <hyperlink ref="R24" r:id="rId4" xr:uid="{6D11275C-E567-43C7-889A-14BBB77CCB25}"/>
    <hyperlink ref="R21" r:id="rId5" xr:uid="{E35B14D9-A6B0-4CB3-BC2B-197B878641FB}"/>
    <hyperlink ref="R25" r:id="rId6" xr:uid="{A5C9894D-6F15-45B4-A044-192FC4C5051F}"/>
  </hyperlinks>
  <pageMargins left="0.7" right="0.7" top="0.75" bottom="0.75" header="0.3" footer="0.3"/>
  <pageSetup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5FC4-F0E3-4C4D-A830-31BE26278253}">
  <sheetPr>
    <tabColor theme="9" tint="-0.499984740745262"/>
  </sheetPr>
  <dimension ref="A1:S104"/>
  <sheetViews>
    <sheetView topLeftCell="B1" zoomScale="85" zoomScaleNormal="85" workbookViewId="0">
      <selection activeCell="R28" sqref="R28"/>
    </sheetView>
  </sheetViews>
  <sheetFormatPr defaultColWidth="8.85546875" defaultRowHeight="15"/>
  <cols>
    <col min="1" max="1" width="86.140625" style="571" bestFit="1" customWidth="1"/>
    <col min="2" max="16" width="11.7109375" style="570" customWidth="1"/>
    <col min="17" max="17" width="25" style="571" bestFit="1" customWidth="1"/>
    <col min="18" max="18" width="55.85546875" style="571" customWidth="1"/>
    <col min="19" max="19" width="32.85546875" style="571" bestFit="1" customWidth="1"/>
    <col min="20" max="16384" width="8.85546875" style="571"/>
  </cols>
  <sheetData>
    <row r="1" spans="1:19">
      <c r="A1" s="638" t="s">
        <v>714</v>
      </c>
    </row>
    <row r="2" spans="1:19">
      <c r="A2" s="638"/>
      <c r="Q2" s="572"/>
    </row>
    <row r="3" spans="1:19" s="570" customFormat="1">
      <c r="A3" s="573" t="s">
        <v>19</v>
      </c>
      <c r="B3" s="208">
        <v>2010</v>
      </c>
      <c r="C3" s="208">
        <v>2011</v>
      </c>
      <c r="D3" s="208">
        <v>2012</v>
      </c>
      <c r="E3" s="208">
        <v>2013</v>
      </c>
      <c r="F3" s="208">
        <v>2014</v>
      </c>
      <c r="G3" s="208">
        <v>2015</v>
      </c>
      <c r="H3" s="208">
        <v>2016</v>
      </c>
      <c r="I3" s="208">
        <v>2017</v>
      </c>
      <c r="J3" s="208">
        <v>2018</v>
      </c>
      <c r="K3" s="208">
        <v>2019</v>
      </c>
      <c r="L3" s="208">
        <v>2020</v>
      </c>
      <c r="M3" s="208">
        <v>2021</v>
      </c>
      <c r="N3" s="208">
        <v>2022</v>
      </c>
      <c r="O3" s="208">
        <v>2023</v>
      </c>
      <c r="P3" s="208">
        <v>2024</v>
      </c>
      <c r="Q3" s="574" t="s">
        <v>241</v>
      </c>
      <c r="R3" s="575" t="s">
        <v>242</v>
      </c>
      <c r="S3" s="575" t="s">
        <v>22</v>
      </c>
    </row>
    <row r="4" spans="1:19" ht="15" customHeight="1">
      <c r="A4" s="576" t="s">
        <v>769</v>
      </c>
      <c r="B4" s="594"/>
      <c r="C4" s="594"/>
      <c r="D4" s="614">
        <v>3.9950000000000001</v>
      </c>
      <c r="E4" s="594"/>
      <c r="F4" s="594"/>
      <c r="G4" s="595"/>
      <c r="H4" s="595"/>
      <c r="I4" s="614">
        <v>4.2080000000000002</v>
      </c>
      <c r="J4" s="595"/>
      <c r="K4" s="595"/>
      <c r="L4" s="595"/>
      <c r="M4" s="595"/>
      <c r="N4" s="614">
        <v>4.0579999999999998</v>
      </c>
      <c r="O4" s="595"/>
      <c r="P4" s="595"/>
      <c r="Q4" s="580" t="s">
        <v>49</v>
      </c>
      <c r="R4" s="596" t="s">
        <v>770</v>
      </c>
      <c r="S4" s="561" t="s">
        <v>492</v>
      </c>
    </row>
    <row r="5" spans="1:19" ht="30">
      <c r="A5" s="576" t="s">
        <v>715</v>
      </c>
      <c r="B5" s="615">
        <v>0.82</v>
      </c>
      <c r="C5" s="615">
        <v>1.4487999999999999</v>
      </c>
      <c r="D5" s="615">
        <v>1.0615000000000001</v>
      </c>
      <c r="E5" s="615">
        <v>1.7544000000000002</v>
      </c>
      <c r="F5" s="615">
        <v>1.3480000000000001</v>
      </c>
      <c r="G5" s="615">
        <v>1.7150000000000001</v>
      </c>
      <c r="H5" s="615">
        <v>1.7769999999999999</v>
      </c>
      <c r="I5" s="615">
        <v>1.7090000000000001</v>
      </c>
      <c r="J5" s="615">
        <v>2.077</v>
      </c>
      <c r="K5" s="615">
        <v>1.9827000000000001</v>
      </c>
      <c r="L5" s="615">
        <v>2.036</v>
      </c>
      <c r="M5" s="615">
        <v>1.831</v>
      </c>
      <c r="N5" s="615">
        <v>2.1455000000000002</v>
      </c>
      <c r="O5" s="615">
        <v>2.206</v>
      </c>
      <c r="P5" s="615">
        <v>2.3445</v>
      </c>
      <c r="Q5" s="597" t="s">
        <v>49</v>
      </c>
      <c r="R5" s="596" t="s">
        <v>90</v>
      </c>
      <c r="S5" s="561" t="s">
        <v>492</v>
      </c>
    </row>
    <row r="6" spans="1:19">
      <c r="A6" s="581"/>
      <c r="B6" s="582"/>
      <c r="C6" s="582"/>
      <c r="D6" s="582"/>
      <c r="E6" s="582"/>
      <c r="F6" s="582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3"/>
      <c r="R6" s="583"/>
      <c r="S6" s="584"/>
    </row>
    <row r="7" spans="1:19" s="570" customFormat="1">
      <c r="A7" s="573" t="s">
        <v>37</v>
      </c>
      <c r="B7" s="208">
        <v>2010</v>
      </c>
      <c r="C7" s="208">
        <v>2011</v>
      </c>
      <c r="D7" s="208">
        <v>2012</v>
      </c>
      <c r="E7" s="208">
        <v>2013</v>
      </c>
      <c r="F7" s="208">
        <v>2014</v>
      </c>
      <c r="G7" s="208">
        <v>2015</v>
      </c>
      <c r="H7" s="208">
        <v>2016</v>
      </c>
      <c r="I7" s="208">
        <v>2017</v>
      </c>
      <c r="J7" s="208">
        <v>2018</v>
      </c>
      <c r="K7" s="208">
        <v>2019</v>
      </c>
      <c r="L7" s="208">
        <v>2020</v>
      </c>
      <c r="M7" s="208">
        <v>2021</v>
      </c>
      <c r="N7" s="208">
        <v>2022</v>
      </c>
      <c r="O7" s="208">
        <v>2023</v>
      </c>
      <c r="P7" s="208">
        <v>2024</v>
      </c>
      <c r="Q7" s="574" t="s">
        <v>241</v>
      </c>
      <c r="R7" s="575" t="s">
        <v>242</v>
      </c>
      <c r="S7" s="585" t="s">
        <v>22</v>
      </c>
    </row>
    <row r="8" spans="1:19" ht="30">
      <c r="A8" s="576" t="s">
        <v>716</v>
      </c>
      <c r="B8" s="615">
        <v>0.66441321913688611</v>
      </c>
      <c r="C8" s="615">
        <v>1.1102256985551266</v>
      </c>
      <c r="D8" s="615">
        <v>0.69309387278181933</v>
      </c>
      <c r="E8" s="615">
        <v>1.0848163540053579</v>
      </c>
      <c r="F8" s="615">
        <v>0.99928922055572333</v>
      </c>
      <c r="G8" s="615">
        <v>1.1369726873813288</v>
      </c>
      <c r="H8" s="615">
        <v>1.3047932933627626</v>
      </c>
      <c r="I8" s="615">
        <v>1.3966067652413883</v>
      </c>
      <c r="J8" s="615">
        <v>1.3859110541398934</v>
      </c>
      <c r="K8" s="615">
        <v>1.6366479151528019</v>
      </c>
      <c r="L8" s="615">
        <v>1.5408378397748006</v>
      </c>
      <c r="M8" s="615">
        <v>1.5869418884507187</v>
      </c>
      <c r="N8" s="615">
        <v>1.2315263115400283</v>
      </c>
      <c r="O8" s="615">
        <v>1.7303750937802491</v>
      </c>
      <c r="P8" s="615">
        <v>1.8857745227980127</v>
      </c>
      <c r="Q8" s="597" t="s">
        <v>49</v>
      </c>
      <c r="R8" s="596" t="s">
        <v>90</v>
      </c>
      <c r="S8" s="580" t="s">
        <v>510</v>
      </c>
    </row>
    <row r="9" spans="1:19" ht="30">
      <c r="A9" s="576" t="s">
        <v>717</v>
      </c>
      <c r="B9" s="615">
        <v>1.1122088049561332</v>
      </c>
      <c r="C9" s="615">
        <v>1.2900170641497728</v>
      </c>
      <c r="D9" s="615">
        <v>1.1666399047092881</v>
      </c>
      <c r="E9" s="615">
        <v>1.2641622917670241</v>
      </c>
      <c r="F9" s="615">
        <v>1.6845971781103519</v>
      </c>
      <c r="G9" s="615">
        <v>1.7354448971297576</v>
      </c>
      <c r="H9" s="615">
        <v>1.5412283829155293</v>
      </c>
      <c r="I9" s="615">
        <v>1.9948217880434835</v>
      </c>
      <c r="J9" s="615">
        <v>1.757300798050641</v>
      </c>
      <c r="K9" s="615">
        <v>1.7177302957150933</v>
      </c>
      <c r="L9" s="615">
        <v>1.8240732424878279</v>
      </c>
      <c r="M9" s="615">
        <v>2.0721030634730124</v>
      </c>
      <c r="N9" s="615">
        <v>1.6482054520003884</v>
      </c>
      <c r="O9" s="615">
        <v>1.9209016330237112</v>
      </c>
      <c r="P9" s="615">
        <v>2.0998620171621258</v>
      </c>
      <c r="Q9" s="597" t="s">
        <v>49</v>
      </c>
      <c r="R9" s="596" t="s">
        <v>90</v>
      </c>
      <c r="S9" s="580" t="s">
        <v>510</v>
      </c>
    </row>
    <row r="10" spans="1:19" ht="30">
      <c r="A10" s="576" t="s">
        <v>718</v>
      </c>
      <c r="B10" s="615">
        <v>0.56798946159999997</v>
      </c>
      <c r="C10" s="615">
        <v>0.48218677059999998</v>
      </c>
      <c r="D10" s="615">
        <v>0.62196823800000001</v>
      </c>
      <c r="E10" s="615">
        <v>0.39403404300000006</v>
      </c>
      <c r="F10" s="615">
        <v>0.92739363900000027</v>
      </c>
      <c r="G10" s="615">
        <v>0.77686287000000009</v>
      </c>
      <c r="H10" s="615">
        <v>0.35880980957279751</v>
      </c>
      <c r="I10" s="615">
        <v>0.69734720963503039</v>
      </c>
      <c r="J10" s="615">
        <v>0.65144274165820715</v>
      </c>
      <c r="K10" s="615">
        <v>0.56363235850878934</v>
      </c>
      <c r="L10" s="615">
        <v>0.5629511583172172</v>
      </c>
      <c r="M10" s="615">
        <v>0.4402396238073874</v>
      </c>
      <c r="N10" s="615">
        <v>0.50313004149388785</v>
      </c>
      <c r="O10" s="615">
        <v>0.57764746245021881</v>
      </c>
      <c r="P10" s="615">
        <v>0.31650138900882147</v>
      </c>
      <c r="Q10" s="597" t="s">
        <v>49</v>
      </c>
      <c r="R10" s="596" t="s">
        <v>90</v>
      </c>
      <c r="S10" s="580" t="s">
        <v>510</v>
      </c>
    </row>
    <row r="11" spans="1:19" ht="30">
      <c r="A11" s="576" t="s">
        <v>719</v>
      </c>
      <c r="B11" s="615">
        <v>0.1770181010622229</v>
      </c>
      <c r="C11" s="615">
        <v>0.29373134250000005</v>
      </c>
      <c r="D11" s="615">
        <v>0.15285243099999998</v>
      </c>
      <c r="E11" s="615">
        <v>0.17712823899999999</v>
      </c>
      <c r="F11" s="615">
        <v>0.15948254300000003</v>
      </c>
      <c r="G11" s="615">
        <v>0.15956181800000005</v>
      </c>
      <c r="H11" s="615">
        <v>0.17580292676023374</v>
      </c>
      <c r="I11" s="615">
        <v>0.11849242183013688</v>
      </c>
      <c r="J11" s="615">
        <v>0.15353833899870364</v>
      </c>
      <c r="K11" s="615">
        <v>0.18087925086817788</v>
      </c>
      <c r="L11" s="615">
        <v>0.18296655145518373</v>
      </c>
      <c r="M11" s="615">
        <v>0.15573434379674425</v>
      </c>
      <c r="N11" s="615">
        <v>0.12873323620329655</v>
      </c>
      <c r="O11" s="615">
        <v>0.14874604183144322</v>
      </c>
      <c r="P11" s="615">
        <v>0.16774424717425665</v>
      </c>
      <c r="Q11" s="597" t="s">
        <v>49</v>
      </c>
      <c r="R11" s="596" t="s">
        <v>90</v>
      </c>
      <c r="S11" s="580" t="s">
        <v>510</v>
      </c>
    </row>
    <row r="12" spans="1:19" ht="30">
      <c r="A12" s="576" t="s">
        <v>607</v>
      </c>
      <c r="B12" s="615">
        <v>0.20409711959691956</v>
      </c>
      <c r="C12" s="615">
        <v>0.12196648677188199</v>
      </c>
      <c r="D12" s="615">
        <v>0.1019013690328773</v>
      </c>
      <c r="E12" s="615">
        <v>7.0070969082228152E-2</v>
      </c>
      <c r="F12" s="615">
        <v>8.091364415305663E-2</v>
      </c>
      <c r="G12" s="615">
        <v>0.12890962713789486</v>
      </c>
      <c r="H12" s="615">
        <v>0.10944824101365223</v>
      </c>
      <c r="I12" s="615">
        <v>0.16080988033322718</v>
      </c>
      <c r="J12" s="615">
        <v>0.10814779132204978</v>
      </c>
      <c r="K12" s="615">
        <v>8.7739304062102258E-2</v>
      </c>
      <c r="L12" s="615">
        <v>0.13834253672511659</v>
      </c>
      <c r="M12" s="615">
        <v>0.21858486398121765</v>
      </c>
      <c r="N12" s="615">
        <v>0.21245320059402475</v>
      </c>
      <c r="O12" s="615">
        <v>0.10924457798207585</v>
      </c>
      <c r="P12" s="615">
        <v>0.2208269716985497</v>
      </c>
      <c r="Q12" s="597" t="s">
        <v>49</v>
      </c>
      <c r="R12" s="596" t="s">
        <v>90</v>
      </c>
      <c r="S12" s="580" t="s">
        <v>510</v>
      </c>
    </row>
    <row r="13" spans="1:19" ht="30">
      <c r="A13" s="576" t="s">
        <v>608</v>
      </c>
      <c r="B13" s="615">
        <v>1.4364998003338056</v>
      </c>
      <c r="C13" s="615">
        <v>1.7143789559270084</v>
      </c>
      <c r="D13" s="615">
        <v>1.4169634798146966</v>
      </c>
      <c r="E13" s="615">
        <v>1.5489213660875862</v>
      </c>
      <c r="F13" s="615">
        <v>2.0075965037087804</v>
      </c>
      <c r="G13" s="615">
        <v>2.0427451845192239</v>
      </c>
      <c r="H13" s="615">
        <v>1.7730513439492122</v>
      </c>
      <c r="I13" s="615">
        <v>2.2547638552096463</v>
      </c>
      <c r="J13" s="615">
        <v>2.1455015871201506</v>
      </c>
      <c r="K13" s="615">
        <v>2.2880195777236931</v>
      </c>
      <c r="L13" s="615">
        <v>2.2421315348171342</v>
      </c>
      <c r="M13" s="615">
        <v>2.2457663762393234</v>
      </c>
      <c r="N13" s="615">
        <v>1.947109553627941</v>
      </c>
      <c r="O13" s="615">
        <v>2.4172671342125436</v>
      </c>
      <c r="P13" s="615">
        <v>2.4231028835053841</v>
      </c>
      <c r="Q13" s="597" t="s">
        <v>49</v>
      </c>
      <c r="R13" s="596" t="s">
        <v>90</v>
      </c>
      <c r="S13" s="580" t="s">
        <v>510</v>
      </c>
    </row>
    <row r="14" spans="1:19">
      <c r="A14" s="600" t="s">
        <v>609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601"/>
      <c r="O14" s="601"/>
      <c r="P14" s="601"/>
      <c r="Q14" s="580"/>
      <c r="R14" s="596"/>
      <c r="S14" s="580"/>
    </row>
    <row r="15" spans="1:19" ht="30">
      <c r="A15" s="576" t="s">
        <v>720</v>
      </c>
      <c r="B15" s="615">
        <v>1.1122088049561332</v>
      </c>
      <c r="C15" s="615">
        <v>1.2900170641497728</v>
      </c>
      <c r="D15" s="615">
        <v>1.1666399047092881</v>
      </c>
      <c r="E15" s="615">
        <v>1.2641622917670241</v>
      </c>
      <c r="F15" s="615">
        <v>1.6845971781103519</v>
      </c>
      <c r="G15" s="615">
        <v>1.7354448971297576</v>
      </c>
      <c r="H15" s="615">
        <v>1.5412283829155293</v>
      </c>
      <c r="I15" s="615">
        <v>1.9948217880434835</v>
      </c>
      <c r="J15" s="615">
        <v>1.757300798050641</v>
      </c>
      <c r="K15" s="615">
        <v>1.7177302957150933</v>
      </c>
      <c r="L15" s="615">
        <v>1.8240732424878279</v>
      </c>
      <c r="M15" s="615">
        <v>2.0721030634730124</v>
      </c>
      <c r="N15" s="615">
        <v>1.6482054520003884</v>
      </c>
      <c r="O15" s="615">
        <v>1.9209016330237112</v>
      </c>
      <c r="P15" s="615">
        <v>2.0998620171621258</v>
      </c>
      <c r="Q15" s="597" t="s">
        <v>49</v>
      </c>
      <c r="R15" s="596" t="s">
        <v>90</v>
      </c>
      <c r="S15" s="580" t="s">
        <v>510</v>
      </c>
    </row>
    <row r="16" spans="1:19">
      <c r="A16" s="602" t="s">
        <v>721</v>
      </c>
      <c r="B16" s="603"/>
      <c r="C16" s="603"/>
      <c r="D16" s="603"/>
      <c r="E16" s="603"/>
      <c r="F16" s="603"/>
      <c r="G16" s="603"/>
      <c r="H16" s="603"/>
      <c r="I16" s="603"/>
      <c r="J16" s="603"/>
      <c r="K16" s="603"/>
      <c r="L16" s="603"/>
      <c r="M16" s="603"/>
      <c r="N16" s="603"/>
      <c r="O16" s="603"/>
      <c r="P16" s="603"/>
      <c r="Q16" s="604"/>
      <c r="R16" s="605"/>
      <c r="S16" s="606"/>
    </row>
    <row r="17" spans="1:19" ht="30">
      <c r="A17" s="576" t="s">
        <v>722</v>
      </c>
      <c r="B17" s="615">
        <v>0.14106726686025994</v>
      </c>
      <c r="C17" s="615">
        <v>0.29256716117320797</v>
      </c>
      <c r="D17" s="615">
        <v>0.43726316801701154</v>
      </c>
      <c r="E17" s="615">
        <v>0.194591181617529</v>
      </c>
      <c r="F17" s="615">
        <v>0.441935170745824</v>
      </c>
      <c r="G17" s="615">
        <v>0.42419063222629555</v>
      </c>
      <c r="H17" s="615">
        <v>0.45725298940135772</v>
      </c>
      <c r="I17" s="615">
        <v>0.58711652156242655</v>
      </c>
      <c r="J17" s="615">
        <v>0.62793984637729283</v>
      </c>
      <c r="K17" s="615">
        <v>0.49895174773725387</v>
      </c>
      <c r="L17" s="615">
        <v>0.59765347528964152</v>
      </c>
      <c r="M17" s="615">
        <v>0.52163137263440174</v>
      </c>
      <c r="N17" s="615">
        <v>0.60554598475384902</v>
      </c>
      <c r="O17" s="615">
        <v>1.3219055239401587</v>
      </c>
      <c r="P17" s="615">
        <v>1.9671847213258333</v>
      </c>
      <c r="Q17" s="597" t="s">
        <v>49</v>
      </c>
      <c r="R17" s="596" t="s">
        <v>90</v>
      </c>
      <c r="S17" s="580" t="s">
        <v>510</v>
      </c>
    </row>
    <row r="18" spans="1:19">
      <c r="A18" s="576" t="s">
        <v>723</v>
      </c>
      <c r="B18" s="281">
        <v>0.10911400132620878</v>
      </c>
      <c r="C18" s="281">
        <v>0.17660604436450381</v>
      </c>
      <c r="D18" s="281">
        <v>0.25135883389784996</v>
      </c>
      <c r="E18" s="281">
        <v>0.11894239028676552</v>
      </c>
      <c r="F18" s="281">
        <v>0.21417879917863322</v>
      </c>
      <c r="G18" s="281">
        <v>0.18664297259246052</v>
      </c>
      <c r="H18" s="281">
        <v>0.18953251595306952</v>
      </c>
      <c r="I18" s="281">
        <v>0.22131426581983168</v>
      </c>
      <c r="J18" s="281">
        <v>0.24690202054196558</v>
      </c>
      <c r="K18" s="281">
        <v>0.20831320273730194</v>
      </c>
      <c r="L18" s="281">
        <v>0.23400013247515208</v>
      </c>
      <c r="M18" s="281">
        <v>0.20586230944265305</v>
      </c>
      <c r="N18" s="281">
        <v>0.23648189436710595</v>
      </c>
      <c r="O18" s="281">
        <v>0.36784459421947185</v>
      </c>
      <c r="P18" s="281">
        <v>0.47876284804164787</v>
      </c>
      <c r="Q18" s="578" t="s">
        <v>724</v>
      </c>
      <c r="R18" s="580"/>
      <c r="S18" s="580"/>
    </row>
    <row r="19" spans="1:19">
      <c r="A19" s="581"/>
      <c r="B19" s="586"/>
      <c r="C19" s="586"/>
      <c r="D19" s="586"/>
      <c r="E19" s="586"/>
      <c r="F19" s="586"/>
      <c r="G19" s="586"/>
      <c r="H19" s="586"/>
      <c r="I19" s="586"/>
      <c r="J19" s="586"/>
      <c r="K19" s="586"/>
      <c r="L19" s="586"/>
      <c r="M19" s="586"/>
      <c r="N19" s="586"/>
      <c r="O19" s="586"/>
      <c r="P19" s="586"/>
      <c r="Q19" s="583"/>
      <c r="R19" s="583"/>
      <c r="S19" s="584"/>
    </row>
    <row r="20" spans="1:19" s="570" customFormat="1">
      <c r="A20" s="587" t="s">
        <v>51</v>
      </c>
      <c r="B20" s="208">
        <v>2010</v>
      </c>
      <c r="C20" s="208">
        <v>2011</v>
      </c>
      <c r="D20" s="208">
        <v>2012</v>
      </c>
      <c r="E20" s="208">
        <v>2013</v>
      </c>
      <c r="F20" s="208">
        <v>2014</v>
      </c>
      <c r="G20" s="208">
        <v>2015</v>
      </c>
      <c r="H20" s="208">
        <v>2016</v>
      </c>
      <c r="I20" s="208">
        <v>2017</v>
      </c>
      <c r="J20" s="208">
        <v>2018</v>
      </c>
      <c r="K20" s="208">
        <v>2019</v>
      </c>
      <c r="L20" s="208">
        <v>2020</v>
      </c>
      <c r="M20" s="208">
        <v>2021</v>
      </c>
      <c r="N20" s="208">
        <v>2022</v>
      </c>
      <c r="O20" s="208">
        <v>2023</v>
      </c>
      <c r="P20" s="208">
        <v>2024</v>
      </c>
      <c r="Q20" s="574" t="s">
        <v>241</v>
      </c>
      <c r="R20" s="575" t="s">
        <v>242</v>
      </c>
      <c r="S20" s="585" t="s">
        <v>22</v>
      </c>
    </row>
    <row r="21" spans="1:19" ht="30">
      <c r="A21" s="576" t="s">
        <v>725</v>
      </c>
      <c r="B21" s="614">
        <v>318.88320017007101</v>
      </c>
      <c r="C21" s="614">
        <v>379.90405946187474</v>
      </c>
      <c r="D21" s="614">
        <v>472.41955580751261</v>
      </c>
      <c r="E21" s="614">
        <v>521.62992620412854</v>
      </c>
      <c r="F21" s="614">
        <v>405.49345206811506</v>
      </c>
      <c r="G21" s="614">
        <v>332.66210388112347</v>
      </c>
      <c r="H21" s="614">
        <v>307.0727112748832</v>
      </c>
      <c r="I21" s="614">
        <v>326.7568594335296</v>
      </c>
      <c r="J21" s="614">
        <v>344.47259277631127</v>
      </c>
      <c r="K21" s="614">
        <v>311.00954090661247</v>
      </c>
      <c r="L21" s="614">
        <v>291.32539274796613</v>
      </c>
      <c r="M21" s="614">
        <v>362.18832611909301</v>
      </c>
      <c r="N21" s="614">
        <v>647.60847441946521</v>
      </c>
      <c r="O21" s="614">
        <v>586.58761512766159</v>
      </c>
      <c r="P21" s="614">
        <v>478.32480025510654</v>
      </c>
      <c r="Q21" s="597" t="s">
        <v>49</v>
      </c>
      <c r="R21" s="596" t="s">
        <v>90</v>
      </c>
      <c r="S21" s="580" t="s">
        <v>777</v>
      </c>
    </row>
    <row r="22" spans="1:19" ht="30">
      <c r="A22" s="578" t="s">
        <v>726</v>
      </c>
      <c r="B22" s="614">
        <v>945.3419136</v>
      </c>
      <c r="C22" s="614">
        <v>1293.6721895999999</v>
      </c>
      <c r="D22" s="614">
        <v>1260.8233217999998</v>
      </c>
      <c r="E22" s="614">
        <v>1238.3361774</v>
      </c>
      <c r="F22" s="614">
        <v>963.41981400000009</v>
      </c>
      <c r="G22" s="614">
        <v>833.56757819999996</v>
      </c>
      <c r="H22" s="614">
        <v>777.57017940000003</v>
      </c>
      <c r="I22" s="614">
        <v>853.85010059999991</v>
      </c>
      <c r="J22" s="614">
        <v>843.70883939999987</v>
      </c>
      <c r="K22" s="614">
        <v>795.6480798</v>
      </c>
      <c r="L22" s="614">
        <v>834.89035139999987</v>
      </c>
      <c r="M22" s="614">
        <v>1553.3766611999997</v>
      </c>
      <c r="N22" s="614">
        <v>1995.6238343999999</v>
      </c>
      <c r="O22" s="614">
        <v>1612.4605307999998</v>
      </c>
      <c r="P22" s="614">
        <v>1223.1242855999999</v>
      </c>
      <c r="Q22" s="597" t="s">
        <v>49</v>
      </c>
      <c r="R22" s="596" t="s">
        <v>90</v>
      </c>
      <c r="S22" s="580" t="s">
        <v>510</v>
      </c>
    </row>
    <row r="23" spans="1:19" ht="30">
      <c r="A23" s="578" t="s">
        <v>727</v>
      </c>
      <c r="B23" s="503">
        <v>0.47106799999999999</v>
      </c>
      <c r="C23" s="503">
        <v>0.36419699999999999</v>
      </c>
      <c r="D23" s="503">
        <v>0.63025299999999995</v>
      </c>
      <c r="E23" s="503">
        <v>0.45493499999999998</v>
      </c>
      <c r="F23" s="503">
        <v>0.42249199999999998</v>
      </c>
      <c r="G23" s="503">
        <v>0.44825300000000001</v>
      </c>
      <c r="H23" s="503">
        <v>0.50932500000000003</v>
      </c>
      <c r="I23" s="503">
        <v>0.52621099999999998</v>
      </c>
      <c r="J23" s="503">
        <v>0.56755599999999995</v>
      </c>
      <c r="K23" s="503">
        <v>0.50115200000000004</v>
      </c>
      <c r="L23" s="503">
        <v>0.64400900000000005</v>
      </c>
      <c r="M23" s="503">
        <v>0.88750899999999999</v>
      </c>
      <c r="N23" s="503">
        <v>1.1313979999999999</v>
      </c>
      <c r="O23" s="503">
        <v>0.99752600000000002</v>
      </c>
      <c r="P23" s="503">
        <v>0.95221999999999996</v>
      </c>
      <c r="Q23" s="578" t="s">
        <v>562</v>
      </c>
      <c r="R23" s="596" t="s">
        <v>728</v>
      </c>
      <c r="S23" s="561" t="s">
        <v>492</v>
      </c>
    </row>
    <row r="24" spans="1:19">
      <c r="A24" s="578" t="s">
        <v>729</v>
      </c>
      <c r="B24" s="612">
        <f>+B17*B22/1000</f>
        <v>0.1333568</v>
      </c>
      <c r="C24" s="612">
        <f>+C17*C22/1000</f>
        <v>0.37848600000000004</v>
      </c>
      <c r="D24" s="612">
        <f t="shared" ref="D24:P24" si="0">+D17*D22/1000</f>
        <v>0.5513115999999999</v>
      </c>
      <c r="E24" s="612">
        <f t="shared" si="0"/>
        <v>0.2409693</v>
      </c>
      <c r="F24" s="612">
        <f t="shared" si="0"/>
        <v>0.42576910000000001</v>
      </c>
      <c r="G24" s="612">
        <f t="shared" si="0"/>
        <v>0.35359155800000003</v>
      </c>
      <c r="H24" s="612">
        <f t="shared" si="0"/>
        <v>0.35554628900000007</v>
      </c>
      <c r="I24" s="612">
        <f t="shared" si="0"/>
        <v>0.50130950099999994</v>
      </c>
      <c r="J24" s="612">
        <f t="shared" si="0"/>
        <v>0.52979839899999992</v>
      </c>
      <c r="K24" s="612">
        <f t="shared" si="0"/>
        <v>0.39699000000000007</v>
      </c>
      <c r="L24" s="612">
        <f t="shared" si="0"/>
        <v>0.49897511999999994</v>
      </c>
      <c r="M24" s="612">
        <f t="shared" si="0"/>
        <v>0.81028999999999984</v>
      </c>
      <c r="N24" s="612">
        <f t="shared" si="0"/>
        <v>1.208442</v>
      </c>
      <c r="O24" s="612">
        <f t="shared" si="0"/>
        <v>2.1315204828000001</v>
      </c>
      <c r="P24" s="612">
        <f t="shared" si="0"/>
        <v>2.4061114069148948</v>
      </c>
      <c r="Q24" s="578" t="s">
        <v>100</v>
      </c>
      <c r="R24" s="580"/>
      <c r="S24" s="580"/>
    </row>
    <row r="25" spans="1:19">
      <c r="A25" s="589"/>
    </row>
    <row r="26" spans="1:19">
      <c r="A26" s="589"/>
    </row>
    <row r="27" spans="1:19">
      <c r="A27" s="589"/>
    </row>
    <row r="28" spans="1:19">
      <c r="A28" s="589"/>
    </row>
    <row r="29" spans="1:19">
      <c r="A29" s="589"/>
    </row>
    <row r="30" spans="1:19">
      <c r="A30" s="589"/>
    </row>
    <row r="31" spans="1:19">
      <c r="A31" s="589"/>
    </row>
    <row r="32" spans="1:19">
      <c r="A32" s="589"/>
    </row>
    <row r="33" spans="1:17">
      <c r="A33" s="589"/>
    </row>
    <row r="34" spans="1:17">
      <c r="A34" s="589"/>
    </row>
    <row r="35" spans="1:17">
      <c r="A35" s="589"/>
    </row>
    <row r="36" spans="1:17">
      <c r="A36" s="589"/>
    </row>
    <row r="37" spans="1:17">
      <c r="A37" s="589"/>
    </row>
    <row r="38" spans="1:17">
      <c r="A38" s="589"/>
    </row>
    <row r="39" spans="1:17">
      <c r="A39" s="589"/>
    </row>
    <row r="40" spans="1:17">
      <c r="A40" s="589"/>
    </row>
    <row r="41" spans="1:17">
      <c r="A41" s="589"/>
    </row>
    <row r="42" spans="1:17">
      <c r="A42" s="589"/>
    </row>
    <row r="43" spans="1:17">
      <c r="A43" s="589"/>
    </row>
    <row r="44" spans="1:17">
      <c r="A44" s="589"/>
    </row>
    <row r="45" spans="1:17">
      <c r="A45" s="589"/>
    </row>
    <row r="46" spans="1:17">
      <c r="A46" s="589"/>
    </row>
    <row r="47" spans="1:17">
      <c r="A47" s="589" t="s">
        <v>687</v>
      </c>
    </row>
    <row r="48" spans="1:17">
      <c r="A48" s="589" t="s">
        <v>688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customFormat="1">
      <c r="A49" s="589" t="s">
        <v>713</v>
      </c>
    </row>
    <row r="50" spans="1:17">
      <c r="A50" s="589" t="s">
        <v>690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>
      <c r="A51" s="589" t="s">
        <v>691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>
      <c r="A52" s="589" t="s">
        <v>692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>
      <c r="A53" s="589" t="s">
        <v>693</v>
      </c>
      <c r="B53"/>
      <c r="C53" s="590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>
      <c r="A54" s="589" t="s">
        <v>694</v>
      </c>
      <c r="B54"/>
      <c r="C54" s="590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>
      <c r="A55" s="591"/>
      <c r="B55"/>
      <c r="C55" s="590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>
      <c r="A56" s="591"/>
      <c r="B56"/>
      <c r="C56" s="590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>
      <c r="A57" s="591"/>
      <c r="B57"/>
      <c r="C57" s="590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>
      <c r="A58" s="591"/>
      <c r="B58"/>
      <c r="C58" s="590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>
      <c r="A59"/>
      <c r="B59"/>
      <c r="C59" s="590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>
      <c r="A60"/>
      <c r="B60"/>
      <c r="C60" s="59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>
      <c r="A61"/>
      <c r="B61"/>
      <c r="C61" s="590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>
      <c r="A62"/>
      <c r="B62"/>
      <c r="C62" s="590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>
      <c r="B63" s="592"/>
      <c r="C63" s="592"/>
      <c r="D63" s="592"/>
      <c r="E63" s="592"/>
      <c r="F63" s="592"/>
      <c r="G63" s="592"/>
      <c r="H63" s="592"/>
      <c r="I63" s="592"/>
      <c r="J63" s="592"/>
      <c r="K63" s="592"/>
      <c r="L63" s="592"/>
      <c r="M63" s="592"/>
      <c r="N63" s="592"/>
      <c r="O63" s="592"/>
      <c r="P63" s="592"/>
    </row>
    <row r="64" spans="1:17">
      <c r="B64" s="592"/>
      <c r="C64" s="592"/>
      <c r="D64" s="592"/>
      <c r="E64" s="592"/>
      <c r="F64" s="592"/>
      <c r="G64" s="592"/>
      <c r="H64" s="592"/>
      <c r="I64" s="592"/>
      <c r="J64" s="592"/>
      <c r="K64" s="592"/>
      <c r="L64" s="592"/>
      <c r="M64" s="592"/>
      <c r="N64" s="592"/>
      <c r="O64" s="592"/>
      <c r="P64" s="592"/>
    </row>
    <row r="65" spans="2:16">
      <c r="B65" s="592"/>
      <c r="C65" s="592"/>
      <c r="D65" s="592"/>
      <c r="E65" s="592"/>
      <c r="F65" s="592"/>
      <c r="G65" s="592"/>
      <c r="H65" s="592"/>
      <c r="I65" s="592"/>
      <c r="J65" s="592"/>
      <c r="K65" s="592"/>
      <c r="L65" s="592"/>
      <c r="M65" s="592"/>
      <c r="N65" s="592"/>
      <c r="O65" s="592"/>
      <c r="P65" s="592"/>
    </row>
    <row r="94" spans="3:18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3:18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3:18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3:18"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3:18"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3:18"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3:18"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3:18"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3:18"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3:18"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3:18"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</sheetData>
  <mergeCells count="1">
    <mergeCell ref="A1:A2"/>
  </mergeCells>
  <hyperlinks>
    <hyperlink ref="R23" r:id="rId1" xr:uid="{0718DCBE-A556-49D2-B3AD-D7B2153EB9D2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4232-6F20-47BC-96C1-70A3E37A2FE9}">
  <sheetPr>
    <tabColor theme="9" tint="-0.499984740745262"/>
  </sheetPr>
  <dimension ref="A1:S101"/>
  <sheetViews>
    <sheetView zoomScale="85" zoomScaleNormal="85" workbookViewId="0">
      <selection sqref="A1:XFD1048576"/>
    </sheetView>
  </sheetViews>
  <sheetFormatPr defaultColWidth="8.85546875" defaultRowHeight="15"/>
  <cols>
    <col min="1" max="1" width="86.140625" style="571" bestFit="1" customWidth="1"/>
    <col min="2" max="16" width="11.7109375" style="570" customWidth="1"/>
    <col min="17" max="17" width="25" style="571" bestFit="1" customWidth="1"/>
    <col min="18" max="18" width="99.140625" style="571" bestFit="1" customWidth="1"/>
    <col min="19" max="19" width="32.85546875" style="571" bestFit="1" customWidth="1"/>
    <col min="20" max="16384" width="8.85546875" style="571"/>
  </cols>
  <sheetData>
    <row r="1" spans="1:19">
      <c r="A1" s="638" t="s">
        <v>730</v>
      </c>
    </row>
    <row r="2" spans="1:19">
      <c r="A2" s="638"/>
      <c r="Q2" s="572"/>
    </row>
    <row r="3" spans="1:19" s="570" customFormat="1">
      <c r="A3" s="573" t="s">
        <v>19</v>
      </c>
      <c r="B3" s="208">
        <v>2010</v>
      </c>
      <c r="C3" s="208">
        <v>2011</v>
      </c>
      <c r="D3" s="208">
        <v>2012</v>
      </c>
      <c r="E3" s="208">
        <v>2013</v>
      </c>
      <c r="F3" s="208">
        <v>2014</v>
      </c>
      <c r="G3" s="208">
        <v>2015</v>
      </c>
      <c r="H3" s="208">
        <v>2016</v>
      </c>
      <c r="I3" s="208">
        <v>2017</v>
      </c>
      <c r="J3" s="208">
        <v>2018</v>
      </c>
      <c r="K3" s="208">
        <v>2019</v>
      </c>
      <c r="L3" s="208">
        <v>2020</v>
      </c>
      <c r="M3" s="208">
        <v>2021</v>
      </c>
      <c r="N3" s="208">
        <v>2022</v>
      </c>
      <c r="O3" s="208">
        <v>2023</v>
      </c>
      <c r="P3" s="208">
        <v>2024</v>
      </c>
      <c r="Q3" s="574" t="s">
        <v>241</v>
      </c>
      <c r="R3" s="575" t="s">
        <v>242</v>
      </c>
      <c r="S3" s="575" t="s">
        <v>22</v>
      </c>
    </row>
    <row r="4" spans="1:19">
      <c r="A4" s="576" t="s">
        <v>775</v>
      </c>
      <c r="B4" s="594"/>
      <c r="C4" s="594"/>
      <c r="D4" s="614">
        <v>4.9530000000000003</v>
      </c>
      <c r="E4" s="594"/>
      <c r="F4" s="594"/>
      <c r="G4" s="595"/>
      <c r="H4" s="595"/>
      <c r="I4" s="614">
        <v>3.3889999999999998</v>
      </c>
      <c r="J4" s="595"/>
      <c r="K4" s="595"/>
      <c r="L4" s="595"/>
      <c r="M4" s="595"/>
      <c r="N4" s="614">
        <v>3.6230000000000002</v>
      </c>
      <c r="O4" s="595"/>
      <c r="P4" s="595"/>
      <c r="Q4" s="580" t="s">
        <v>49</v>
      </c>
      <c r="R4" s="596" t="s">
        <v>776</v>
      </c>
      <c r="S4" s="561" t="s">
        <v>492</v>
      </c>
    </row>
    <row r="5" spans="1:19">
      <c r="A5" s="576" t="s">
        <v>731</v>
      </c>
      <c r="B5" s="503">
        <v>1.4630000000000001</v>
      </c>
      <c r="C5" s="503">
        <v>1.2895000000000001</v>
      </c>
      <c r="D5" s="503">
        <v>1.6579999999999999</v>
      </c>
      <c r="E5" s="503">
        <v>1.2789999999999999</v>
      </c>
      <c r="F5" s="503">
        <v>1.1739999999999999</v>
      </c>
      <c r="G5" s="503">
        <v>1.5505</v>
      </c>
      <c r="H5" s="503">
        <v>1.4179999999999999</v>
      </c>
      <c r="I5" s="503">
        <v>1.216</v>
      </c>
      <c r="J5" s="503">
        <v>1.161</v>
      </c>
      <c r="K5" s="503">
        <v>1.1930000000000001</v>
      </c>
      <c r="L5" s="503">
        <v>1.484</v>
      </c>
      <c r="M5" s="503">
        <v>1.1759999999999999</v>
      </c>
      <c r="N5" s="503">
        <v>1.544</v>
      </c>
      <c r="O5" s="503">
        <v>1.161</v>
      </c>
      <c r="P5" s="503">
        <v>0.59399999999999997</v>
      </c>
      <c r="Q5" s="597" t="s">
        <v>49</v>
      </c>
      <c r="R5" s="596" t="s">
        <v>90</v>
      </c>
      <c r="S5" s="580" t="s">
        <v>677</v>
      </c>
    </row>
    <row r="6" spans="1:19">
      <c r="A6" s="581"/>
      <c r="B6" s="582"/>
      <c r="C6" s="582"/>
      <c r="D6" s="582"/>
      <c r="E6" s="582"/>
      <c r="F6" s="582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3"/>
      <c r="R6" s="583"/>
      <c r="S6" s="584"/>
    </row>
    <row r="7" spans="1:19" s="570" customFormat="1">
      <c r="A7" s="573" t="s">
        <v>37</v>
      </c>
      <c r="B7" s="208">
        <v>2010</v>
      </c>
      <c r="C7" s="208">
        <v>2011</v>
      </c>
      <c r="D7" s="208">
        <v>2012</v>
      </c>
      <c r="E7" s="208">
        <v>2013</v>
      </c>
      <c r="F7" s="208">
        <v>2014</v>
      </c>
      <c r="G7" s="208">
        <v>2015</v>
      </c>
      <c r="H7" s="208">
        <v>2016</v>
      </c>
      <c r="I7" s="208">
        <v>2017</v>
      </c>
      <c r="J7" s="208">
        <v>2018</v>
      </c>
      <c r="K7" s="208">
        <v>2019</v>
      </c>
      <c r="L7" s="208">
        <v>2020</v>
      </c>
      <c r="M7" s="208">
        <v>2021</v>
      </c>
      <c r="N7" s="208">
        <v>2022</v>
      </c>
      <c r="O7" s="208">
        <v>2023</v>
      </c>
      <c r="P7" s="208">
        <v>2024</v>
      </c>
      <c r="Q7" s="574" t="s">
        <v>241</v>
      </c>
      <c r="R7" s="575" t="s">
        <v>242</v>
      </c>
      <c r="S7" s="585" t="s">
        <v>22</v>
      </c>
    </row>
    <row r="8" spans="1:19" ht="30">
      <c r="A8" s="576" t="s">
        <v>732</v>
      </c>
      <c r="B8" s="503">
        <v>1.3773154763038744</v>
      </c>
      <c r="C8" s="503">
        <v>1.2408340295978177</v>
      </c>
      <c r="D8" s="503">
        <v>0.92454624874468283</v>
      </c>
      <c r="E8" s="503">
        <v>1.2410562899218098</v>
      </c>
      <c r="F8" s="503">
        <v>0.91705743660364458</v>
      </c>
      <c r="G8" s="503">
        <v>1.0035053628241035</v>
      </c>
      <c r="H8" s="503">
        <v>1.3267716642580905</v>
      </c>
      <c r="I8" s="503">
        <v>1.2027617432829756</v>
      </c>
      <c r="J8" s="503">
        <v>0.96966736247755858</v>
      </c>
      <c r="K8" s="503">
        <v>0.95304092946545937</v>
      </c>
      <c r="L8" s="503">
        <v>0.88429445047722477</v>
      </c>
      <c r="M8" s="503">
        <v>1.3506260937249106</v>
      </c>
      <c r="N8" s="503">
        <v>0.86155132263036482</v>
      </c>
      <c r="O8" s="503">
        <v>1.2739394780601845</v>
      </c>
      <c r="P8" s="503">
        <v>1.024071246680837</v>
      </c>
      <c r="Q8" s="597" t="s">
        <v>49</v>
      </c>
      <c r="R8" s="596" t="s">
        <v>90</v>
      </c>
      <c r="S8" s="580" t="s">
        <v>510</v>
      </c>
    </row>
    <row r="9" spans="1:19" ht="30">
      <c r="A9" s="576" t="s">
        <v>733</v>
      </c>
      <c r="B9" s="503">
        <v>1.2908879617458233</v>
      </c>
      <c r="C9" s="503">
        <v>1.1803066466723098</v>
      </c>
      <c r="D9" s="503">
        <v>0.89335223906864769</v>
      </c>
      <c r="E9" s="503">
        <v>1.0909738721649336</v>
      </c>
      <c r="F9" s="503">
        <v>0.92565755036464314</v>
      </c>
      <c r="G9" s="503">
        <v>0.94561153794165187</v>
      </c>
      <c r="H9" s="503">
        <v>1.2201502116916187</v>
      </c>
      <c r="I9" s="503">
        <v>1.111971946058095</v>
      </c>
      <c r="J9" s="503">
        <v>1.0804487502611342</v>
      </c>
      <c r="K9" s="503">
        <v>1.0494250655299129</v>
      </c>
      <c r="L9" s="503">
        <v>1.0619221787623985</v>
      </c>
      <c r="M9" s="503">
        <v>1.3712287139772785</v>
      </c>
      <c r="N9" s="503">
        <v>1.0310567257193228</v>
      </c>
      <c r="O9" s="503">
        <v>1.3320180209063366</v>
      </c>
      <c r="P9" s="503">
        <v>1.0493211853920783</v>
      </c>
      <c r="Q9" s="597" t="s">
        <v>49</v>
      </c>
      <c r="R9" s="596" t="s">
        <v>90</v>
      </c>
      <c r="S9" s="580" t="s">
        <v>510</v>
      </c>
    </row>
    <row r="10" spans="1:19" ht="30">
      <c r="A10" s="576" t="s">
        <v>734</v>
      </c>
      <c r="B10" s="503">
        <v>4.6478262486721079E-2</v>
      </c>
      <c r="C10" s="503">
        <v>4.0649598888154073E-2</v>
      </c>
      <c r="D10" s="503">
        <v>4.4082386912586383E-2</v>
      </c>
      <c r="E10" s="503">
        <v>5.3476741137482985E-2</v>
      </c>
      <c r="F10" s="503">
        <v>6.5244291311617145E-2</v>
      </c>
      <c r="G10" s="503">
        <v>7.491397618276513E-2</v>
      </c>
      <c r="H10" s="503">
        <v>7.1548319848028369E-2</v>
      </c>
      <c r="I10" s="503">
        <v>7.9756076098306192E-2</v>
      </c>
      <c r="J10" s="503">
        <v>9.6961020982281779E-2</v>
      </c>
      <c r="K10" s="503">
        <v>0.11523013922568133</v>
      </c>
      <c r="L10" s="503">
        <v>0.18105344136092266</v>
      </c>
      <c r="M10" s="503">
        <v>0.17014136663790891</v>
      </c>
      <c r="N10" s="503">
        <v>0.17392156115651575</v>
      </c>
      <c r="O10" s="503">
        <v>0.14015663456138966</v>
      </c>
      <c r="P10" s="503">
        <v>0.15686412455287121</v>
      </c>
      <c r="Q10" s="597" t="s">
        <v>49</v>
      </c>
      <c r="R10" s="596" t="s">
        <v>90</v>
      </c>
      <c r="S10" s="580" t="s">
        <v>510</v>
      </c>
    </row>
    <row r="11" spans="1:19" ht="30">
      <c r="A11" s="576" t="s">
        <v>735</v>
      </c>
      <c r="B11" s="503">
        <v>0.1791794693149211</v>
      </c>
      <c r="C11" s="503">
        <v>0.16046288207230083</v>
      </c>
      <c r="D11" s="503">
        <v>0.1060404005766068</v>
      </c>
      <c r="E11" s="503">
        <v>0.13641522220135696</v>
      </c>
      <c r="F11" s="503">
        <v>0.11974978023443475</v>
      </c>
      <c r="G11" s="503">
        <v>0.11581259735228988</v>
      </c>
      <c r="H11" s="503">
        <v>9.887227833161423E-2</v>
      </c>
      <c r="I11" s="503">
        <v>9.0010525313414261E-2</v>
      </c>
      <c r="J11" s="503">
        <v>7.851292207997472E-2</v>
      </c>
      <c r="K11" s="503">
        <v>6.4377618104741768E-2</v>
      </c>
      <c r="L11" s="503">
        <v>4.4858212615352652E-2</v>
      </c>
      <c r="M11" s="503">
        <v>5.868321650332075E-2</v>
      </c>
      <c r="N11" s="503">
        <v>4.9776813998597493E-2</v>
      </c>
      <c r="O11" s="503">
        <v>4.9726513984451763E-2</v>
      </c>
      <c r="P11" s="503">
        <v>3.834831078459075E-2</v>
      </c>
      <c r="Q11" s="597" t="s">
        <v>49</v>
      </c>
      <c r="R11" s="596" t="s">
        <v>90</v>
      </c>
      <c r="S11" s="580" t="s">
        <v>510</v>
      </c>
    </row>
    <row r="12" spans="1:19" ht="30">
      <c r="A12" s="576" t="s">
        <v>607</v>
      </c>
      <c r="B12" s="503">
        <v>0.22288991037919426</v>
      </c>
      <c r="C12" s="503">
        <v>0.17661621810904546</v>
      </c>
      <c r="D12" s="503">
        <v>0.11733031785040701</v>
      </c>
      <c r="E12" s="503">
        <v>8.6566313862421779E-2</v>
      </c>
      <c r="F12" s="503">
        <v>0.15371025055542403</v>
      </c>
      <c r="G12" s="503">
        <v>9.0604647871607921E-2</v>
      </c>
      <c r="H12" s="503">
        <v>0.10759985158453467</v>
      </c>
      <c r="I12" s="503">
        <v>0.18689734566742056</v>
      </c>
      <c r="J12" s="503">
        <v>0.26743269367719275</v>
      </c>
      <c r="K12" s="503">
        <v>0.17509940479592423</v>
      </c>
      <c r="L12" s="503">
        <v>0.1295677898524101</v>
      </c>
      <c r="M12" s="503">
        <v>8.8135290312806466E-2</v>
      </c>
      <c r="N12" s="503">
        <v>0.17899082019502666</v>
      </c>
      <c r="O12" s="503">
        <v>0.13363016426398722</v>
      </c>
      <c r="P12" s="503">
        <v>0.16598174199477281</v>
      </c>
      <c r="Q12" s="597" t="s">
        <v>49</v>
      </c>
      <c r="R12" s="596" t="s">
        <v>90</v>
      </c>
      <c r="S12" s="580" t="s">
        <v>510</v>
      </c>
    </row>
    <row r="13" spans="1:19" ht="30">
      <c r="A13" s="576" t="s">
        <v>608</v>
      </c>
      <c r="B13" s="503">
        <v>1.4700674310607444</v>
      </c>
      <c r="C13" s="503">
        <v>1.3407695287446104</v>
      </c>
      <c r="D13" s="503">
        <v>0.99939263964525438</v>
      </c>
      <c r="E13" s="503">
        <v>1.2273890943662906</v>
      </c>
      <c r="F13" s="503">
        <v>1.0454073305990779</v>
      </c>
      <c r="G13" s="503">
        <v>1.0614241352939418</v>
      </c>
      <c r="H13" s="503">
        <v>1.319022490023233</v>
      </c>
      <c r="I13" s="503">
        <v>1.2019824713715093</v>
      </c>
      <c r="J13" s="503">
        <v>1.1589616723411089</v>
      </c>
      <c r="K13" s="503">
        <v>1.1138026836346546</v>
      </c>
      <c r="L13" s="503">
        <v>1.106780391377751</v>
      </c>
      <c r="M13" s="503">
        <v>1.4299119304805994</v>
      </c>
      <c r="N13" s="503">
        <v>1.0808335397179203</v>
      </c>
      <c r="O13" s="503">
        <v>1.3817445348907884</v>
      </c>
      <c r="P13" s="503">
        <v>1.0876694961766691</v>
      </c>
      <c r="Q13" s="597" t="s">
        <v>49</v>
      </c>
      <c r="R13" s="596" t="s">
        <v>90</v>
      </c>
      <c r="S13" s="580" t="s">
        <v>510</v>
      </c>
    </row>
    <row r="14" spans="1:19">
      <c r="A14" s="600" t="s">
        <v>609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601"/>
      <c r="O14" s="601"/>
      <c r="P14" s="601"/>
      <c r="Q14" s="580"/>
      <c r="R14" s="596"/>
      <c r="S14" s="580"/>
    </row>
    <row r="15" spans="1:19" ht="30">
      <c r="A15" s="616" t="s">
        <v>736</v>
      </c>
      <c r="B15" s="503">
        <v>0.77632356022937266</v>
      </c>
      <c r="C15" s="503">
        <v>0.58784136237413953</v>
      </c>
      <c r="D15" s="503">
        <v>0.34938098231805731</v>
      </c>
      <c r="E15" s="503">
        <v>0.4507929250456541</v>
      </c>
      <c r="F15" s="503">
        <v>0.46274599455144694</v>
      </c>
      <c r="G15" s="503">
        <v>0.36604914583996717</v>
      </c>
      <c r="H15" s="503">
        <v>0.49500004989517482</v>
      </c>
      <c r="I15" s="503">
        <v>0.50800001088622004</v>
      </c>
      <c r="J15" s="503">
        <v>0.47500011339812453</v>
      </c>
      <c r="K15" s="503">
        <v>0.48500014968552435</v>
      </c>
      <c r="L15" s="503">
        <v>0.38900010976938454</v>
      </c>
      <c r="M15" s="503">
        <v>0.50400014152085937</v>
      </c>
      <c r="N15" s="503">
        <v>0.43500010432627456</v>
      </c>
      <c r="O15" s="503">
        <v>0.41100011702686451</v>
      </c>
      <c r="P15" s="503">
        <v>0.37800012882026945</v>
      </c>
      <c r="Q15" s="617" t="s">
        <v>49</v>
      </c>
      <c r="R15" s="596" t="s">
        <v>90</v>
      </c>
      <c r="S15" s="580" t="s">
        <v>510</v>
      </c>
    </row>
    <row r="16" spans="1:19" ht="30">
      <c r="A16" s="616" t="s">
        <v>778</v>
      </c>
      <c r="B16" s="503">
        <v>0.51456440151645066</v>
      </c>
      <c r="C16" s="503">
        <v>0.59246528429817014</v>
      </c>
      <c r="D16" s="503">
        <v>0.54397125675059033</v>
      </c>
      <c r="E16" s="503">
        <v>0.64018094711927953</v>
      </c>
      <c r="F16" s="503">
        <v>0.46291155581319626</v>
      </c>
      <c r="G16" s="503">
        <v>0.5795623921016847</v>
      </c>
      <c r="H16" s="503">
        <v>0.72515016179644398</v>
      </c>
      <c r="I16" s="503">
        <v>0.60397193517187509</v>
      </c>
      <c r="J16" s="503">
        <v>0.60544863686300965</v>
      </c>
      <c r="K16" s="503">
        <v>0.56442491584438859</v>
      </c>
      <c r="L16" s="503">
        <v>0.67292206899301388</v>
      </c>
      <c r="M16" s="503">
        <v>0.86722857245641927</v>
      </c>
      <c r="N16" s="503">
        <v>0.59605662139304816</v>
      </c>
      <c r="O16" s="503">
        <v>0.92101790387947213</v>
      </c>
      <c r="P16" s="503">
        <v>0.67132105657180885</v>
      </c>
      <c r="Q16" s="617" t="s">
        <v>49</v>
      </c>
      <c r="R16" s="596" t="s">
        <v>90</v>
      </c>
      <c r="S16" s="580" t="s">
        <v>510</v>
      </c>
    </row>
    <row r="17" spans="1:19">
      <c r="A17" s="581"/>
      <c r="B17" s="586"/>
      <c r="C17" s="586"/>
      <c r="D17" s="586"/>
      <c r="E17" s="586"/>
      <c r="F17" s="586"/>
      <c r="G17" s="586"/>
      <c r="H17" s="586"/>
      <c r="I17" s="586"/>
      <c r="J17" s="586"/>
      <c r="K17" s="586"/>
      <c r="L17" s="586"/>
      <c r="M17" s="586"/>
      <c r="N17" s="586"/>
      <c r="O17" s="586"/>
      <c r="P17" s="586"/>
      <c r="Q17" s="583"/>
      <c r="R17" s="583"/>
      <c r="S17" s="584"/>
    </row>
    <row r="18" spans="1:19" s="570" customFormat="1">
      <c r="A18" s="587" t="s">
        <v>51</v>
      </c>
      <c r="B18" s="208">
        <v>2010</v>
      </c>
      <c r="C18" s="208">
        <v>2011</v>
      </c>
      <c r="D18" s="208">
        <v>2012</v>
      </c>
      <c r="E18" s="208">
        <v>2013</v>
      </c>
      <c r="F18" s="208">
        <v>2014</v>
      </c>
      <c r="G18" s="208">
        <v>2015</v>
      </c>
      <c r="H18" s="208">
        <v>2016</v>
      </c>
      <c r="I18" s="208">
        <v>2017</v>
      </c>
      <c r="J18" s="208">
        <v>2018</v>
      </c>
      <c r="K18" s="208">
        <v>2019</v>
      </c>
      <c r="L18" s="208">
        <v>2020</v>
      </c>
      <c r="M18" s="208">
        <v>2021</v>
      </c>
      <c r="N18" s="208">
        <v>2022</v>
      </c>
      <c r="O18" s="208">
        <v>2023</v>
      </c>
      <c r="P18" s="208">
        <v>2024</v>
      </c>
      <c r="Q18" s="574" t="s">
        <v>241</v>
      </c>
      <c r="R18" s="575" t="s">
        <v>242</v>
      </c>
      <c r="S18" s="585" t="s">
        <v>22</v>
      </c>
    </row>
    <row r="19" spans="1:19" ht="30">
      <c r="A19" s="576" t="s">
        <v>737</v>
      </c>
      <c r="B19" s="299">
        <v>297.23063719556001</v>
      </c>
      <c r="C19" s="299">
        <v>458.6406520964602</v>
      </c>
      <c r="D19" s="299">
        <v>572.80871141660907</v>
      </c>
      <c r="E19" s="299">
        <v>499.97736322961754</v>
      </c>
      <c r="F19" s="299">
        <v>421.24077059503207</v>
      </c>
      <c r="G19" s="299">
        <v>427.146015042626</v>
      </c>
      <c r="H19" s="299">
        <v>385.80930390946867</v>
      </c>
      <c r="I19" s="299">
        <v>342.50417796044661</v>
      </c>
      <c r="J19" s="299">
        <v>338.5673483287174</v>
      </c>
      <c r="K19" s="299">
        <v>342.50417796044661</v>
      </c>
      <c r="L19" s="299">
        <v>383.84088909360401</v>
      </c>
      <c r="M19" s="299">
        <v>419.27235577916747</v>
      </c>
      <c r="N19" s="299">
        <v>647.60847441946521</v>
      </c>
      <c r="O19" s="299">
        <v>547.2193188103688</v>
      </c>
      <c r="P19" s="299">
        <v>417.30394096330281</v>
      </c>
      <c r="Q19" s="597" t="s">
        <v>49</v>
      </c>
      <c r="R19" s="596" t="s">
        <v>90</v>
      </c>
      <c r="S19" s="580" t="s">
        <v>777</v>
      </c>
    </row>
    <row r="20" spans="1:19" ht="30">
      <c r="A20" s="578" t="s">
        <v>738</v>
      </c>
      <c r="B20" s="618">
        <v>1164.0404159999998</v>
      </c>
      <c r="C20" s="618">
        <v>1898.6204663999999</v>
      </c>
      <c r="D20" s="618">
        <v>1834.245504</v>
      </c>
      <c r="E20" s="618">
        <v>1452.1845113999998</v>
      </c>
      <c r="F20" s="618">
        <v>1303.3725264</v>
      </c>
      <c r="G20" s="618">
        <v>1470.9237983999999</v>
      </c>
      <c r="H20" s="618">
        <v>1274.4919781999999</v>
      </c>
      <c r="I20" s="618">
        <v>1180.3546187999998</v>
      </c>
      <c r="J20" s="618">
        <v>1203.0622253999998</v>
      </c>
      <c r="K20" s="618">
        <v>1174.6226016000001</v>
      </c>
      <c r="L20" s="618">
        <v>1433.6656865999998</v>
      </c>
      <c r="M20" s="618">
        <v>1741.6513799999998</v>
      </c>
      <c r="N20" s="618">
        <v>2455.7284457999999</v>
      </c>
      <c r="O20" s="618">
        <v>1766.1226841999999</v>
      </c>
      <c r="P20" s="618">
        <v>1293.0108030000001</v>
      </c>
      <c r="Q20" s="578" t="s">
        <v>626</v>
      </c>
      <c r="R20" s="596" t="s">
        <v>627</v>
      </c>
      <c r="S20" s="580" t="s">
        <v>510</v>
      </c>
    </row>
    <row r="21" spans="1:19">
      <c r="A21" s="578" t="s">
        <v>739</v>
      </c>
      <c r="B21" s="503">
        <v>0.63377799999999995</v>
      </c>
      <c r="C21" s="503">
        <v>0.58928199999999997</v>
      </c>
      <c r="D21" s="503">
        <v>0.69996999999999998</v>
      </c>
      <c r="E21" s="503">
        <v>0.44329600000000002</v>
      </c>
      <c r="F21" s="503">
        <v>0.49646899999999999</v>
      </c>
      <c r="G21" s="503">
        <v>0.57448100000000002</v>
      </c>
      <c r="H21" s="503">
        <v>0.46401500000000001</v>
      </c>
      <c r="I21" s="503">
        <v>0.37507699999999999</v>
      </c>
      <c r="J21" s="503">
        <v>0.369423</v>
      </c>
      <c r="K21" s="503">
        <v>0.38526300000000002</v>
      </c>
      <c r="L21" s="503">
        <v>0.63092300000000001</v>
      </c>
      <c r="M21" s="503">
        <v>0.61635700000000004</v>
      </c>
      <c r="N21" s="503">
        <v>0.76308500000000001</v>
      </c>
      <c r="O21" s="503">
        <v>0.45808100000000002</v>
      </c>
      <c r="P21" s="503">
        <v>0.22733</v>
      </c>
      <c r="Q21" s="617" t="s">
        <v>49</v>
      </c>
      <c r="R21" s="596" t="s">
        <v>90</v>
      </c>
      <c r="S21" s="141" t="s">
        <v>492</v>
      </c>
    </row>
    <row r="22" spans="1:19">
      <c r="A22" s="589"/>
    </row>
    <row r="23" spans="1:19">
      <c r="A23" s="589"/>
    </row>
    <row r="24" spans="1:19">
      <c r="A24" s="589"/>
      <c r="B24" s="620"/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</row>
    <row r="25" spans="1:19">
      <c r="A25" s="589"/>
    </row>
    <row r="26" spans="1:19">
      <c r="A26" s="589"/>
    </row>
    <row r="27" spans="1:19">
      <c r="A27" s="589"/>
    </row>
    <row r="28" spans="1:19">
      <c r="A28" s="589"/>
    </row>
    <row r="29" spans="1:19">
      <c r="A29" s="589"/>
    </row>
    <row r="30" spans="1:19">
      <c r="A30" s="589"/>
    </row>
    <row r="31" spans="1:19">
      <c r="A31" s="589"/>
    </row>
    <row r="32" spans="1:19">
      <c r="A32" s="589"/>
    </row>
    <row r="33" spans="1:17">
      <c r="A33" s="589"/>
    </row>
    <row r="34" spans="1:17">
      <c r="A34" s="589"/>
    </row>
    <row r="35" spans="1:17">
      <c r="A35" s="589"/>
    </row>
    <row r="36" spans="1:17">
      <c r="A36" s="589"/>
    </row>
    <row r="37" spans="1:17">
      <c r="A37" s="589"/>
    </row>
    <row r="38" spans="1:17">
      <c r="A38" s="589"/>
    </row>
    <row r="39" spans="1:17">
      <c r="A39" s="589"/>
    </row>
    <row r="40" spans="1:17">
      <c r="A40" s="589"/>
    </row>
    <row r="41" spans="1:17">
      <c r="A41" s="589"/>
    </row>
    <row r="42" spans="1:17">
      <c r="A42" s="589"/>
    </row>
    <row r="43" spans="1:17">
      <c r="A43" s="589"/>
    </row>
    <row r="44" spans="1:17">
      <c r="A44" s="589" t="s">
        <v>687</v>
      </c>
    </row>
    <row r="45" spans="1:17">
      <c r="A45" s="589" t="s">
        <v>688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customFormat="1">
      <c r="A46" s="589" t="s">
        <v>713</v>
      </c>
    </row>
    <row r="47" spans="1:17">
      <c r="A47" s="589" t="s">
        <v>690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>
      <c r="A48" s="589" t="s">
        <v>691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>
      <c r="A49" s="589" t="s">
        <v>692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>
      <c r="A50" s="589" t="s">
        <v>693</v>
      </c>
      <c r="B50"/>
      <c r="C50" s="59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>
      <c r="A51" s="589" t="s">
        <v>694</v>
      </c>
      <c r="B51"/>
      <c r="C51" s="590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>
      <c r="A52" s="591"/>
      <c r="B52"/>
      <c r="C52" s="590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>
      <c r="A53" s="591"/>
      <c r="B53"/>
      <c r="C53" s="590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>
      <c r="A54" s="591"/>
      <c r="B54"/>
      <c r="C54" s="590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>
      <c r="A55" s="591"/>
      <c r="B55"/>
      <c r="C55" s="590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>
      <c r="A56"/>
      <c r="B56"/>
      <c r="C56" s="590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>
      <c r="A57"/>
      <c r="B57"/>
      <c r="C57" s="590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>
      <c r="A58"/>
      <c r="B58"/>
      <c r="C58" s="590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>
      <c r="A59"/>
      <c r="B59"/>
      <c r="C59" s="590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>
      <c r="B60" s="592"/>
      <c r="C60" s="592"/>
      <c r="D60" s="592"/>
      <c r="E60" s="592"/>
      <c r="F60" s="592"/>
      <c r="G60" s="592"/>
      <c r="H60" s="592"/>
      <c r="I60" s="592"/>
      <c r="J60" s="592"/>
      <c r="K60" s="592"/>
      <c r="L60" s="592"/>
      <c r="M60" s="592"/>
      <c r="N60" s="592"/>
      <c r="O60" s="592"/>
      <c r="P60" s="592"/>
    </row>
    <row r="61" spans="1:17">
      <c r="B61" s="592"/>
      <c r="C61" s="592"/>
      <c r="D61" s="592"/>
      <c r="E61" s="592"/>
      <c r="F61" s="592"/>
      <c r="G61" s="592"/>
      <c r="H61" s="592"/>
      <c r="I61" s="592"/>
      <c r="J61" s="592"/>
      <c r="K61" s="592"/>
      <c r="L61" s="592"/>
      <c r="M61" s="592"/>
      <c r="N61" s="592"/>
      <c r="O61" s="592"/>
      <c r="P61" s="592"/>
    </row>
    <row r="62" spans="1:17">
      <c r="B62" s="592"/>
      <c r="C62" s="592"/>
      <c r="D62" s="592"/>
      <c r="E62" s="592"/>
      <c r="F62" s="592"/>
      <c r="G62" s="592"/>
      <c r="H62" s="592"/>
      <c r="I62" s="592"/>
      <c r="J62" s="592"/>
      <c r="K62" s="592"/>
      <c r="L62" s="592"/>
      <c r="M62" s="592"/>
      <c r="N62" s="592"/>
      <c r="O62" s="592"/>
      <c r="P62" s="592"/>
    </row>
    <row r="91" spans="3:18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3:18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3:18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3:18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3:18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3:18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3:18"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3:18"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3:18"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3:18"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3:18"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</sheetData>
  <mergeCells count="1">
    <mergeCell ref="A1:A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E871-3DCF-4E4B-AC20-F0DB426F6860}">
  <sheetPr>
    <tabColor theme="9" tint="-0.499984740745262"/>
  </sheetPr>
  <dimension ref="A1:S107"/>
  <sheetViews>
    <sheetView zoomScale="70" zoomScaleNormal="70" workbookViewId="0">
      <selection sqref="A1:XFD1048576"/>
    </sheetView>
  </sheetViews>
  <sheetFormatPr defaultColWidth="8.85546875" defaultRowHeight="15"/>
  <cols>
    <col min="1" max="1" width="86.140625" style="571" bestFit="1" customWidth="1"/>
    <col min="2" max="2" width="14.42578125" style="570" customWidth="1"/>
    <col min="3" max="16" width="11.7109375" style="570" customWidth="1"/>
    <col min="17" max="17" width="25" style="571" bestFit="1" customWidth="1"/>
    <col min="18" max="18" width="79.28515625" style="571" customWidth="1"/>
    <col min="19" max="19" width="32.85546875" style="571" bestFit="1" customWidth="1"/>
    <col min="20" max="16384" width="8.85546875" style="571"/>
  </cols>
  <sheetData>
    <row r="1" spans="1:19">
      <c r="A1" s="638" t="s">
        <v>740</v>
      </c>
    </row>
    <row r="2" spans="1:19">
      <c r="A2" s="638"/>
      <c r="Q2" s="572"/>
    </row>
    <row r="3" spans="1:19" s="570" customFormat="1">
      <c r="A3" s="573" t="s">
        <v>19</v>
      </c>
      <c r="B3" s="208">
        <v>2010</v>
      </c>
      <c r="C3" s="208">
        <v>2011</v>
      </c>
      <c r="D3" s="208">
        <v>2012</v>
      </c>
      <c r="E3" s="208">
        <v>2013</v>
      </c>
      <c r="F3" s="208">
        <v>2014</v>
      </c>
      <c r="G3" s="208">
        <v>2015</v>
      </c>
      <c r="H3" s="208">
        <v>2016</v>
      </c>
      <c r="I3" s="208">
        <v>2017</v>
      </c>
      <c r="J3" s="208">
        <v>2018</v>
      </c>
      <c r="K3" s="208">
        <v>2019</v>
      </c>
      <c r="L3" s="208">
        <v>2020</v>
      </c>
      <c r="M3" s="208">
        <v>2021</v>
      </c>
      <c r="N3" s="208">
        <v>2022</v>
      </c>
      <c r="O3" s="208">
        <v>2023</v>
      </c>
      <c r="P3" s="208">
        <v>2024</v>
      </c>
      <c r="Q3" s="574" t="s">
        <v>241</v>
      </c>
      <c r="R3" s="575" t="s">
        <v>242</v>
      </c>
      <c r="S3" s="575" t="s">
        <v>22</v>
      </c>
    </row>
    <row r="4" spans="1:19">
      <c r="A4" s="576" t="s">
        <v>773</v>
      </c>
      <c r="B4" s="594"/>
      <c r="C4" s="594"/>
      <c r="D4" s="614">
        <v>6.5609999999999999</v>
      </c>
      <c r="E4" s="594"/>
      <c r="F4" s="594"/>
      <c r="G4" s="595"/>
      <c r="H4" s="595"/>
      <c r="I4" s="614">
        <v>6.3789999999999996</v>
      </c>
      <c r="J4" s="595"/>
      <c r="K4" s="595"/>
      <c r="L4" s="595"/>
      <c r="M4" s="595"/>
      <c r="N4" s="614">
        <v>4.9189999999999996</v>
      </c>
      <c r="O4" s="595"/>
      <c r="P4" s="595"/>
      <c r="Q4" s="580" t="s">
        <v>49</v>
      </c>
      <c r="R4" s="596" t="s">
        <v>774</v>
      </c>
      <c r="S4" s="561" t="s">
        <v>492</v>
      </c>
    </row>
    <row r="5" spans="1:19">
      <c r="A5" s="576" t="s">
        <v>741</v>
      </c>
      <c r="B5" s="503">
        <v>1.288</v>
      </c>
      <c r="C5" s="503">
        <v>1.1405999999999998</v>
      </c>
      <c r="D5" s="503">
        <v>1.6379999999999999</v>
      </c>
      <c r="E5" s="503">
        <v>1.0669999999999999</v>
      </c>
      <c r="F5" s="503">
        <v>1.3534999999999999</v>
      </c>
      <c r="G5" s="503">
        <v>1.625</v>
      </c>
      <c r="H5" s="503">
        <v>1.671</v>
      </c>
      <c r="I5" s="503">
        <v>1.8715999999999999</v>
      </c>
      <c r="J5" s="503">
        <v>1.4196</v>
      </c>
      <c r="K5" s="503">
        <v>1.4294</v>
      </c>
      <c r="L5" s="503">
        <v>1.6585000000000001</v>
      </c>
      <c r="M5" s="503">
        <v>1.5783</v>
      </c>
      <c r="N5" s="503">
        <v>1.4484999999999999</v>
      </c>
      <c r="O5" s="503">
        <v>1.645</v>
      </c>
      <c r="P5" s="503">
        <v>1.8009999999999999</v>
      </c>
      <c r="Q5" s="597" t="s">
        <v>49</v>
      </c>
      <c r="R5" s="596" t="s">
        <v>90</v>
      </c>
      <c r="S5" s="561" t="s">
        <v>492</v>
      </c>
    </row>
    <row r="6" spans="1:19">
      <c r="A6" s="581"/>
      <c r="B6" s="582"/>
      <c r="C6" s="582"/>
      <c r="D6" s="582"/>
      <c r="E6" s="582"/>
      <c r="F6" s="582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3"/>
      <c r="R6" s="583"/>
      <c r="S6" s="584"/>
    </row>
    <row r="7" spans="1:19" s="570" customFormat="1">
      <c r="A7" s="573" t="s">
        <v>37</v>
      </c>
      <c r="B7" s="208">
        <v>2010</v>
      </c>
      <c r="C7" s="208">
        <v>2011</v>
      </c>
      <c r="D7" s="208">
        <v>2012</v>
      </c>
      <c r="E7" s="208">
        <v>2013</v>
      </c>
      <c r="F7" s="208">
        <v>2014</v>
      </c>
      <c r="G7" s="208">
        <v>2015</v>
      </c>
      <c r="H7" s="208">
        <v>2016</v>
      </c>
      <c r="I7" s="208">
        <v>2017</v>
      </c>
      <c r="J7" s="208">
        <v>2018</v>
      </c>
      <c r="K7" s="208">
        <v>2019</v>
      </c>
      <c r="L7" s="208">
        <v>2020</v>
      </c>
      <c r="M7" s="208">
        <v>2021</v>
      </c>
      <c r="N7" s="208">
        <v>2022</v>
      </c>
      <c r="O7" s="208">
        <v>2023</v>
      </c>
      <c r="P7" s="208">
        <v>2024</v>
      </c>
      <c r="Q7" s="574" t="s">
        <v>241</v>
      </c>
      <c r="R7" s="575" t="s">
        <v>242</v>
      </c>
      <c r="S7" s="585" t="s">
        <v>22</v>
      </c>
    </row>
    <row r="8" spans="1:19" ht="30">
      <c r="A8" s="576" t="s">
        <v>742</v>
      </c>
      <c r="B8" s="569">
        <v>1.6745047450311212</v>
      </c>
      <c r="C8" s="569">
        <v>1.8855114391492058</v>
      </c>
      <c r="D8" s="569">
        <v>1.6595089770491269</v>
      </c>
      <c r="E8" s="569">
        <v>3.0635093000069857</v>
      </c>
      <c r="F8" s="569">
        <v>1.8929186046406143</v>
      </c>
      <c r="G8" s="569">
        <v>2.3535395183391983</v>
      </c>
      <c r="H8" s="569">
        <v>2.7221705126774567</v>
      </c>
      <c r="I8" s="569">
        <v>2.5317582787434763</v>
      </c>
      <c r="J8" s="569">
        <v>3.2274965957883031</v>
      </c>
      <c r="K8" s="569">
        <v>2.4909349539286101</v>
      </c>
      <c r="L8" s="569">
        <v>2.4788104264585948</v>
      </c>
      <c r="M8" s="569">
        <v>2.7953771666979645</v>
      </c>
      <c r="N8" s="569">
        <v>2.8844808769938792</v>
      </c>
      <c r="O8" s="569">
        <v>2.5137062045103424</v>
      </c>
      <c r="P8" s="569">
        <v>2.6660171222096127</v>
      </c>
      <c r="Q8" s="597" t="s">
        <v>49</v>
      </c>
      <c r="R8" s="596" t="s">
        <v>90</v>
      </c>
      <c r="S8" s="580" t="s">
        <v>510</v>
      </c>
    </row>
    <row r="9" spans="1:19" ht="30">
      <c r="A9" s="576" t="s">
        <v>743</v>
      </c>
      <c r="B9" s="569">
        <v>1.5751448547642182</v>
      </c>
      <c r="C9" s="569">
        <v>1.7819002531953325</v>
      </c>
      <c r="D9" s="569">
        <v>1.759469877375804</v>
      </c>
      <c r="E9" s="569">
        <v>1.7758804003588824</v>
      </c>
      <c r="F9" s="569">
        <v>1.8496251965189499</v>
      </c>
      <c r="G9" s="569">
        <v>1.7941497453985311</v>
      </c>
      <c r="H9" s="569">
        <v>2.2051249148380085</v>
      </c>
      <c r="I9" s="569">
        <v>2.1612021924846982</v>
      </c>
      <c r="J9" s="569">
        <v>2.1494287909673409</v>
      </c>
      <c r="K9" s="569">
        <v>2.1342641051391125</v>
      </c>
      <c r="L9" s="569">
        <v>1.9376978003485408</v>
      </c>
      <c r="M9" s="569">
        <v>2.2699879162958547</v>
      </c>
      <c r="N9" s="569">
        <v>2.2180589688391028</v>
      </c>
      <c r="O9" s="569">
        <v>2.1658849453557121</v>
      </c>
      <c r="P9" s="569">
        <v>2.3037922147198024</v>
      </c>
      <c r="Q9" s="597" t="s">
        <v>49</v>
      </c>
      <c r="R9" s="596" t="s">
        <v>90</v>
      </c>
      <c r="S9" s="580" t="s">
        <v>510</v>
      </c>
    </row>
    <row r="10" spans="1:19" ht="30">
      <c r="A10" s="576" t="s">
        <v>744</v>
      </c>
      <c r="B10" s="569">
        <v>3.2653443538166634E-2</v>
      </c>
      <c r="C10" s="569">
        <v>2.9415927084098771E-2</v>
      </c>
      <c r="D10" s="569">
        <v>0.11519153850410638</v>
      </c>
      <c r="E10" s="569">
        <v>5.3927748158187662E-2</v>
      </c>
      <c r="F10" s="569">
        <v>3.9831680895863329E-2</v>
      </c>
      <c r="G10" s="569">
        <v>4.06716434835541E-2</v>
      </c>
      <c r="H10" s="569">
        <v>4.2772411778527114E-2</v>
      </c>
      <c r="I10" s="569">
        <v>7.3343502877137229E-2</v>
      </c>
      <c r="J10" s="569">
        <v>7.7289304016743013E-2</v>
      </c>
      <c r="K10" s="569">
        <v>5.3117904112360309E-2</v>
      </c>
      <c r="L10" s="569">
        <v>5.1908036842597059E-2</v>
      </c>
      <c r="M10" s="569">
        <v>5.4891859012565422E-2</v>
      </c>
      <c r="N10" s="569">
        <v>4.8548277210333571E-2</v>
      </c>
      <c r="O10" s="569">
        <v>4.6779765420103765E-2</v>
      </c>
      <c r="P10" s="569">
        <v>4.7315911752672343E-2</v>
      </c>
      <c r="Q10" s="597" t="s">
        <v>49</v>
      </c>
      <c r="R10" s="596" t="s">
        <v>90</v>
      </c>
      <c r="S10" s="580" t="s">
        <v>510</v>
      </c>
    </row>
    <row r="11" spans="1:19" ht="30">
      <c r="A11" s="576" t="s">
        <v>745</v>
      </c>
      <c r="B11" s="569">
        <v>0.26870434024517581</v>
      </c>
      <c r="C11" s="569">
        <v>0.27491492872701079</v>
      </c>
      <c r="D11" s="569">
        <v>0.2477457813629729</v>
      </c>
      <c r="E11" s="569">
        <v>0.53986905691769393</v>
      </c>
      <c r="F11" s="569">
        <v>0.49724233904950599</v>
      </c>
      <c r="G11" s="569">
        <v>0.48972957722457638</v>
      </c>
      <c r="H11" s="569">
        <v>0.70048248634006194</v>
      </c>
      <c r="I11" s="569">
        <v>0.60234539072911364</v>
      </c>
      <c r="J11" s="569">
        <v>0.57680532082143787</v>
      </c>
      <c r="K11" s="569">
        <v>0.54404759636799416</v>
      </c>
      <c r="L11" s="569">
        <v>0.73041473776456922</v>
      </c>
      <c r="M11" s="569">
        <v>0.64833177751106541</v>
      </c>
      <c r="N11" s="569">
        <v>0.53711883488416612</v>
      </c>
      <c r="O11" s="569">
        <v>0.54300333571922987</v>
      </c>
      <c r="P11" s="569">
        <v>0.66013429966679105</v>
      </c>
      <c r="Q11" s="597" t="s">
        <v>49</v>
      </c>
      <c r="R11" s="596" t="s">
        <v>90</v>
      </c>
      <c r="S11" s="580" t="s">
        <v>510</v>
      </c>
    </row>
    <row r="12" spans="1:19" ht="30">
      <c r="A12" s="576" t="s">
        <v>607</v>
      </c>
      <c r="B12" s="569">
        <v>0.9661973798682949</v>
      </c>
      <c r="C12" s="569">
        <v>0.82950637342818867</v>
      </c>
      <c r="D12" s="569">
        <v>0.68761855773914993</v>
      </c>
      <c r="E12" s="569">
        <v>0.45510341455360603</v>
      </c>
      <c r="F12" s="569">
        <v>1.256790960082953</v>
      </c>
      <c r="G12" s="569">
        <v>0.8426737100509748</v>
      </c>
      <c r="H12" s="569">
        <v>0.95300554925061987</v>
      </c>
      <c r="I12" s="569">
        <v>0.81234107252853327</v>
      </c>
      <c r="J12" s="569">
        <v>0.65389531629458486</v>
      </c>
      <c r="K12" s="569">
        <v>1.2324471043108525</v>
      </c>
      <c r="L12" s="569">
        <v>1.0981882608447164</v>
      </c>
      <c r="M12" s="569">
        <v>0.96079418603279854</v>
      </c>
      <c r="N12" s="569">
        <v>0.89274351793640827</v>
      </c>
      <c r="O12" s="569">
        <v>1.0705948684173523</v>
      </c>
      <c r="P12" s="569">
        <v>0.92219255727285687</v>
      </c>
      <c r="Q12" s="597" t="s">
        <v>49</v>
      </c>
      <c r="R12" s="596" t="s">
        <v>90</v>
      </c>
      <c r="S12" s="580" t="s">
        <v>510</v>
      </c>
    </row>
    <row r="13" spans="1:19" ht="30">
      <c r="A13" s="576" t="s">
        <v>608</v>
      </c>
      <c r="B13" s="569">
        <v>1.8438418545712272</v>
      </c>
      <c r="C13" s="569">
        <v>2.0566976617382444</v>
      </c>
      <c r="D13" s="569">
        <v>2.007189721634671</v>
      </c>
      <c r="E13" s="569">
        <v>2.1364542311561801</v>
      </c>
      <c r="F13" s="569">
        <v>2.0743832729601719</v>
      </c>
      <c r="G13" s="569">
        <v>2.4315179654380659</v>
      </c>
      <c r="H13" s="569">
        <v>1.9912397680872278</v>
      </c>
      <c r="I13" s="569">
        <v>2.439917137722476</v>
      </c>
      <c r="J13" s="569">
        <v>2.2937419657428806</v>
      </c>
      <c r="K13" s="569">
        <v>2.0912691608810943</v>
      </c>
      <c r="L13" s="569">
        <v>1.9898268274561355</v>
      </c>
      <c r="M13" s="569">
        <v>2.4045215007379954</v>
      </c>
      <c r="N13" s="569">
        <v>2.291229063304276</v>
      </c>
      <c r="O13" s="569">
        <v>1.9758298701546118</v>
      </c>
      <c r="P13" s="569">
        <v>1.977130773438712</v>
      </c>
      <c r="Q13" s="597" t="s">
        <v>49</v>
      </c>
      <c r="R13" s="596" t="s">
        <v>90</v>
      </c>
      <c r="S13" s="580" t="s">
        <v>510</v>
      </c>
    </row>
    <row r="14" spans="1:19">
      <c r="A14" s="600" t="s">
        <v>609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601"/>
      <c r="O14" s="601"/>
      <c r="P14" s="601"/>
      <c r="Q14" s="580"/>
      <c r="R14" s="596"/>
      <c r="S14" s="580"/>
    </row>
    <row r="15" spans="1:19" ht="30">
      <c r="A15" s="576" t="s">
        <v>746</v>
      </c>
      <c r="B15" s="569">
        <v>0.19762771123575834</v>
      </c>
      <c r="C15" s="569">
        <v>0.26671601753044288</v>
      </c>
      <c r="D15" s="569">
        <v>0.27446800403878763</v>
      </c>
      <c r="E15" s="569">
        <v>0.29827798144080936</v>
      </c>
      <c r="F15" s="569">
        <v>0.30073763212015486</v>
      </c>
      <c r="G15" s="569">
        <v>0.3064255006073604</v>
      </c>
      <c r="H15" s="569">
        <v>0.32160111801478897</v>
      </c>
      <c r="I15" s="569">
        <v>0.3991308714146915</v>
      </c>
      <c r="J15" s="569">
        <v>0.31977472782182165</v>
      </c>
      <c r="K15" s="569">
        <v>0.29416131200722845</v>
      </c>
      <c r="L15" s="569">
        <v>0.3511492219527883</v>
      </c>
      <c r="M15" s="569">
        <v>0.39594551809788714</v>
      </c>
      <c r="N15" s="569">
        <v>0.38212097130483147</v>
      </c>
      <c r="O15" s="569">
        <v>0.36047122817426303</v>
      </c>
      <c r="P15" s="569">
        <v>0.2967563600472099</v>
      </c>
      <c r="Q15" s="597" t="s">
        <v>49</v>
      </c>
      <c r="R15" s="596" t="s">
        <v>90</v>
      </c>
      <c r="S15" s="580" t="s">
        <v>510</v>
      </c>
    </row>
    <row r="16" spans="1:19" ht="30">
      <c r="A16" s="576" t="s">
        <v>779</v>
      </c>
      <c r="B16" s="621">
        <v>0.94140920611333823</v>
      </c>
      <c r="C16" s="621">
        <v>1.0062649236467749</v>
      </c>
      <c r="D16" s="621">
        <v>0.99188666878040777</v>
      </c>
      <c r="E16" s="621">
        <v>1.0207050987425508</v>
      </c>
      <c r="F16" s="621">
        <v>1.0501433865306615</v>
      </c>
      <c r="G16" s="621">
        <v>1.0761671965534227</v>
      </c>
      <c r="H16" s="621">
        <v>1.1067105462977325</v>
      </c>
      <c r="I16" s="621">
        <v>1.1093225279435659</v>
      </c>
      <c r="J16" s="621">
        <v>1.1190392720384721</v>
      </c>
      <c r="K16" s="621">
        <v>1.1135352834635599</v>
      </c>
      <c r="L16" s="621">
        <v>1.1473107402992442</v>
      </c>
      <c r="M16" s="621">
        <v>1.1885251644046013</v>
      </c>
      <c r="N16" s="621">
        <v>1.1846198037123825</v>
      </c>
      <c r="O16" s="621">
        <v>1.1753717152418874</v>
      </c>
      <c r="P16" s="621">
        <v>1.1311193428170452</v>
      </c>
      <c r="Q16" s="597" t="s">
        <v>49</v>
      </c>
      <c r="R16" s="596" t="s">
        <v>90</v>
      </c>
      <c r="S16" s="580" t="s">
        <v>510</v>
      </c>
    </row>
    <row r="17" spans="1:19" ht="30">
      <c r="A17" s="576" t="s">
        <v>781</v>
      </c>
      <c r="B17" s="621">
        <v>0.14315152438830786</v>
      </c>
      <c r="C17" s="621">
        <v>0.17937406049653865</v>
      </c>
      <c r="D17" s="621">
        <v>0.17902297990313079</v>
      </c>
      <c r="E17" s="621">
        <v>0.17323332525938687</v>
      </c>
      <c r="F17" s="621">
        <v>0.17949834484097502</v>
      </c>
      <c r="G17" s="621">
        <v>0.17048546190684846</v>
      </c>
      <c r="H17" s="621">
        <v>0.17123343593595636</v>
      </c>
      <c r="I17" s="621">
        <v>0.18493011500384196</v>
      </c>
      <c r="J17" s="621">
        <v>0.17214016733934437</v>
      </c>
      <c r="K17" s="621">
        <v>0.17278971179639865</v>
      </c>
      <c r="L17" s="621">
        <v>0.17946251103363753</v>
      </c>
      <c r="M17" s="621">
        <v>0.1964989916638771</v>
      </c>
      <c r="N17" s="621">
        <v>0.22232019820177792</v>
      </c>
      <c r="O17" s="621">
        <v>0.20038764014874205</v>
      </c>
      <c r="P17" s="621">
        <v>0.18608223994861706</v>
      </c>
      <c r="Q17" s="597" t="s">
        <v>49</v>
      </c>
      <c r="R17" s="596" t="s">
        <v>90</v>
      </c>
      <c r="S17" s="580" t="s">
        <v>510</v>
      </c>
    </row>
    <row r="18" spans="1:19" ht="30">
      <c r="A18" s="576" t="s">
        <v>782</v>
      </c>
      <c r="B18" s="621">
        <v>0.1601013688514403</v>
      </c>
      <c r="C18" s="621">
        <v>0.17924932255960435</v>
      </c>
      <c r="D18" s="621">
        <v>0.17693191848761375</v>
      </c>
      <c r="E18" s="621">
        <v>0.18163159035880075</v>
      </c>
      <c r="F18" s="621">
        <v>0.19495224124589158</v>
      </c>
      <c r="G18" s="621">
        <v>0.19435395274110484</v>
      </c>
      <c r="H18" s="621">
        <v>0.22937809746977034</v>
      </c>
      <c r="I18" s="621">
        <v>0.21332092304258965</v>
      </c>
      <c r="J18" s="621">
        <v>0.23806575458287182</v>
      </c>
      <c r="K18" s="621">
        <v>0.21213432506797084</v>
      </c>
      <c r="L18" s="621">
        <v>0.2183730362846783</v>
      </c>
      <c r="M18" s="621">
        <v>0.22931278015006656</v>
      </c>
      <c r="N18" s="621">
        <v>0.22015520120909618</v>
      </c>
      <c r="O18" s="621">
        <v>0.20666717469026438</v>
      </c>
      <c r="P18" s="621">
        <v>0.18404833118784084</v>
      </c>
      <c r="Q18" s="597" t="s">
        <v>49</v>
      </c>
      <c r="R18" s="596" t="s">
        <v>90</v>
      </c>
      <c r="S18" s="580" t="s">
        <v>510</v>
      </c>
    </row>
    <row r="19" spans="1:19" ht="30">
      <c r="A19" s="576" t="s">
        <v>783</v>
      </c>
      <c r="B19" s="621">
        <v>0.54060106449087419</v>
      </c>
      <c r="C19" s="621">
        <v>0.55031157268683706</v>
      </c>
      <c r="D19" s="621">
        <v>0.54328950722618219</v>
      </c>
      <c r="E19" s="621">
        <v>0.55694763093174249</v>
      </c>
      <c r="F19" s="621">
        <v>0.55255277321917329</v>
      </c>
      <c r="G19" s="621">
        <v>0.59137348715562121</v>
      </c>
      <c r="H19" s="621">
        <v>0.58950423247159833</v>
      </c>
      <c r="I19" s="621">
        <v>0.60699521278477675</v>
      </c>
      <c r="J19" s="621">
        <v>0.59627772924338052</v>
      </c>
      <c r="K19" s="621">
        <v>0.60891935216105075</v>
      </c>
      <c r="L19" s="621">
        <v>0.63968517051902773</v>
      </c>
      <c r="M19" s="621">
        <v>0.65718839782965066</v>
      </c>
      <c r="N19" s="621">
        <v>0.63916626070138105</v>
      </c>
      <c r="O19" s="621">
        <v>0.67139536845772207</v>
      </c>
      <c r="P19" s="621">
        <v>0.65897600586404381</v>
      </c>
      <c r="Q19" s="597" t="s">
        <v>49</v>
      </c>
      <c r="R19" s="596" t="s">
        <v>90</v>
      </c>
      <c r="S19" s="580" t="s">
        <v>510</v>
      </c>
    </row>
    <row r="20" spans="1:19" ht="30">
      <c r="A20" s="576" t="s">
        <v>784</v>
      </c>
      <c r="B20" s="621">
        <v>7.1849051674164558E-3</v>
      </c>
      <c r="C20" s="621">
        <v>7.6611772902565618E-3</v>
      </c>
      <c r="D20" s="621">
        <v>8.9180821020564995E-3</v>
      </c>
      <c r="E20" s="621">
        <v>9.3730353774932867E-3</v>
      </c>
      <c r="F20" s="621">
        <v>1.3200902467633909E-2</v>
      </c>
      <c r="G20" s="621">
        <v>2.412159544810856E-2</v>
      </c>
      <c r="H20" s="621">
        <v>2.7845136263722307E-2</v>
      </c>
      <c r="I20" s="621">
        <v>2.5749992515723782E-2</v>
      </c>
      <c r="J20" s="621">
        <v>4.3519025030141226E-2</v>
      </c>
      <c r="K20" s="621">
        <v>5.1097648485772168E-2</v>
      </c>
      <c r="L20" s="621">
        <v>4.1534104259142834E-2</v>
      </c>
      <c r="M20" s="621">
        <v>3.2965288380502424E-2</v>
      </c>
      <c r="N20" s="621">
        <v>2.7294021378721615E-2</v>
      </c>
      <c r="O20" s="621">
        <v>2.0571326966709033E-2</v>
      </c>
      <c r="P20" s="621">
        <v>2.4810602452483919E-2</v>
      </c>
      <c r="Q20" s="597" t="s">
        <v>49</v>
      </c>
      <c r="R20" s="596" t="s">
        <v>90</v>
      </c>
      <c r="S20" s="580" t="s">
        <v>510</v>
      </c>
    </row>
    <row r="21" spans="1:19" ht="30">
      <c r="A21" s="576" t="s">
        <v>785</v>
      </c>
      <c r="B21" s="621">
        <v>9.0370343215299492E-2</v>
      </c>
      <c r="C21" s="621">
        <v>8.9668790613538302E-2</v>
      </c>
      <c r="D21" s="621">
        <v>8.3724181061424596E-2</v>
      </c>
      <c r="E21" s="621">
        <v>9.9519516815127496E-2</v>
      </c>
      <c r="F21" s="621">
        <v>0.10993912475698783</v>
      </c>
      <c r="G21" s="621">
        <v>9.5832699301739738E-2</v>
      </c>
      <c r="H21" s="621">
        <v>8.8749644156685376E-2</v>
      </c>
      <c r="I21" s="621">
        <v>7.8326284596633822E-2</v>
      </c>
      <c r="J21" s="621">
        <v>6.9036595842734041E-2</v>
      </c>
      <c r="K21" s="621">
        <v>6.859424595236735E-2</v>
      </c>
      <c r="L21" s="621">
        <v>6.8255918202757671E-2</v>
      </c>
      <c r="M21" s="621">
        <v>7.2559706380504241E-2</v>
      </c>
      <c r="N21" s="621">
        <v>7.5684122221405761E-2</v>
      </c>
      <c r="O21" s="621">
        <v>7.6350204978449826E-2</v>
      </c>
      <c r="P21" s="621">
        <v>7.7202163364059689E-2</v>
      </c>
      <c r="Q21" s="597" t="s">
        <v>49</v>
      </c>
      <c r="R21" s="596" t="s">
        <v>90</v>
      </c>
      <c r="S21" s="580" t="s">
        <v>510</v>
      </c>
    </row>
    <row r="22" spans="1:19" ht="30">
      <c r="A22" s="576" t="s">
        <v>780</v>
      </c>
      <c r="B22" s="569">
        <v>0.19323249064919065</v>
      </c>
      <c r="C22" s="569">
        <v>0.24335623068262952</v>
      </c>
      <c r="D22" s="569">
        <v>0.22705379879181103</v>
      </c>
      <c r="E22" s="569">
        <v>0.21012890191606545</v>
      </c>
      <c r="F22" s="569">
        <v>0.24839251354653993</v>
      </c>
      <c r="G22" s="569">
        <v>0.13515677517506405</v>
      </c>
      <c r="H22" s="569">
        <v>0.47883854919346719</v>
      </c>
      <c r="I22" s="569">
        <v>0.35171616721596721</v>
      </c>
      <c r="J22" s="569">
        <v>0.38954324142642144</v>
      </c>
      <c r="K22" s="569">
        <v>0.40947205461979425</v>
      </c>
      <c r="L22" s="569">
        <v>0.10733808335397181</v>
      </c>
      <c r="M22" s="569">
        <v>0.34566247637917069</v>
      </c>
      <c r="N22" s="569">
        <v>0.3289222823685875</v>
      </c>
      <c r="O22" s="569">
        <v>0.30923886271660178</v>
      </c>
      <c r="P22" s="569">
        <v>0.59028504659755732</v>
      </c>
      <c r="Q22" s="597" t="s">
        <v>49</v>
      </c>
      <c r="R22" s="596" t="s">
        <v>90</v>
      </c>
      <c r="S22" s="580" t="s">
        <v>510</v>
      </c>
    </row>
    <row r="23" spans="1:19">
      <c r="A23" s="581"/>
      <c r="B23" s="586"/>
      <c r="C23" s="586"/>
      <c r="D23" s="586"/>
      <c r="E23" s="586"/>
      <c r="F23" s="586"/>
      <c r="G23" s="586"/>
      <c r="H23" s="586"/>
      <c r="I23" s="586"/>
      <c r="J23" s="586"/>
      <c r="K23" s="586"/>
      <c r="L23" s="586"/>
      <c r="M23" s="586"/>
      <c r="N23" s="586"/>
      <c r="O23" s="586"/>
      <c r="P23" s="586"/>
      <c r="Q23" s="583"/>
      <c r="R23" s="583"/>
      <c r="S23" s="584"/>
    </row>
    <row r="24" spans="1:19" s="570" customFormat="1">
      <c r="A24" s="587" t="s">
        <v>51</v>
      </c>
      <c r="B24" s="208">
        <v>2010</v>
      </c>
      <c r="C24" s="208">
        <v>2011</v>
      </c>
      <c r="D24" s="208">
        <v>2012</v>
      </c>
      <c r="E24" s="208">
        <v>2013</v>
      </c>
      <c r="F24" s="208">
        <v>2014</v>
      </c>
      <c r="G24" s="208">
        <v>2015</v>
      </c>
      <c r="H24" s="208">
        <v>2016</v>
      </c>
      <c r="I24" s="208">
        <v>2017</v>
      </c>
      <c r="J24" s="208">
        <v>2018</v>
      </c>
      <c r="K24" s="208">
        <v>2019</v>
      </c>
      <c r="L24" s="208">
        <v>2020</v>
      </c>
      <c r="M24" s="208">
        <v>2021</v>
      </c>
      <c r="N24" s="208">
        <v>2022</v>
      </c>
      <c r="O24" s="208">
        <v>2023</v>
      </c>
      <c r="P24" s="208">
        <v>2024</v>
      </c>
      <c r="Q24" s="574" t="s">
        <v>241</v>
      </c>
      <c r="R24" s="575" t="s">
        <v>242</v>
      </c>
      <c r="S24" s="585" t="s">
        <v>22</v>
      </c>
    </row>
    <row r="25" spans="1:19" ht="30">
      <c r="A25" s="576" t="s">
        <v>747</v>
      </c>
      <c r="B25" s="299">
        <v>478.40297399999997</v>
      </c>
      <c r="C25" s="299">
        <v>496.03994999999998</v>
      </c>
      <c r="D25" s="299">
        <v>701.06979599999988</v>
      </c>
      <c r="E25" s="299">
        <v>663.59122200000002</v>
      </c>
      <c r="F25" s="299">
        <v>548.95087799999999</v>
      </c>
      <c r="G25" s="299">
        <v>485.01683999999995</v>
      </c>
      <c r="H25" s="299">
        <v>425.49204599999996</v>
      </c>
      <c r="I25" s="299">
        <v>434.31053399999996</v>
      </c>
      <c r="J25" s="299">
        <v>504.85843799999998</v>
      </c>
      <c r="K25" s="299">
        <v>473.99372999999997</v>
      </c>
      <c r="L25" s="299">
        <v>451.94750999999997</v>
      </c>
      <c r="M25" s="299">
        <v>462.97062</v>
      </c>
      <c r="N25" s="299">
        <v>535.72314599999993</v>
      </c>
      <c r="O25" s="299">
        <v>590.83869600000003</v>
      </c>
      <c r="P25" s="299">
        <v>593.04331799999989</v>
      </c>
      <c r="Q25" s="597" t="s">
        <v>49</v>
      </c>
      <c r="R25" s="596" t="s">
        <v>90</v>
      </c>
      <c r="S25" s="580" t="s">
        <v>510</v>
      </c>
    </row>
    <row r="26" spans="1:19">
      <c r="A26" s="578" t="s">
        <v>748</v>
      </c>
      <c r="B26" s="298">
        <v>1400.9916666666666</v>
      </c>
      <c r="C26" s="298">
        <v>1866.09</v>
      </c>
      <c r="D26" s="298">
        <v>2359.0583333333334</v>
      </c>
      <c r="E26" s="298">
        <v>1820.6216666666667</v>
      </c>
      <c r="F26" s="298">
        <v>1394.9849999999999</v>
      </c>
      <c r="G26" s="298">
        <v>1377.9591666666665</v>
      </c>
      <c r="H26" s="298">
        <v>1380.6308333333334</v>
      </c>
      <c r="I26" s="298">
        <v>1460.7925000000002</v>
      </c>
      <c r="J26" s="298">
        <v>1446.21</v>
      </c>
      <c r="K26" s="298">
        <v>1411.7849999999999</v>
      </c>
      <c r="L26" s="298">
        <v>1707.9166666666667</v>
      </c>
      <c r="M26" s="298">
        <v>2075.0950000000003</v>
      </c>
      <c r="N26" s="298">
        <v>2202.5524999999998</v>
      </c>
      <c r="O26" s="298">
        <v>2034.655</v>
      </c>
      <c r="P26" s="298">
        <v>1795.5150000000001</v>
      </c>
      <c r="Q26" s="622" t="s">
        <v>786</v>
      </c>
      <c r="R26" s="596" t="s">
        <v>787</v>
      </c>
      <c r="S26" s="611" t="s">
        <v>492</v>
      </c>
    </row>
    <row r="27" spans="1:19">
      <c r="A27" s="578" t="s">
        <v>749</v>
      </c>
      <c r="B27" s="503">
        <v>0.93861099999999997</v>
      </c>
      <c r="C27" s="503">
        <v>1.168587</v>
      </c>
      <c r="D27" s="503">
        <v>2.0263260000000001</v>
      </c>
      <c r="E27" s="503">
        <v>1.0550952999999998</v>
      </c>
      <c r="F27" s="503">
        <v>1.1582509999999999</v>
      </c>
      <c r="G27" s="503">
        <v>1.16056</v>
      </c>
      <c r="H27" s="503">
        <v>1.088165</v>
      </c>
      <c r="I27" s="503">
        <v>1.6340170000000001</v>
      </c>
      <c r="J27" s="503">
        <v>1.1751369999999999</v>
      </c>
      <c r="K27" s="503">
        <v>1.130914</v>
      </c>
      <c r="L27" s="503">
        <v>1.295647</v>
      </c>
      <c r="M27" s="503">
        <v>1.561993</v>
      </c>
      <c r="N27" s="503">
        <v>1.501234</v>
      </c>
      <c r="O27" s="503">
        <v>1.61005</v>
      </c>
      <c r="P27" s="503">
        <v>1.6845669999999999</v>
      </c>
      <c r="Q27" s="617" t="s">
        <v>49</v>
      </c>
      <c r="R27" s="596" t="s">
        <v>90</v>
      </c>
      <c r="S27" s="141" t="s">
        <v>492</v>
      </c>
    </row>
    <row r="28" spans="1:19">
      <c r="A28" s="589"/>
    </row>
    <row r="29" spans="1:19">
      <c r="A29" s="589"/>
    </row>
    <row r="30" spans="1:19">
      <c r="A30" s="589"/>
      <c r="B30" s="619"/>
    </row>
    <row r="31" spans="1:19">
      <c r="A31" s="589"/>
    </row>
    <row r="32" spans="1:19">
      <c r="A32" s="589"/>
    </row>
    <row r="33" spans="1:1">
      <c r="A33" s="589"/>
    </row>
    <row r="34" spans="1:1">
      <c r="A34" s="589"/>
    </row>
    <row r="35" spans="1:1">
      <c r="A35" s="589"/>
    </row>
    <row r="36" spans="1:1">
      <c r="A36" s="589"/>
    </row>
    <row r="37" spans="1:1">
      <c r="A37" s="589"/>
    </row>
    <row r="38" spans="1:1">
      <c r="A38" s="589"/>
    </row>
    <row r="39" spans="1:1">
      <c r="A39" s="589"/>
    </row>
    <row r="40" spans="1:1">
      <c r="A40" s="589"/>
    </row>
    <row r="41" spans="1:1">
      <c r="A41" s="589"/>
    </row>
    <row r="42" spans="1:1">
      <c r="A42" s="589"/>
    </row>
    <row r="43" spans="1:1">
      <c r="A43" s="589"/>
    </row>
    <row r="44" spans="1:1">
      <c r="A44" s="589"/>
    </row>
    <row r="45" spans="1:1">
      <c r="A45" s="589"/>
    </row>
    <row r="46" spans="1:1">
      <c r="A46" s="589"/>
    </row>
    <row r="47" spans="1:1">
      <c r="A47" s="589"/>
    </row>
    <row r="48" spans="1:1">
      <c r="A48" s="589"/>
    </row>
    <row r="49" spans="1:17">
      <c r="A49" s="589"/>
    </row>
    <row r="50" spans="1:17">
      <c r="A50" s="589" t="s">
        <v>687</v>
      </c>
    </row>
    <row r="51" spans="1:17">
      <c r="A51" s="589" t="s">
        <v>688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customFormat="1">
      <c r="A52" s="589" t="s">
        <v>713</v>
      </c>
    </row>
    <row r="53" spans="1:17">
      <c r="A53" s="589" t="s">
        <v>690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>
      <c r="A54" s="589" t="s">
        <v>691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>
      <c r="A55" s="589" t="s">
        <v>692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>
      <c r="A56" s="589" t="s">
        <v>693</v>
      </c>
      <c r="B56"/>
      <c r="C56" s="590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>
      <c r="A57" s="589" t="s">
        <v>694</v>
      </c>
      <c r="B57"/>
      <c r="C57" s="590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>
      <c r="A58" s="591"/>
      <c r="B58"/>
      <c r="C58" s="590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>
      <c r="A59" s="591"/>
      <c r="B59"/>
      <c r="C59" s="590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>
      <c r="A60" s="591"/>
      <c r="B60"/>
      <c r="C60" s="59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>
      <c r="A61" s="591"/>
      <c r="B61"/>
      <c r="C61" s="590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>
      <c r="A62"/>
      <c r="B62"/>
      <c r="C62" s="590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>
      <c r="A63"/>
      <c r="B63"/>
      <c r="C63" s="590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>
      <c r="A64"/>
      <c r="B64"/>
      <c r="C64" s="590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>
      <c r="A65"/>
      <c r="B65"/>
      <c r="C65" s="590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>
      <c r="B66" s="592"/>
      <c r="C66" s="592"/>
      <c r="D66" s="592"/>
      <c r="E66" s="592"/>
      <c r="F66" s="592"/>
      <c r="G66" s="592"/>
      <c r="H66" s="592"/>
      <c r="I66" s="592"/>
      <c r="J66" s="592"/>
      <c r="K66" s="592"/>
      <c r="L66" s="592"/>
      <c r="M66" s="592"/>
      <c r="N66" s="592"/>
      <c r="O66" s="592"/>
      <c r="P66" s="592"/>
    </row>
    <row r="67" spans="1:17">
      <c r="B67" s="592"/>
      <c r="C67" s="592"/>
      <c r="D67" s="592"/>
      <c r="E67" s="592"/>
      <c r="F67" s="592"/>
      <c r="G67" s="592"/>
      <c r="H67" s="592"/>
      <c r="I67" s="592"/>
      <c r="J67" s="592"/>
      <c r="K67" s="592"/>
      <c r="L67" s="592"/>
      <c r="M67" s="592"/>
      <c r="N67" s="592"/>
      <c r="O67" s="592"/>
      <c r="P67" s="592"/>
    </row>
    <row r="68" spans="1:17">
      <c r="B68" s="592"/>
      <c r="C68" s="592"/>
      <c r="D68" s="592"/>
      <c r="E68" s="592"/>
      <c r="F68" s="592"/>
      <c r="G68" s="592"/>
      <c r="H68" s="592"/>
      <c r="I68" s="592"/>
      <c r="J68" s="592"/>
      <c r="K68" s="592"/>
      <c r="L68" s="592"/>
      <c r="M68" s="592"/>
      <c r="N68" s="592"/>
      <c r="O68" s="592"/>
      <c r="P68" s="592"/>
    </row>
    <row r="97" spans="3:18"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3:18"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3:18"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3:18"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3:18"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3:18"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3:18"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3:18"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3:18"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3:18"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3:18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</sheetData>
  <mergeCells count="1">
    <mergeCell ref="A1:A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70CB-11C2-45A7-B26E-43696C35BD0A}">
  <sheetPr>
    <tabColor theme="9" tint="-0.499984740745262"/>
  </sheetPr>
  <dimension ref="A1:S101"/>
  <sheetViews>
    <sheetView zoomScale="70" zoomScaleNormal="70" workbookViewId="0">
      <selection sqref="A1:XFD1048576"/>
    </sheetView>
  </sheetViews>
  <sheetFormatPr defaultColWidth="8.85546875" defaultRowHeight="15"/>
  <cols>
    <col min="1" max="1" width="86.140625" style="571" bestFit="1" customWidth="1"/>
    <col min="2" max="16" width="11.7109375" style="570" customWidth="1"/>
    <col min="17" max="17" width="25" style="571" bestFit="1" customWidth="1"/>
    <col min="18" max="18" width="75.140625" style="571" customWidth="1"/>
    <col min="19" max="19" width="32.85546875" style="571" bestFit="1" customWidth="1"/>
    <col min="20" max="16384" width="8.85546875" style="571"/>
  </cols>
  <sheetData>
    <row r="1" spans="1:19">
      <c r="A1" s="638" t="s">
        <v>750</v>
      </c>
    </row>
    <row r="2" spans="1:19">
      <c r="A2" s="638"/>
      <c r="Q2" s="572"/>
    </row>
    <row r="3" spans="1:19" s="570" customFormat="1">
      <c r="A3" s="573" t="s">
        <v>19</v>
      </c>
      <c r="B3" s="208">
        <v>2010</v>
      </c>
      <c r="C3" s="208">
        <v>2011</v>
      </c>
      <c r="D3" s="208">
        <v>2012</v>
      </c>
      <c r="E3" s="208">
        <v>2013</v>
      </c>
      <c r="F3" s="208">
        <v>2014</v>
      </c>
      <c r="G3" s="208">
        <v>2015</v>
      </c>
      <c r="H3" s="208">
        <v>2016</v>
      </c>
      <c r="I3" s="208">
        <v>2017</v>
      </c>
      <c r="J3" s="208">
        <v>2018</v>
      </c>
      <c r="K3" s="208">
        <v>2019</v>
      </c>
      <c r="L3" s="208">
        <v>2020</v>
      </c>
      <c r="M3" s="208">
        <v>2021</v>
      </c>
      <c r="N3" s="208">
        <v>2022</v>
      </c>
      <c r="O3" s="208">
        <v>2023</v>
      </c>
      <c r="P3" s="208">
        <v>2024</v>
      </c>
      <c r="Q3" s="574" t="s">
        <v>241</v>
      </c>
      <c r="R3" s="575" t="s">
        <v>242</v>
      </c>
      <c r="S3" s="575" t="s">
        <v>22</v>
      </c>
    </row>
    <row r="4" spans="1:19" ht="30">
      <c r="A4" s="576" t="s">
        <v>771</v>
      </c>
      <c r="B4" s="594"/>
      <c r="C4" s="594"/>
      <c r="D4" s="614">
        <v>18.155000000000001</v>
      </c>
      <c r="E4" s="594"/>
      <c r="F4" s="594"/>
      <c r="G4" s="595"/>
      <c r="H4" s="595"/>
      <c r="I4" s="614">
        <v>16.149000000000001</v>
      </c>
      <c r="J4" s="595"/>
      <c r="K4" s="595"/>
      <c r="L4" s="595"/>
      <c r="M4" s="595"/>
      <c r="N4" s="614">
        <v>14.282999999999999</v>
      </c>
      <c r="O4" s="595"/>
      <c r="P4" s="595"/>
      <c r="Q4" s="580" t="s">
        <v>49</v>
      </c>
      <c r="R4" s="596" t="s">
        <v>772</v>
      </c>
      <c r="S4" s="561" t="s">
        <v>492</v>
      </c>
    </row>
    <row r="5" spans="1:19" ht="30">
      <c r="A5" s="576" t="s">
        <v>751</v>
      </c>
      <c r="B5" s="299">
        <v>10.974200000000002</v>
      </c>
      <c r="C5" s="299">
        <v>14.7354</v>
      </c>
      <c r="D5" s="299">
        <v>12.2644</v>
      </c>
      <c r="E5" s="299">
        <v>10.407</v>
      </c>
      <c r="F5" s="299">
        <v>11.148399999999999</v>
      </c>
      <c r="G5" s="299">
        <v>8.5805000000000007</v>
      </c>
      <c r="H5" s="299">
        <v>10.073499999999999</v>
      </c>
      <c r="I5" s="299">
        <v>12.717499999999999</v>
      </c>
      <c r="J5" s="299">
        <v>14.081299999999999</v>
      </c>
      <c r="K5" s="299">
        <v>13.722700000000001</v>
      </c>
      <c r="L5" s="299">
        <v>12.086</v>
      </c>
      <c r="M5" s="299">
        <v>11.2065</v>
      </c>
      <c r="N5" s="299">
        <v>13.749000000000001</v>
      </c>
      <c r="O5" s="299">
        <v>10.23</v>
      </c>
      <c r="P5" s="299">
        <v>11.182</v>
      </c>
      <c r="Q5" s="597" t="s">
        <v>49</v>
      </c>
      <c r="R5" s="596" t="s">
        <v>90</v>
      </c>
      <c r="S5" s="561" t="s">
        <v>492</v>
      </c>
    </row>
    <row r="6" spans="1:19">
      <c r="A6" s="581"/>
      <c r="B6" s="582"/>
      <c r="C6" s="582"/>
      <c r="D6" s="582"/>
      <c r="E6" s="582"/>
      <c r="F6" s="582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3"/>
      <c r="R6" s="583"/>
      <c r="S6" s="584"/>
    </row>
    <row r="7" spans="1:19" s="570" customFormat="1">
      <c r="A7" s="573" t="s">
        <v>37</v>
      </c>
      <c r="B7" s="208">
        <v>2010</v>
      </c>
      <c r="C7" s="208">
        <v>2011</v>
      </c>
      <c r="D7" s="208">
        <v>2012</v>
      </c>
      <c r="E7" s="208">
        <v>2013</v>
      </c>
      <c r="F7" s="208">
        <v>2014</v>
      </c>
      <c r="G7" s="208">
        <v>2015</v>
      </c>
      <c r="H7" s="208">
        <v>2016</v>
      </c>
      <c r="I7" s="208">
        <v>2017</v>
      </c>
      <c r="J7" s="208">
        <v>2018</v>
      </c>
      <c r="K7" s="208">
        <v>2019</v>
      </c>
      <c r="L7" s="208">
        <v>2020</v>
      </c>
      <c r="M7" s="208">
        <v>2021</v>
      </c>
      <c r="N7" s="208">
        <v>2022</v>
      </c>
      <c r="O7" s="208">
        <v>2023</v>
      </c>
      <c r="P7" s="208">
        <v>2024</v>
      </c>
      <c r="Q7" s="574" t="s">
        <v>241</v>
      </c>
      <c r="R7" s="575" t="s">
        <v>242</v>
      </c>
      <c r="S7" s="585" t="s">
        <v>22</v>
      </c>
    </row>
    <row r="8" spans="1:19" ht="30">
      <c r="A8" s="576" t="s">
        <v>752</v>
      </c>
      <c r="B8" s="503">
        <v>3.7637291280000005</v>
      </c>
      <c r="C8" s="503">
        <v>5.5302904785000004</v>
      </c>
      <c r="D8" s="503">
        <v>4.8715834500000001</v>
      </c>
      <c r="E8" s="503">
        <v>5.1401102099999996</v>
      </c>
      <c r="F8" s="503">
        <v>3.8128985550000003</v>
      </c>
      <c r="G8" s="503">
        <v>4.6493231249999996</v>
      </c>
      <c r="H8" s="503">
        <v>3.667748955</v>
      </c>
      <c r="I8" s="503">
        <v>4.8706762650000002</v>
      </c>
      <c r="J8" s="503">
        <v>5.82594207</v>
      </c>
      <c r="K8" s="503">
        <v>5.1083587349999995</v>
      </c>
      <c r="L8" s="503">
        <v>5.3932148250000003</v>
      </c>
      <c r="M8" s="503">
        <v>4.0533025800000004</v>
      </c>
      <c r="N8" s="503">
        <v>4.8289457549999995</v>
      </c>
      <c r="O8" s="503">
        <v>4.0052217749999999</v>
      </c>
      <c r="P8" s="503">
        <v>3.3057821400000003</v>
      </c>
      <c r="Q8" s="597" t="s">
        <v>49</v>
      </c>
      <c r="R8" s="596" t="s">
        <v>90</v>
      </c>
      <c r="S8" s="611" t="s">
        <v>788</v>
      </c>
    </row>
    <row r="9" spans="1:19" ht="30">
      <c r="A9" s="576" t="s">
        <v>753</v>
      </c>
      <c r="B9" s="503">
        <v>3.67425835628501</v>
      </c>
      <c r="C9" s="503">
        <v>5.0305609898679808</v>
      </c>
      <c r="D9" s="503">
        <v>4.9863523244541073</v>
      </c>
      <c r="E9" s="503">
        <v>4.9102495062126552</v>
      </c>
      <c r="F9" s="503">
        <v>3.7566572011493227</v>
      </c>
      <c r="G9" s="503">
        <v>4.4860570535114128</v>
      </c>
      <c r="H9" s="503">
        <v>3.6013312009400194</v>
      </c>
      <c r="I9" s="503">
        <v>4.5991334346444042</v>
      </c>
      <c r="J9" s="503">
        <v>5.3456544400086674</v>
      </c>
      <c r="K9" s="503">
        <v>4.7340405962250003</v>
      </c>
      <c r="L9" s="503">
        <v>5.1042009247080005</v>
      </c>
      <c r="M9" s="503">
        <v>3.8553309540345011</v>
      </c>
      <c r="N9" s="503">
        <v>4.5856436367989994</v>
      </c>
      <c r="O9" s="503">
        <v>3.9379634419740004</v>
      </c>
      <c r="P9" s="503">
        <v>2.988197536755</v>
      </c>
      <c r="Q9" s="597" t="s">
        <v>49</v>
      </c>
      <c r="R9" s="596" t="s">
        <v>90</v>
      </c>
      <c r="S9" s="611" t="s">
        <v>788</v>
      </c>
    </row>
    <row r="10" spans="1:19" ht="30">
      <c r="A10" s="576" t="s">
        <v>754</v>
      </c>
      <c r="B10" s="503">
        <v>2.1953877E-2</v>
      </c>
      <c r="C10" s="503">
        <v>2.7215550000000001E-4</v>
      </c>
      <c r="D10" s="503">
        <v>6.4954445999999985E-2</v>
      </c>
      <c r="E10" s="503">
        <v>0</v>
      </c>
      <c r="F10" s="503">
        <v>8.2190961000000007E-2</v>
      </c>
      <c r="G10" s="503">
        <v>5.4431100000000003E-2</v>
      </c>
      <c r="H10" s="503">
        <v>1.4877833999999998E-2</v>
      </c>
      <c r="I10" s="503">
        <v>4.6357153500000005E-2</v>
      </c>
      <c r="J10" s="503">
        <v>0</v>
      </c>
      <c r="K10" s="503">
        <v>4.5731195849999998E-4</v>
      </c>
      <c r="L10" s="503">
        <v>9.8728943550000013E-4</v>
      </c>
      <c r="M10" s="503">
        <v>8.4567785700000013E-4</v>
      </c>
      <c r="N10" s="503">
        <v>2.24670715545E-2</v>
      </c>
      <c r="O10" s="503">
        <v>9.1752509462999995E-2</v>
      </c>
      <c r="P10" s="503">
        <v>2.19035282325E-2</v>
      </c>
      <c r="Q10" s="597" t="s">
        <v>49</v>
      </c>
      <c r="R10" s="596" t="s">
        <v>90</v>
      </c>
      <c r="S10" s="611" t="s">
        <v>788</v>
      </c>
    </row>
    <row r="11" spans="1:19" ht="30">
      <c r="A11" s="576" t="s">
        <v>755</v>
      </c>
      <c r="B11" s="503">
        <v>0.26791406121499028</v>
      </c>
      <c r="C11" s="503">
        <v>0.24961858413202029</v>
      </c>
      <c r="D11" s="503">
        <v>0.12037347754589371</v>
      </c>
      <c r="E11" s="503">
        <v>0.17361523378734509</v>
      </c>
      <c r="F11" s="503">
        <v>0.19860589590067776</v>
      </c>
      <c r="G11" s="503">
        <v>0.20696517293858707</v>
      </c>
      <c r="H11" s="503">
        <v>0.1234796905599804</v>
      </c>
      <c r="I11" s="503">
        <v>0.30994397140559599</v>
      </c>
      <c r="J11" s="503">
        <v>0.43372182394133219</v>
      </c>
      <c r="K11" s="503">
        <v>0.35127763558200004</v>
      </c>
      <c r="L11" s="503">
        <v>0.3090303022875</v>
      </c>
      <c r="M11" s="503">
        <v>0.25379897439900001</v>
      </c>
      <c r="N11" s="503">
        <v>0.26579704033500001</v>
      </c>
      <c r="O11" s="503">
        <v>0.16828354324799999</v>
      </c>
      <c r="P11" s="503">
        <v>0.35315550853200001</v>
      </c>
      <c r="Q11" s="597" t="s">
        <v>49</v>
      </c>
      <c r="R11" s="596" t="s">
        <v>90</v>
      </c>
      <c r="S11" s="611" t="s">
        <v>788</v>
      </c>
    </row>
    <row r="12" spans="1:19" ht="30">
      <c r="A12" s="576" t="s">
        <v>607</v>
      </c>
      <c r="B12" s="503">
        <v>0.46638380850000005</v>
      </c>
      <c r="C12" s="503">
        <v>0.30989439600000002</v>
      </c>
      <c r="D12" s="503">
        <v>0.56027745600000001</v>
      </c>
      <c r="E12" s="503">
        <v>0.39008955000000001</v>
      </c>
      <c r="F12" s="503">
        <v>0.44633501999999997</v>
      </c>
      <c r="G12" s="503">
        <v>0.38616143895000005</v>
      </c>
      <c r="H12" s="503">
        <v>0.3968934375</v>
      </c>
      <c r="I12" s="503">
        <v>0.35470933500000001</v>
      </c>
      <c r="J12" s="503">
        <v>0.36266534745000001</v>
      </c>
      <c r="K12" s="503">
        <v>0.40922942984849997</v>
      </c>
      <c r="L12" s="503">
        <v>0.43270547256000003</v>
      </c>
      <c r="M12" s="503">
        <v>0.41368261957649999</v>
      </c>
      <c r="N12" s="503">
        <v>0.35872879957949999</v>
      </c>
      <c r="O12" s="503">
        <v>0.35872036275899999</v>
      </c>
      <c r="P12" s="503">
        <v>0.34948431227400006</v>
      </c>
      <c r="Q12" s="597" t="s">
        <v>49</v>
      </c>
      <c r="R12" s="596" t="s">
        <v>90</v>
      </c>
      <c r="S12" s="611" t="s">
        <v>788</v>
      </c>
    </row>
    <row r="13" spans="1:19" ht="30">
      <c r="A13" s="576" t="s">
        <v>608</v>
      </c>
      <c r="B13" s="503">
        <v>0.30989439600000002</v>
      </c>
      <c r="C13" s="503">
        <v>0.56027745600000001</v>
      </c>
      <c r="D13" s="503">
        <v>0.39008955000000001</v>
      </c>
      <c r="E13" s="503">
        <v>0.44633501999999997</v>
      </c>
      <c r="F13" s="503">
        <v>0.38616143895000005</v>
      </c>
      <c r="G13" s="503">
        <v>0.3968934375</v>
      </c>
      <c r="H13" s="503">
        <v>0.35470933500000001</v>
      </c>
      <c r="I13" s="503">
        <v>0.36266534745000001</v>
      </c>
      <c r="J13" s="503">
        <v>0.4092311535</v>
      </c>
      <c r="K13" s="503">
        <v>0.43272724499999998</v>
      </c>
      <c r="L13" s="503">
        <v>0.41367635999999997</v>
      </c>
      <c r="M13" s="503">
        <v>0.35870094899999999</v>
      </c>
      <c r="N13" s="503">
        <v>0.35870094899999999</v>
      </c>
      <c r="O13" s="503">
        <v>0.34944766199999999</v>
      </c>
      <c r="P13" s="503">
        <v>0.33581693521950001</v>
      </c>
      <c r="Q13" s="597" t="s">
        <v>49</v>
      </c>
      <c r="R13" s="596" t="s">
        <v>90</v>
      </c>
      <c r="S13" s="611" t="s">
        <v>788</v>
      </c>
    </row>
    <row r="14" spans="1:19">
      <c r="A14" s="600" t="s">
        <v>609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601"/>
      <c r="O14" s="601"/>
      <c r="P14" s="601"/>
      <c r="Q14" s="580"/>
      <c r="R14" s="596"/>
      <c r="S14" s="580"/>
    </row>
    <row r="15" spans="1:19" ht="30">
      <c r="A15" s="576" t="s">
        <v>756</v>
      </c>
      <c r="B15" s="503">
        <v>1.7242837444420498</v>
      </c>
      <c r="C15" s="503">
        <v>2.3247078924379503</v>
      </c>
      <c r="D15" s="503">
        <v>2.177244</v>
      </c>
      <c r="E15" s="503">
        <v>2.2679624999999999</v>
      </c>
      <c r="F15" s="503">
        <v>1.81437</v>
      </c>
      <c r="G15" s="503">
        <v>1.7236514999999999</v>
      </c>
      <c r="H15" s="503">
        <v>1.3607775</v>
      </c>
      <c r="I15" s="503">
        <v>1.6052094264000001</v>
      </c>
      <c r="J15" s="503">
        <v>1.6815363435599999</v>
      </c>
      <c r="K15" s="503">
        <v>1.597016638665</v>
      </c>
      <c r="L15" s="503">
        <v>1.5531097918499999</v>
      </c>
      <c r="M15" s="503">
        <v>1.417697008455</v>
      </c>
      <c r="N15" s="503">
        <v>1.4124725300400001</v>
      </c>
      <c r="O15" s="503">
        <v>1.2608238567000001</v>
      </c>
      <c r="P15" s="503">
        <v>1.2445879667549999</v>
      </c>
      <c r="Q15" s="597" t="s">
        <v>49</v>
      </c>
      <c r="R15" s="596" t="s">
        <v>90</v>
      </c>
      <c r="S15" s="611" t="s">
        <v>788</v>
      </c>
    </row>
    <row r="16" spans="1:19" ht="30">
      <c r="A16" s="576" t="s">
        <v>789</v>
      </c>
      <c r="B16" s="503">
        <v>1.9499746118429602</v>
      </c>
      <c r="C16" s="503">
        <v>2.7058530974300297</v>
      </c>
      <c r="D16" s="503">
        <v>2.8091083244541069</v>
      </c>
      <c r="E16" s="503">
        <v>2.6422870062126553</v>
      </c>
      <c r="F16" s="503">
        <v>1.9422872011493226</v>
      </c>
      <c r="G16" s="503">
        <v>2.7624055535114129</v>
      </c>
      <c r="H16" s="503">
        <v>2.2405537009400192</v>
      </c>
      <c r="I16" s="503">
        <v>2.9939240082444045</v>
      </c>
      <c r="J16" s="503">
        <v>3.6641180964486679</v>
      </c>
      <c r="K16" s="503">
        <v>3.1370457300000001</v>
      </c>
      <c r="L16" s="503">
        <v>3.5510849640000002</v>
      </c>
      <c r="M16" s="503">
        <v>2.437606095</v>
      </c>
      <c r="N16" s="503">
        <v>3.1731516930000003</v>
      </c>
      <c r="O16" s="503">
        <v>2.6771029349999997</v>
      </c>
      <c r="P16" s="503">
        <v>1.7436095700000001</v>
      </c>
      <c r="Q16" s="597" t="s">
        <v>49</v>
      </c>
      <c r="R16" s="596" t="s">
        <v>90</v>
      </c>
      <c r="S16" s="611" t="s">
        <v>788</v>
      </c>
    </row>
    <row r="17" spans="1:19">
      <c r="A17" s="581"/>
      <c r="B17" s="586"/>
      <c r="C17" s="586"/>
      <c r="D17" s="586"/>
      <c r="E17" s="586"/>
      <c r="F17" s="586"/>
      <c r="G17" s="586"/>
      <c r="H17" s="586"/>
      <c r="I17" s="586"/>
      <c r="J17" s="586"/>
      <c r="K17" s="586"/>
      <c r="L17" s="586"/>
      <c r="M17" s="586"/>
      <c r="N17" s="586"/>
      <c r="O17" s="586"/>
      <c r="P17" s="586"/>
      <c r="Q17" s="583"/>
      <c r="R17" s="583"/>
      <c r="S17" s="584"/>
    </row>
    <row r="18" spans="1:19" s="570" customFormat="1">
      <c r="A18" s="587" t="s">
        <v>51</v>
      </c>
      <c r="B18" s="208">
        <v>2010</v>
      </c>
      <c r="C18" s="208">
        <v>2011</v>
      </c>
      <c r="D18" s="208">
        <v>2012</v>
      </c>
      <c r="E18" s="208">
        <v>2013</v>
      </c>
      <c r="F18" s="208">
        <v>2014</v>
      </c>
      <c r="G18" s="208">
        <v>2015</v>
      </c>
      <c r="H18" s="208">
        <v>2016</v>
      </c>
      <c r="I18" s="208">
        <v>2017</v>
      </c>
      <c r="J18" s="208">
        <v>2018</v>
      </c>
      <c r="K18" s="208">
        <v>2019</v>
      </c>
      <c r="L18" s="208">
        <v>2020</v>
      </c>
      <c r="M18" s="208">
        <v>2021</v>
      </c>
      <c r="N18" s="208">
        <v>2022</v>
      </c>
      <c r="O18" s="208">
        <v>2023</v>
      </c>
      <c r="P18" s="208">
        <v>2024</v>
      </c>
      <c r="Q18" s="574" t="s">
        <v>241</v>
      </c>
      <c r="R18" s="575" t="s">
        <v>242</v>
      </c>
      <c r="S18" s="585" t="s">
        <v>22</v>
      </c>
    </row>
    <row r="19" spans="1:19" ht="30">
      <c r="A19" s="576" t="s">
        <v>757</v>
      </c>
      <c r="B19" s="299">
        <v>174.16513721016111</v>
      </c>
      <c r="C19" s="299">
        <v>177.47207019516415</v>
      </c>
      <c r="D19" s="299">
        <v>286.60085870026512</v>
      </c>
      <c r="E19" s="299">
        <v>277.78237074025697</v>
      </c>
      <c r="F19" s="299">
        <v>271.16850477025082</v>
      </c>
      <c r="G19" s="299">
        <v>213.84833303019781</v>
      </c>
      <c r="H19" s="299">
        <v>250.22459586523146</v>
      </c>
      <c r="I19" s="299">
        <v>214.95064402519881</v>
      </c>
      <c r="J19" s="299">
        <v>156.52816129014479</v>
      </c>
      <c r="K19" s="299">
        <v>170.85820422515803</v>
      </c>
      <c r="L19" s="299">
        <v>177.47207019516415</v>
      </c>
      <c r="M19" s="299">
        <v>213.84833303019781</v>
      </c>
      <c r="N19" s="299">
        <v>267.86157178524775</v>
      </c>
      <c r="O19" s="299">
        <v>337.30716447031199</v>
      </c>
      <c r="P19" s="299">
        <v>245.81535188522739</v>
      </c>
      <c r="Q19" s="597" t="s">
        <v>49</v>
      </c>
      <c r="R19" s="596" t="s">
        <v>90</v>
      </c>
      <c r="S19" s="611" t="s">
        <v>788</v>
      </c>
    </row>
    <row r="20" spans="1:19" ht="30">
      <c r="A20" s="578" t="s">
        <v>758</v>
      </c>
      <c r="B20" s="299">
        <v>887.81965124999999</v>
      </c>
      <c r="C20" s="299">
        <v>1201.5189899999998</v>
      </c>
      <c r="D20" s="299">
        <v>1173.2998283999998</v>
      </c>
      <c r="E20" s="299">
        <v>1071.4462919999999</v>
      </c>
      <c r="F20" s="299">
        <v>1337.3237051999999</v>
      </c>
      <c r="G20" s="299">
        <v>1008.3941027999999</v>
      </c>
      <c r="H20" s="299">
        <v>1011.2601113999999</v>
      </c>
      <c r="I20" s="299">
        <v>902.13132239999993</v>
      </c>
      <c r="J20" s="299">
        <v>702.61303140000007</v>
      </c>
      <c r="K20" s="299">
        <v>774.70417080000004</v>
      </c>
      <c r="L20" s="299">
        <v>885.81711959999984</v>
      </c>
      <c r="M20" s="299">
        <v>1784.4210467999999</v>
      </c>
      <c r="N20" s="299">
        <v>2362.252473</v>
      </c>
      <c r="O20" s="299">
        <v>2260.3989365999996</v>
      </c>
      <c r="P20" s="299">
        <v>1740.3286067999998</v>
      </c>
      <c r="Q20" s="597" t="s">
        <v>49</v>
      </c>
      <c r="R20" s="596" t="s">
        <v>90</v>
      </c>
      <c r="S20" s="580" t="s">
        <v>510</v>
      </c>
    </row>
    <row r="21" spans="1:19" ht="30">
      <c r="A21" s="578" t="s">
        <v>759</v>
      </c>
      <c r="B21" s="503">
        <v>0.98865599999999998</v>
      </c>
      <c r="C21" s="503">
        <v>1.413343</v>
      </c>
      <c r="D21" s="503">
        <v>1.456245</v>
      </c>
      <c r="E21" s="503">
        <v>1.054003</v>
      </c>
      <c r="F21" s="503">
        <v>1.0156069999999999</v>
      </c>
      <c r="G21" s="503">
        <v>0.932894</v>
      </c>
      <c r="H21" s="503">
        <v>1.0559240000000001</v>
      </c>
      <c r="I21" s="503">
        <v>0.91192499999999999</v>
      </c>
      <c r="J21" s="503">
        <v>0.87825399999999998</v>
      </c>
      <c r="K21" s="503">
        <v>0.96802699999999997</v>
      </c>
      <c r="L21" s="503">
        <v>0.87505699999999997</v>
      </c>
      <c r="M21" s="503">
        <v>1.3016000000000001</v>
      </c>
      <c r="N21" s="503">
        <v>1.3558699999999999</v>
      </c>
      <c r="O21" s="503">
        <v>0.83524799999999999</v>
      </c>
      <c r="P21" s="503">
        <v>0.99868100000000004</v>
      </c>
      <c r="Q21" s="597" t="s">
        <v>49</v>
      </c>
      <c r="R21" s="596" t="s">
        <v>90</v>
      </c>
      <c r="S21" s="141" t="s">
        <v>492</v>
      </c>
    </row>
    <row r="22" spans="1:19">
      <c r="A22" s="589"/>
    </row>
    <row r="23" spans="1:19">
      <c r="A23" s="589"/>
    </row>
    <row r="24" spans="1:19">
      <c r="A24" s="589"/>
    </row>
    <row r="25" spans="1:19">
      <c r="A25" s="589"/>
    </row>
    <row r="26" spans="1:19">
      <c r="A26" s="589"/>
    </row>
    <row r="27" spans="1:19">
      <c r="A27" s="589"/>
    </row>
    <row r="28" spans="1:19">
      <c r="A28" s="589"/>
    </row>
    <row r="29" spans="1:19">
      <c r="A29" s="589"/>
    </row>
    <row r="30" spans="1:19">
      <c r="A30" s="589"/>
    </row>
    <row r="31" spans="1:19">
      <c r="A31" s="589"/>
    </row>
    <row r="32" spans="1:19">
      <c r="A32" s="589"/>
    </row>
    <row r="33" spans="1:17">
      <c r="A33" s="589"/>
    </row>
    <row r="34" spans="1:17">
      <c r="A34" s="589"/>
    </row>
    <row r="35" spans="1:17">
      <c r="A35" s="589"/>
    </row>
    <row r="36" spans="1:17">
      <c r="A36" s="589"/>
    </row>
    <row r="37" spans="1:17">
      <c r="A37" s="589"/>
    </row>
    <row r="38" spans="1:17">
      <c r="A38" s="589"/>
    </row>
    <row r="39" spans="1:17">
      <c r="A39" s="589"/>
    </row>
    <row r="40" spans="1:17">
      <c r="A40" s="589"/>
    </row>
    <row r="41" spans="1:17">
      <c r="A41" s="589"/>
    </row>
    <row r="42" spans="1:17">
      <c r="A42" s="589"/>
    </row>
    <row r="43" spans="1:17">
      <c r="A43" s="589"/>
    </row>
    <row r="44" spans="1:17">
      <c r="A44" s="589" t="s">
        <v>687</v>
      </c>
    </row>
    <row r="45" spans="1:17">
      <c r="A45" s="589" t="s">
        <v>688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customFormat="1">
      <c r="A46" s="589" t="s">
        <v>713</v>
      </c>
    </row>
    <row r="47" spans="1:17">
      <c r="A47" s="589" t="s">
        <v>690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>
      <c r="A48" s="589" t="s">
        <v>691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>
      <c r="A49" s="589" t="s">
        <v>692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>
      <c r="A50" s="589" t="s">
        <v>693</v>
      </c>
      <c r="B50"/>
      <c r="C50" s="59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>
      <c r="A51" s="589" t="s">
        <v>694</v>
      </c>
      <c r="B51"/>
      <c r="C51" s="590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>
      <c r="A52" s="591"/>
      <c r="B52"/>
      <c r="C52" s="590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>
      <c r="A53" s="591"/>
      <c r="B53"/>
      <c r="C53" s="590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>
      <c r="A54" s="591"/>
      <c r="B54"/>
      <c r="C54" s="590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>
      <c r="A55" s="591"/>
      <c r="B55"/>
      <c r="C55" s="590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>
      <c r="A56"/>
      <c r="B56"/>
      <c r="C56" s="590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>
      <c r="A57"/>
      <c r="B57"/>
      <c r="C57" s="590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>
      <c r="A58"/>
      <c r="B58"/>
      <c r="C58" s="590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>
      <c r="A59"/>
      <c r="B59"/>
      <c r="C59" s="590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>
      <c r="B60" s="592"/>
      <c r="C60" s="592"/>
      <c r="D60" s="592"/>
      <c r="E60" s="592"/>
      <c r="F60" s="592"/>
      <c r="G60" s="592"/>
      <c r="H60" s="592"/>
      <c r="I60" s="592"/>
      <c r="J60" s="592"/>
      <c r="K60" s="592"/>
      <c r="L60" s="592"/>
      <c r="M60" s="592"/>
      <c r="N60" s="592"/>
      <c r="O60" s="592"/>
      <c r="P60" s="592"/>
    </row>
    <row r="61" spans="1:17">
      <c r="B61" s="592"/>
      <c r="C61" s="592"/>
      <c r="D61" s="592"/>
      <c r="E61" s="592"/>
      <c r="F61" s="592"/>
      <c r="G61" s="592"/>
      <c r="H61" s="592"/>
      <c r="I61" s="592"/>
      <c r="J61" s="592"/>
      <c r="K61" s="592"/>
      <c r="L61" s="592"/>
      <c r="M61" s="592"/>
      <c r="N61" s="592"/>
      <c r="O61" s="592"/>
      <c r="P61" s="592"/>
    </row>
    <row r="62" spans="1:17">
      <c r="B62" s="592"/>
      <c r="C62" s="592"/>
      <c r="D62" s="592"/>
      <c r="E62" s="592"/>
      <c r="F62" s="592"/>
      <c r="G62" s="592"/>
      <c r="H62" s="592"/>
      <c r="I62" s="592"/>
      <c r="J62" s="592"/>
      <c r="K62" s="592"/>
      <c r="L62" s="592"/>
      <c r="M62" s="592"/>
      <c r="N62" s="592"/>
      <c r="O62" s="592"/>
      <c r="P62" s="592"/>
    </row>
    <row r="91" spans="3:18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3:18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3:18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3:18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3:18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3:18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3:18"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3:18"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3:18"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3:18"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3:18"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</sheetData>
  <mergeCells count="1">
    <mergeCell ref="A1:A2"/>
  </mergeCells>
  <hyperlinks>
    <hyperlink ref="R9" r:id="rId1" xr:uid="{FBDD80AA-5501-4E37-98E5-C648E2B22AB7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306C"/>
  </sheetPr>
  <dimension ref="A1:AE1000"/>
  <sheetViews>
    <sheetView zoomScale="85" zoomScaleNormal="85" workbookViewId="0">
      <pane xSplit="1" ySplit="3" topLeftCell="L11" activePane="bottomRight" state="frozen"/>
      <selection pane="topRight" activeCell="B1" sqref="B1"/>
      <selection pane="bottomLeft" activeCell="A4" sqref="A4"/>
      <selection pane="bottomRight" activeCell="R17" sqref="R17"/>
    </sheetView>
  </sheetViews>
  <sheetFormatPr defaultColWidth="14.42578125" defaultRowHeight="15" customHeight="1"/>
  <cols>
    <col min="1" max="1" width="83.5703125" bestFit="1" customWidth="1"/>
    <col min="2" max="3" width="11.7109375" customWidth="1"/>
    <col min="4" max="4" width="11.85546875" customWidth="1"/>
    <col min="5" max="9" width="11.7109375" customWidth="1"/>
    <col min="10" max="16" width="10.85546875" customWidth="1"/>
    <col min="17" max="17" width="17" customWidth="1"/>
    <col min="18" max="18" width="70.42578125" customWidth="1"/>
    <col min="19" max="19" width="35.42578125" customWidth="1"/>
    <col min="20" max="20" width="8.85546875" customWidth="1"/>
    <col min="21" max="21" width="14" customWidth="1"/>
    <col min="22" max="28" width="9.7109375" customWidth="1"/>
    <col min="29" max="31" width="8.85546875" customWidth="1"/>
  </cols>
  <sheetData>
    <row r="1" spans="1:31">
      <c r="A1" s="639" t="s">
        <v>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>
      <c r="A2" s="637"/>
      <c r="B2" s="26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</row>
    <row r="3" spans="1:31">
      <c r="A3" s="27" t="s">
        <v>19</v>
      </c>
      <c r="B3" s="324">
        <v>2010</v>
      </c>
      <c r="C3" s="324">
        <v>2011</v>
      </c>
      <c r="D3" s="324">
        <v>2012</v>
      </c>
      <c r="E3" s="324">
        <v>2013</v>
      </c>
      <c r="F3" s="324">
        <v>2014</v>
      </c>
      <c r="G3" s="324">
        <v>2015</v>
      </c>
      <c r="H3" s="324">
        <v>2016</v>
      </c>
      <c r="I3" s="324">
        <v>2017</v>
      </c>
      <c r="J3" s="324">
        <v>2018</v>
      </c>
      <c r="K3" s="324">
        <v>2019</v>
      </c>
      <c r="L3" s="324">
        <v>2020</v>
      </c>
      <c r="M3" s="324">
        <v>2021</v>
      </c>
      <c r="N3" s="324">
        <v>2022</v>
      </c>
      <c r="O3" s="324">
        <v>2023</v>
      </c>
      <c r="P3" s="324">
        <v>2024</v>
      </c>
      <c r="Q3" s="27" t="s">
        <v>20</v>
      </c>
      <c r="R3" s="28" t="s">
        <v>21</v>
      </c>
      <c r="S3" s="28" t="s">
        <v>22</v>
      </c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>
      <c r="A4" s="30" t="s">
        <v>23</v>
      </c>
      <c r="B4" s="293">
        <v>204</v>
      </c>
      <c r="C4" s="293">
        <v>209</v>
      </c>
      <c r="D4" s="293">
        <v>211</v>
      </c>
      <c r="E4" s="293">
        <v>210</v>
      </c>
      <c r="F4" s="293">
        <v>213</v>
      </c>
      <c r="G4" s="293">
        <v>214</v>
      </c>
      <c r="H4" s="293">
        <v>213</v>
      </c>
      <c r="I4" s="293">
        <v>209</v>
      </c>
      <c r="J4" s="293">
        <v>210</v>
      </c>
      <c r="K4" s="293">
        <v>205</v>
      </c>
      <c r="L4" s="293">
        <v>208</v>
      </c>
      <c r="M4" s="293">
        <v>208</v>
      </c>
      <c r="N4" s="293">
        <v>199</v>
      </c>
      <c r="O4" s="293">
        <v>198</v>
      </c>
      <c r="P4" s="293">
        <v>198</v>
      </c>
      <c r="Q4" s="31" t="s">
        <v>24</v>
      </c>
      <c r="R4" s="129" t="s">
        <v>25</v>
      </c>
      <c r="S4" s="130" t="s">
        <v>492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</row>
    <row r="5" spans="1:31" ht="30">
      <c r="A5" s="33" t="s">
        <v>26</v>
      </c>
      <c r="B5" s="300"/>
      <c r="C5" s="300"/>
      <c r="D5" s="300"/>
      <c r="E5" s="300"/>
      <c r="F5" s="300"/>
      <c r="G5" s="300"/>
      <c r="H5" s="293">
        <v>203</v>
      </c>
      <c r="I5" s="301">
        <v>202</v>
      </c>
      <c r="J5" s="301">
        <v>204</v>
      </c>
      <c r="K5" s="301">
        <v>199</v>
      </c>
      <c r="L5" s="301">
        <v>201</v>
      </c>
      <c r="M5" s="301">
        <v>199</v>
      </c>
      <c r="N5" s="301">
        <v>195</v>
      </c>
      <c r="O5" s="301">
        <v>197</v>
      </c>
      <c r="P5" s="302">
        <v>195</v>
      </c>
      <c r="Q5" s="35" t="s">
        <v>27</v>
      </c>
      <c r="R5" s="131" t="s">
        <v>491</v>
      </c>
      <c r="S5" s="130" t="s">
        <v>492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</row>
    <row r="6" spans="1:31" ht="30">
      <c r="A6" s="33" t="s">
        <v>28</v>
      </c>
      <c r="B6" s="300"/>
      <c r="C6" s="300"/>
      <c r="D6" s="300"/>
      <c r="E6" s="300"/>
      <c r="F6" s="300"/>
      <c r="G6" s="300"/>
      <c r="H6" s="293">
        <v>10</v>
      </c>
      <c r="I6" s="293">
        <v>7</v>
      </c>
      <c r="J6" s="293">
        <v>6</v>
      </c>
      <c r="K6" s="293">
        <v>6</v>
      </c>
      <c r="L6" s="293">
        <v>11</v>
      </c>
      <c r="M6" s="293">
        <v>11</v>
      </c>
      <c r="N6" s="293">
        <v>8</v>
      </c>
      <c r="O6" s="293">
        <v>9</v>
      </c>
      <c r="P6" s="303">
        <v>3</v>
      </c>
      <c r="Q6" s="35" t="s">
        <v>27</v>
      </c>
      <c r="R6" s="131" t="s">
        <v>491</v>
      </c>
      <c r="S6" s="130" t="s">
        <v>492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</row>
    <row r="7" spans="1:31" ht="30">
      <c r="A7" s="33" t="s">
        <v>29</v>
      </c>
      <c r="B7" s="300"/>
      <c r="C7" s="300"/>
      <c r="D7" s="300"/>
      <c r="E7" s="300"/>
      <c r="F7" s="300"/>
      <c r="G7" s="300"/>
      <c r="H7" s="300"/>
      <c r="I7" s="300"/>
      <c r="J7" s="293">
        <v>196</v>
      </c>
      <c r="K7" s="293">
        <v>197</v>
      </c>
      <c r="L7" s="293">
        <v>199</v>
      </c>
      <c r="M7" s="293">
        <v>198</v>
      </c>
      <c r="N7" s="293">
        <v>190</v>
      </c>
      <c r="O7" s="293">
        <v>195</v>
      </c>
      <c r="P7" s="303">
        <v>194</v>
      </c>
      <c r="Q7" s="35" t="s">
        <v>27</v>
      </c>
      <c r="R7" s="131" t="s">
        <v>491</v>
      </c>
      <c r="S7" s="130" t="s">
        <v>492</v>
      </c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</row>
    <row r="8" spans="1:31" ht="30">
      <c r="A8" s="33" t="s">
        <v>30</v>
      </c>
      <c r="B8" s="300"/>
      <c r="C8" s="300"/>
      <c r="D8" s="300"/>
      <c r="E8" s="300"/>
      <c r="F8" s="300"/>
      <c r="G8" s="300"/>
      <c r="H8" s="300"/>
      <c r="I8" s="300"/>
      <c r="J8" s="293">
        <v>13</v>
      </c>
      <c r="K8" s="293">
        <v>14</v>
      </c>
      <c r="L8" s="293">
        <v>9</v>
      </c>
      <c r="M8" s="293">
        <v>10</v>
      </c>
      <c r="N8" s="293">
        <v>12</v>
      </c>
      <c r="O8" s="293">
        <v>10</v>
      </c>
      <c r="P8" s="303">
        <v>1</v>
      </c>
      <c r="Q8" s="35" t="s">
        <v>27</v>
      </c>
      <c r="R8" s="131" t="s">
        <v>491</v>
      </c>
      <c r="S8" s="130" t="s">
        <v>492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</row>
    <row r="9" spans="1:31" ht="30">
      <c r="A9" s="33" t="s">
        <v>31</v>
      </c>
      <c r="B9" s="300"/>
      <c r="C9" s="300"/>
      <c r="D9" s="300"/>
      <c r="E9" s="300"/>
      <c r="F9" s="300"/>
      <c r="G9" s="300"/>
      <c r="H9" s="300"/>
      <c r="I9" s="300"/>
      <c r="J9" s="293">
        <v>5</v>
      </c>
      <c r="K9" s="293">
        <v>4</v>
      </c>
      <c r="L9" s="293">
        <v>8</v>
      </c>
      <c r="M9" s="293">
        <v>9</v>
      </c>
      <c r="N9" s="293">
        <v>5</v>
      </c>
      <c r="O9" s="293">
        <v>7</v>
      </c>
      <c r="P9" s="303">
        <v>3</v>
      </c>
      <c r="Q9" s="35" t="s">
        <v>27</v>
      </c>
      <c r="R9" s="131" t="s">
        <v>491</v>
      </c>
      <c r="S9" s="130" t="s">
        <v>492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1:31" ht="30">
      <c r="A10" s="36" t="s">
        <v>32</v>
      </c>
      <c r="B10" s="300"/>
      <c r="C10" s="293">
        <v>193</v>
      </c>
      <c r="D10" s="293">
        <v>194</v>
      </c>
      <c r="E10" s="293">
        <v>192</v>
      </c>
      <c r="F10" s="293">
        <v>198</v>
      </c>
      <c r="G10" s="293">
        <v>199</v>
      </c>
      <c r="H10" s="293">
        <v>200</v>
      </c>
      <c r="I10" s="293">
        <v>201</v>
      </c>
      <c r="J10" s="293">
        <v>199</v>
      </c>
      <c r="K10" s="293">
        <v>200</v>
      </c>
      <c r="L10" s="293">
        <v>201</v>
      </c>
      <c r="M10" s="293">
        <v>197</v>
      </c>
      <c r="N10" s="304">
        <v>192</v>
      </c>
      <c r="O10" s="293">
        <v>187</v>
      </c>
      <c r="P10" s="303">
        <v>194</v>
      </c>
      <c r="Q10" s="35" t="s">
        <v>27</v>
      </c>
      <c r="R10" s="131" t="s">
        <v>491</v>
      </c>
      <c r="S10" s="130" t="s">
        <v>492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1" ht="30">
      <c r="A11" s="37" t="s">
        <v>33</v>
      </c>
      <c r="B11" s="300"/>
      <c r="C11" s="300"/>
      <c r="D11" s="300"/>
      <c r="E11" s="293">
        <v>7</v>
      </c>
      <c r="F11" s="293">
        <v>3</v>
      </c>
      <c r="G11" s="293">
        <v>3</v>
      </c>
      <c r="H11" s="293">
        <v>3</v>
      </c>
      <c r="I11" s="293">
        <v>7</v>
      </c>
      <c r="J11" s="293">
        <v>9</v>
      </c>
      <c r="K11" s="293">
        <v>4</v>
      </c>
      <c r="L11" s="293">
        <v>1</v>
      </c>
      <c r="M11" s="305">
        <v>5</v>
      </c>
      <c r="N11" s="306">
        <v>4</v>
      </c>
      <c r="O11" s="307">
        <v>2</v>
      </c>
      <c r="P11" s="308">
        <v>2</v>
      </c>
      <c r="Q11" s="35" t="s">
        <v>27</v>
      </c>
      <c r="R11" s="131" t="s">
        <v>491</v>
      </c>
      <c r="S11" s="130" t="s">
        <v>492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 ht="30">
      <c r="A12" s="33" t="s">
        <v>34</v>
      </c>
      <c r="B12" s="300"/>
      <c r="C12" s="300"/>
      <c r="D12" s="300"/>
      <c r="E12" s="300"/>
      <c r="F12" s="300"/>
      <c r="G12" s="300"/>
      <c r="H12" s="300"/>
      <c r="I12" s="293">
        <v>11</v>
      </c>
      <c r="J12" s="293">
        <v>1</v>
      </c>
      <c r="K12" s="293">
        <v>1</v>
      </c>
      <c r="L12" s="300"/>
      <c r="M12" s="300"/>
      <c r="N12" s="303">
        <v>0</v>
      </c>
      <c r="O12" s="293">
        <v>1</v>
      </c>
      <c r="P12" s="303">
        <v>1</v>
      </c>
      <c r="Q12" s="35" t="s">
        <v>27</v>
      </c>
      <c r="R12" s="131" t="s">
        <v>491</v>
      </c>
      <c r="S12" s="130" t="s">
        <v>492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>
      <c r="A13" s="33" t="s">
        <v>35</v>
      </c>
      <c r="B13" s="309">
        <v>29</v>
      </c>
      <c r="C13" s="309">
        <v>29</v>
      </c>
      <c r="D13" s="309">
        <v>29</v>
      </c>
      <c r="E13" s="309">
        <v>28</v>
      </c>
      <c r="F13" s="309">
        <v>29</v>
      </c>
      <c r="G13" s="309">
        <v>29</v>
      </c>
      <c r="H13" s="309">
        <v>28</v>
      </c>
      <c r="I13" s="309">
        <v>28</v>
      </c>
      <c r="J13" s="309">
        <v>27</v>
      </c>
      <c r="K13" s="309">
        <v>26</v>
      </c>
      <c r="L13" s="309">
        <v>25</v>
      </c>
      <c r="M13" s="309">
        <v>24</v>
      </c>
      <c r="N13" s="309">
        <v>22</v>
      </c>
      <c r="O13" s="293">
        <v>22</v>
      </c>
      <c r="P13" s="303">
        <v>24</v>
      </c>
      <c r="Q13" s="35" t="s">
        <v>24</v>
      </c>
      <c r="R13" s="132" t="s">
        <v>25</v>
      </c>
      <c r="S13" s="130" t="s">
        <v>492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 ht="30">
      <c r="A14" s="40" t="s">
        <v>36</v>
      </c>
      <c r="B14" s="309">
        <v>14.46</v>
      </c>
      <c r="C14" s="309">
        <v>13.614000000000001</v>
      </c>
      <c r="D14" s="309">
        <v>13.728</v>
      </c>
      <c r="E14" s="309">
        <v>13.852</v>
      </c>
      <c r="F14" s="309">
        <v>13.680999999999999</v>
      </c>
      <c r="G14" s="309">
        <v>14.369</v>
      </c>
      <c r="H14" s="309">
        <v>14.903</v>
      </c>
      <c r="I14" s="309">
        <v>15.584</v>
      </c>
      <c r="J14" s="309">
        <v>16.542000000000002</v>
      </c>
      <c r="K14" s="309">
        <v>16.867999999999999</v>
      </c>
      <c r="L14" s="309">
        <v>17.378</v>
      </c>
      <c r="M14" s="309">
        <v>17.545999999999999</v>
      </c>
      <c r="N14" s="309">
        <v>17.38</v>
      </c>
      <c r="O14" s="309">
        <v>17.663</v>
      </c>
      <c r="P14" s="310">
        <v>18.268000000000001</v>
      </c>
      <c r="Q14" s="35" t="s">
        <v>27</v>
      </c>
      <c r="R14" s="131" t="s">
        <v>491</v>
      </c>
      <c r="S14" s="290" t="s">
        <v>492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>
      <c r="A15" s="41"/>
      <c r="B15" s="330"/>
      <c r="C15" s="330"/>
      <c r="D15" s="330"/>
      <c r="E15" s="330"/>
      <c r="F15" s="330"/>
      <c r="G15" s="330"/>
      <c r="H15" s="330"/>
      <c r="I15" s="330"/>
      <c r="J15" s="331"/>
      <c r="K15" s="331"/>
      <c r="L15" s="331"/>
      <c r="M15" s="331"/>
      <c r="N15" s="331"/>
      <c r="O15" s="331"/>
      <c r="P15" s="332"/>
      <c r="Q15" s="43"/>
      <c r="R15" s="44"/>
      <c r="S15" s="127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16" spans="1:31">
      <c r="A16" s="46" t="s">
        <v>37</v>
      </c>
      <c r="B16" s="333">
        <v>2010</v>
      </c>
      <c r="C16" s="333">
        <v>2011</v>
      </c>
      <c r="D16" s="333">
        <v>2012</v>
      </c>
      <c r="E16" s="333">
        <v>2013</v>
      </c>
      <c r="F16" s="333">
        <v>2014</v>
      </c>
      <c r="G16" s="333">
        <v>2015</v>
      </c>
      <c r="H16" s="333">
        <v>2016</v>
      </c>
      <c r="I16" s="333">
        <v>2017</v>
      </c>
      <c r="J16" s="333">
        <v>2018</v>
      </c>
      <c r="K16" s="333">
        <v>2019</v>
      </c>
      <c r="L16" s="333">
        <v>2020</v>
      </c>
      <c r="M16" s="333">
        <v>2021</v>
      </c>
      <c r="N16" s="333">
        <v>2022</v>
      </c>
      <c r="O16" s="333">
        <v>2023</v>
      </c>
      <c r="P16" s="334">
        <v>2024</v>
      </c>
      <c r="Q16" s="27" t="s">
        <v>20</v>
      </c>
      <c r="R16" s="28" t="s">
        <v>21</v>
      </c>
      <c r="S16" s="28" t="s">
        <v>22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 spans="1:31">
      <c r="A17" s="33" t="s">
        <v>38</v>
      </c>
      <c r="B17" s="311">
        <v>13.298</v>
      </c>
      <c r="C17" s="311">
        <v>13.929</v>
      </c>
      <c r="D17" s="311">
        <v>13.218</v>
      </c>
      <c r="E17" s="311">
        <v>13.292999999999999</v>
      </c>
      <c r="F17" s="311">
        <v>14.313000000000001</v>
      </c>
      <c r="G17" s="311">
        <v>14.807</v>
      </c>
      <c r="H17" s="312">
        <v>15.413</v>
      </c>
      <c r="I17" s="311">
        <v>15.936</v>
      </c>
      <c r="J17" s="311">
        <v>16.091000000000001</v>
      </c>
      <c r="K17" s="311">
        <v>15.778</v>
      </c>
      <c r="L17" s="311">
        <v>13.941000000000001</v>
      </c>
      <c r="M17" s="311">
        <v>15.016</v>
      </c>
      <c r="N17" s="311">
        <v>15.361000000000001</v>
      </c>
      <c r="O17" s="313">
        <v>15.62</v>
      </c>
      <c r="P17" s="628">
        <v>16.225000000000001</v>
      </c>
      <c r="Q17" s="33" t="s">
        <v>39</v>
      </c>
      <c r="R17" s="203" t="s">
        <v>40</v>
      </c>
      <c r="S17" s="130" t="s">
        <v>492</v>
      </c>
      <c r="T17" s="25"/>
      <c r="U17" s="26"/>
      <c r="V17" s="26"/>
      <c r="W17" s="26"/>
      <c r="X17" s="26"/>
      <c r="Y17" s="26"/>
      <c r="Z17" s="26"/>
      <c r="AA17" s="26"/>
      <c r="AB17" s="26"/>
      <c r="AC17" s="25"/>
      <c r="AD17" s="25"/>
      <c r="AE17" s="25"/>
    </row>
    <row r="18" spans="1:31">
      <c r="A18" s="33" t="s">
        <v>41</v>
      </c>
      <c r="B18" s="311">
        <v>12.858000000000001</v>
      </c>
      <c r="C18" s="311">
        <v>12.893000000000001</v>
      </c>
      <c r="D18" s="311">
        <v>12.882</v>
      </c>
      <c r="E18" s="311">
        <v>13.215999999999999</v>
      </c>
      <c r="F18" s="311">
        <v>13.444000000000001</v>
      </c>
      <c r="G18" s="311">
        <v>13.946999999999999</v>
      </c>
      <c r="H18" s="311">
        <v>14.356</v>
      </c>
      <c r="I18" s="311">
        <v>15.484999999999999</v>
      </c>
      <c r="J18" s="311">
        <v>14.42</v>
      </c>
      <c r="K18" s="311">
        <v>14.552</v>
      </c>
      <c r="L18" s="311">
        <v>12.680999999999999</v>
      </c>
      <c r="M18" s="311">
        <v>13.944000000000001</v>
      </c>
      <c r="N18" s="311">
        <v>14.023</v>
      </c>
      <c r="O18" s="314">
        <v>14.249000000000001</v>
      </c>
      <c r="P18" s="629">
        <v>14.244999999999999</v>
      </c>
      <c r="Q18" s="33" t="s">
        <v>39</v>
      </c>
      <c r="R18" s="49" t="s">
        <v>40</v>
      </c>
      <c r="S18" s="130" t="s">
        <v>492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ht="30">
      <c r="A19" s="33" t="s">
        <v>42</v>
      </c>
      <c r="B19" s="311">
        <v>13.420745437372315</v>
      </c>
      <c r="C19" s="311">
        <v>13.472314103798336</v>
      </c>
      <c r="D19" s="311">
        <v>13.472314103798336</v>
      </c>
      <c r="E19" s="311">
        <v>13.820402602173989</v>
      </c>
      <c r="F19" s="311">
        <v>14.091138100910605</v>
      </c>
      <c r="G19" s="311">
        <v>14.3103049332212</v>
      </c>
      <c r="H19" s="311">
        <v>14.735837867106721</v>
      </c>
      <c r="I19" s="311">
        <v>14.903437072944332</v>
      </c>
      <c r="J19" s="311">
        <v>14.864760333135653</v>
      </c>
      <c r="K19" s="311">
        <v>14.98079055256169</v>
      </c>
      <c r="L19" s="311">
        <v>12.943815589304601</v>
      </c>
      <c r="M19" s="311">
        <v>14.310393729211301</v>
      </c>
      <c r="N19" s="311">
        <v>14.4006394554315</v>
      </c>
      <c r="O19" s="294">
        <v>14.6198076476807</v>
      </c>
      <c r="P19" s="294">
        <v>14.619807647680684</v>
      </c>
      <c r="Q19" s="33" t="s">
        <v>39</v>
      </c>
      <c r="R19" s="50" t="s">
        <v>40</v>
      </c>
      <c r="S19" s="32" t="s">
        <v>494</v>
      </c>
      <c r="T19" s="25"/>
      <c r="U19" s="26"/>
      <c r="V19" s="26"/>
      <c r="W19" s="26"/>
      <c r="X19" s="26"/>
      <c r="Y19" s="26"/>
      <c r="Z19" s="26"/>
      <c r="AA19" s="26"/>
      <c r="AB19" s="26"/>
      <c r="AC19" s="51"/>
      <c r="AD19" s="25"/>
      <c r="AE19" s="25"/>
    </row>
    <row r="20" spans="1:31" ht="30">
      <c r="A20" s="33" t="s">
        <v>43</v>
      </c>
      <c r="B20" s="311">
        <v>0.21916683231059494</v>
      </c>
      <c r="C20" s="311">
        <v>0.21916683231059494</v>
      </c>
      <c r="D20" s="311">
        <v>0.21916683231059494</v>
      </c>
      <c r="E20" s="311">
        <v>0.23205899891710055</v>
      </c>
      <c r="F20" s="311">
        <v>0.18049033249107821</v>
      </c>
      <c r="G20" s="311">
        <v>0.23205899891710055</v>
      </c>
      <c r="H20" s="311">
        <v>0.23206043885207436</v>
      </c>
      <c r="I20" s="311">
        <v>0.23206043885207436</v>
      </c>
      <c r="J20" s="311">
        <v>0.23206043885207436</v>
      </c>
      <c r="K20" s="311">
        <v>0.23206043885207436</v>
      </c>
      <c r="L20" s="311">
        <v>0.244952685</v>
      </c>
      <c r="M20" s="311">
        <v>0.244952685</v>
      </c>
      <c r="N20" s="311">
        <v>0.244952685</v>
      </c>
      <c r="O20" s="311">
        <v>0.244952685</v>
      </c>
      <c r="P20" s="311">
        <v>3.8676739808679063E-2</v>
      </c>
      <c r="Q20" s="33" t="s">
        <v>39</v>
      </c>
      <c r="R20" s="50" t="s">
        <v>40</v>
      </c>
      <c r="S20" s="32" t="s">
        <v>495</v>
      </c>
      <c r="T20" s="25"/>
      <c r="U20" s="51"/>
      <c r="V20" s="51"/>
      <c r="W20" s="51"/>
      <c r="X20" s="51"/>
      <c r="Y20" s="51"/>
      <c r="Z20" s="51"/>
      <c r="AA20" s="51"/>
      <c r="AB20" s="51"/>
      <c r="AC20" s="25"/>
      <c r="AD20" s="25"/>
      <c r="AE20" s="25"/>
    </row>
    <row r="21" spans="1:31" ht="30">
      <c r="A21" s="33" t="s">
        <v>45</v>
      </c>
      <c r="B21" s="311">
        <v>1.5665999999999999E-2</v>
      </c>
      <c r="C21" s="311">
        <v>0.17186400000000002</v>
      </c>
      <c r="D21" s="311">
        <v>0.49413000000000001</v>
      </c>
      <c r="E21" s="311">
        <v>0.37699199999999999</v>
      </c>
      <c r="F21" s="311">
        <v>7.4676000000000006E-2</v>
      </c>
      <c r="G21" s="311">
        <v>9.1518000000000002E-2</v>
      </c>
      <c r="H21" s="311">
        <v>3.6204E-2</v>
      </c>
      <c r="I21" s="311">
        <v>7.6607999999999996E-2</v>
      </c>
      <c r="J21" s="311">
        <v>5.4348E-2</v>
      </c>
      <c r="K21" s="311">
        <v>0.195048</v>
      </c>
      <c r="L21" s="311">
        <v>0.15414</v>
      </c>
      <c r="M21" s="311">
        <v>6.0774000000000002E-2</v>
      </c>
      <c r="N21" s="311">
        <v>6.9089999999999999E-2</v>
      </c>
      <c r="O21" s="630">
        <v>2.7258000000000001E-2</v>
      </c>
      <c r="P21" s="630">
        <v>4.0000000000000001E-3</v>
      </c>
      <c r="Q21" s="33" t="s">
        <v>60</v>
      </c>
      <c r="R21" s="49" t="s">
        <v>493</v>
      </c>
      <c r="S21" s="130" t="s">
        <v>492</v>
      </c>
      <c r="T21" s="25"/>
      <c r="U21" s="25"/>
      <c r="V21" s="51"/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 ht="30">
      <c r="A22" s="33" t="s">
        <v>46</v>
      </c>
      <c r="B22" s="311">
        <v>0.39849599999999996</v>
      </c>
      <c r="C22" s="311">
        <v>1.1951939999999999</v>
      </c>
      <c r="D22" s="311">
        <v>0.74155199999999999</v>
      </c>
      <c r="E22" s="311">
        <v>0.618954</v>
      </c>
      <c r="F22" s="311">
        <v>0.84625800000000007</v>
      </c>
      <c r="G22" s="311">
        <v>0.83206199999999997</v>
      </c>
      <c r="H22" s="311">
        <v>1.170288</v>
      </c>
      <c r="I22" s="311">
        <v>1.389864</v>
      </c>
      <c r="J22" s="311">
        <v>1.709568</v>
      </c>
      <c r="K22" s="311">
        <v>1.4666400000000002</v>
      </c>
      <c r="L22" s="311">
        <v>1.317204</v>
      </c>
      <c r="M22" s="311">
        <v>1.2424440000000001</v>
      </c>
      <c r="N22" s="311">
        <v>1.3135920000000001</v>
      </c>
      <c r="O22" s="294">
        <v>1.43346</v>
      </c>
      <c r="P22" s="630">
        <v>1.9139999999999999</v>
      </c>
      <c r="Q22" s="33" t="s">
        <v>60</v>
      </c>
      <c r="R22" s="49" t="s">
        <v>493</v>
      </c>
      <c r="S22" s="130" t="s">
        <v>492</v>
      </c>
      <c r="T22" s="25"/>
      <c r="U22" s="25"/>
      <c r="V22" s="51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ht="15.75" customHeight="1">
      <c r="A23" s="46" t="s">
        <v>47</v>
      </c>
      <c r="B23" s="333">
        <v>2010</v>
      </c>
      <c r="C23" s="333">
        <v>2011</v>
      </c>
      <c r="D23" s="333">
        <v>2012</v>
      </c>
      <c r="E23" s="333">
        <v>2013</v>
      </c>
      <c r="F23" s="333">
        <v>2014</v>
      </c>
      <c r="G23" s="333">
        <v>2015</v>
      </c>
      <c r="H23" s="333">
        <v>2016</v>
      </c>
      <c r="I23" s="333">
        <v>2017</v>
      </c>
      <c r="J23" s="333">
        <v>2018</v>
      </c>
      <c r="K23" s="333">
        <v>2019</v>
      </c>
      <c r="L23" s="333">
        <v>2020</v>
      </c>
      <c r="M23" s="333">
        <v>2021</v>
      </c>
      <c r="N23" s="333">
        <v>2022</v>
      </c>
      <c r="O23" s="333">
        <v>2023</v>
      </c>
      <c r="P23" s="334">
        <v>2024</v>
      </c>
      <c r="Q23" s="27" t="s">
        <v>20</v>
      </c>
      <c r="R23" s="28" t="s">
        <v>21</v>
      </c>
      <c r="S23" s="28" t="s">
        <v>22</v>
      </c>
      <c r="T23" s="25"/>
      <c r="U23" s="25"/>
      <c r="V23" s="51"/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 ht="60">
      <c r="A24" s="33" t="s">
        <v>48</v>
      </c>
      <c r="B24" s="316">
        <v>125.468525</v>
      </c>
      <c r="C24" s="316">
        <v>125.00080000000001</v>
      </c>
      <c r="D24" s="316">
        <v>116.02817500000002</v>
      </c>
      <c r="E24" s="316">
        <v>128.09225000000001</v>
      </c>
      <c r="F24" s="316">
        <v>130.00225</v>
      </c>
      <c r="G24" s="316">
        <v>130.59035</v>
      </c>
      <c r="H24" s="316">
        <v>135.79882500000002</v>
      </c>
      <c r="I24" s="316">
        <v>140.12067500000001</v>
      </c>
      <c r="J24" s="316">
        <v>134.45065</v>
      </c>
      <c r="K24" s="316">
        <v>121.416875</v>
      </c>
      <c r="L24" s="316">
        <v>125.68987500000001</v>
      </c>
      <c r="M24" s="316">
        <v>132.990375</v>
      </c>
      <c r="N24" s="316">
        <v>129.403525</v>
      </c>
      <c r="O24" s="316">
        <v>135</v>
      </c>
      <c r="P24" s="317">
        <v>137.7826</v>
      </c>
      <c r="Q24" s="33" t="s">
        <v>49</v>
      </c>
      <c r="R24" s="203" t="s">
        <v>50</v>
      </c>
      <c r="S24" s="32" t="s">
        <v>496</v>
      </c>
      <c r="T24" s="25"/>
      <c r="U24" s="25"/>
      <c r="V24" s="51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ht="15.75" customHeight="1">
      <c r="A25" s="41"/>
      <c r="B25" s="330"/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330"/>
      <c r="O25" s="330"/>
      <c r="P25" s="339"/>
      <c r="Q25" s="53"/>
      <c r="R25" s="44"/>
      <c r="S25" s="45"/>
      <c r="T25" s="25"/>
      <c r="U25" s="25"/>
      <c r="V25" s="51"/>
      <c r="W25" s="25"/>
      <c r="X25" s="25"/>
      <c r="Y25" s="25"/>
      <c r="Z25" s="25"/>
      <c r="AA25" s="25"/>
      <c r="AB25" s="25"/>
      <c r="AC25" s="25"/>
      <c r="AD25" s="25"/>
      <c r="AE25" s="25"/>
    </row>
    <row r="26" spans="1:31" ht="15.75" customHeight="1">
      <c r="A26" s="133" t="s">
        <v>51</v>
      </c>
      <c r="B26" s="342">
        <v>2010</v>
      </c>
      <c r="C26" s="342">
        <v>2011</v>
      </c>
      <c r="D26" s="342">
        <v>2012</v>
      </c>
      <c r="E26" s="342">
        <v>2013</v>
      </c>
      <c r="F26" s="342">
        <v>2014</v>
      </c>
      <c r="G26" s="342">
        <v>2015</v>
      </c>
      <c r="H26" s="342">
        <v>2016</v>
      </c>
      <c r="I26" s="342">
        <v>2017</v>
      </c>
      <c r="J26" s="342">
        <v>2018</v>
      </c>
      <c r="K26" s="342">
        <v>2019</v>
      </c>
      <c r="L26" s="342">
        <v>2020</v>
      </c>
      <c r="M26" s="342">
        <v>2021</v>
      </c>
      <c r="N26" s="342">
        <v>2022</v>
      </c>
      <c r="O26" s="342">
        <v>2023</v>
      </c>
      <c r="P26" s="342">
        <v>2024</v>
      </c>
      <c r="Q26" s="134" t="s">
        <v>20</v>
      </c>
      <c r="R26" s="135" t="s">
        <v>21</v>
      </c>
      <c r="S26" s="135" t="s">
        <v>22</v>
      </c>
      <c r="T26" s="29"/>
      <c r="U26" s="29"/>
      <c r="V26" s="51"/>
      <c r="W26" s="29"/>
      <c r="X26" s="29"/>
      <c r="Y26" s="29"/>
      <c r="Z26" s="29"/>
      <c r="AA26" s="29"/>
      <c r="AB26" s="29"/>
      <c r="AC26" s="29"/>
      <c r="AD26" s="29"/>
      <c r="AE26" s="29"/>
    </row>
    <row r="27" spans="1:31" ht="15.75" customHeight="1">
      <c r="A27" s="136" t="s">
        <v>52</v>
      </c>
      <c r="B27" s="316">
        <v>1.84</v>
      </c>
      <c r="C27" s="316">
        <v>2.56</v>
      </c>
      <c r="D27" s="316">
        <v>2.5</v>
      </c>
      <c r="E27" s="316">
        <v>2.5</v>
      </c>
      <c r="F27" s="316">
        <v>2.39</v>
      </c>
      <c r="G27" s="316">
        <v>1.82</v>
      </c>
      <c r="H27" s="316">
        <v>1.55</v>
      </c>
      <c r="I27" s="316">
        <v>1.6</v>
      </c>
      <c r="J27" s="316">
        <v>1.24</v>
      </c>
      <c r="K27" s="316">
        <v>1.3</v>
      </c>
      <c r="L27" s="316">
        <v>1.8</v>
      </c>
      <c r="M27" s="316">
        <v>2.33</v>
      </c>
      <c r="N27" s="316">
        <v>2.42</v>
      </c>
      <c r="O27" s="318">
        <v>1.83</v>
      </c>
      <c r="P27" s="318">
        <v>1.5796296296296302</v>
      </c>
      <c r="Q27" s="137" t="s">
        <v>49</v>
      </c>
      <c r="R27" s="138" t="s">
        <v>53</v>
      </c>
      <c r="S27" s="130" t="s">
        <v>492</v>
      </c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</row>
    <row r="28" spans="1:31" ht="45">
      <c r="A28" s="136" t="s">
        <v>54</v>
      </c>
      <c r="B28" s="316">
        <v>2.7600000000000002</v>
      </c>
      <c r="C28" s="316">
        <v>3.84</v>
      </c>
      <c r="D28" s="316">
        <v>3.75</v>
      </c>
      <c r="E28" s="316">
        <v>3.75</v>
      </c>
      <c r="F28" s="316">
        <v>3.585</v>
      </c>
      <c r="G28" s="316">
        <v>2.73</v>
      </c>
      <c r="H28" s="316">
        <v>2.3250000000000002</v>
      </c>
      <c r="I28" s="316">
        <v>2.4000000000000004</v>
      </c>
      <c r="J28" s="316">
        <v>1.8599999999999999</v>
      </c>
      <c r="K28" s="316">
        <v>1.81</v>
      </c>
      <c r="L28" s="316">
        <v>2.66</v>
      </c>
      <c r="M28" s="316">
        <v>3.82</v>
      </c>
      <c r="N28" s="316">
        <v>3.42</v>
      </c>
      <c r="O28" s="318">
        <v>3.05</v>
      </c>
      <c r="P28" s="318">
        <f>+P27*1.5</f>
        <v>2.3694444444444454</v>
      </c>
      <c r="Q28" s="139" t="s">
        <v>49</v>
      </c>
      <c r="R28" s="140" t="s">
        <v>53</v>
      </c>
      <c r="S28" s="141" t="s">
        <v>497</v>
      </c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spans="1:31" ht="15.75" customHeight="1">
      <c r="A29" s="136" t="s">
        <v>55</v>
      </c>
      <c r="B29" s="316">
        <v>3.37</v>
      </c>
      <c r="C29" s="316">
        <v>4.38</v>
      </c>
      <c r="D29" s="316">
        <v>4.7074999999999996</v>
      </c>
      <c r="E29" s="316">
        <v>4.5025000000000004</v>
      </c>
      <c r="F29" s="316">
        <v>4.4349999999999996</v>
      </c>
      <c r="G29" s="316">
        <v>2.95</v>
      </c>
      <c r="H29" s="316">
        <v>2.4550000000000001</v>
      </c>
      <c r="I29" s="316">
        <v>2.6750000000000003</v>
      </c>
      <c r="J29" s="316">
        <v>2.9250000000000003</v>
      </c>
      <c r="K29" s="316">
        <v>2.9049999999999998</v>
      </c>
      <c r="L29" s="316">
        <v>2.59</v>
      </c>
      <c r="M29" s="316">
        <f>(2.65+3.12+3.4+3.55)/4</f>
        <v>3.1799999999999997</v>
      </c>
      <c r="N29" s="319">
        <f>(3.87+4.6+5.1+4.13)/4</f>
        <v>4.4249999999999998</v>
      </c>
      <c r="O29" s="318">
        <f>(3.96+3.84+3.88+3.6)/4</f>
        <v>3.82</v>
      </c>
      <c r="P29" s="320">
        <v>3.66</v>
      </c>
      <c r="Q29" s="137" t="s">
        <v>56</v>
      </c>
      <c r="R29" s="142" t="s">
        <v>57</v>
      </c>
      <c r="S29" s="130" t="s">
        <v>492</v>
      </c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ht="15.75" customHeight="1">
      <c r="A30" s="136" t="s">
        <v>58</v>
      </c>
      <c r="B30" s="316">
        <v>2.7449999999999997</v>
      </c>
      <c r="C30" s="316">
        <v>3.4775</v>
      </c>
      <c r="D30" s="316">
        <v>3.65</v>
      </c>
      <c r="E30" s="316">
        <v>3.4950000000000001</v>
      </c>
      <c r="F30" s="316">
        <v>3.5075000000000003</v>
      </c>
      <c r="G30" s="316">
        <v>2.4724999999999997</v>
      </c>
      <c r="H30" s="316">
        <v>2.13</v>
      </c>
      <c r="I30" s="316">
        <v>2.3624999999999998</v>
      </c>
      <c r="J30" s="316">
        <v>2.74</v>
      </c>
      <c r="K30" s="316">
        <v>2.6175000000000002</v>
      </c>
      <c r="L30" s="316">
        <v>2.2250000000000001</v>
      </c>
      <c r="M30" s="316">
        <f>(2.32+2.82+3.09+3.25)/4</f>
        <v>2.87</v>
      </c>
      <c r="N30" s="319">
        <f>(3.28+4.13+4.7+4.05)/4</f>
        <v>4.04</v>
      </c>
      <c r="O30" s="318">
        <f>(3.31+3.69+3.59+3.72)/4</f>
        <v>3.5775000000000001</v>
      </c>
      <c r="P30" s="320">
        <v>3.23</v>
      </c>
      <c r="Q30" s="137" t="s">
        <v>56</v>
      </c>
      <c r="R30" s="142" t="s">
        <v>57</v>
      </c>
      <c r="S30" s="130" t="s">
        <v>492</v>
      </c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spans="1:31" ht="15.75" customHeight="1">
      <c r="A31" s="136" t="s">
        <v>59</v>
      </c>
      <c r="B31" s="321">
        <v>70400</v>
      </c>
      <c r="C31" s="321">
        <v>90200</v>
      </c>
      <c r="D31" s="321">
        <v>70000</v>
      </c>
      <c r="E31" s="321">
        <v>86504</v>
      </c>
      <c r="F31" s="321">
        <v>83949</v>
      </c>
      <c r="G31" s="321">
        <v>85967</v>
      </c>
      <c r="H31" s="321">
        <v>74420</v>
      </c>
      <c r="I31" s="321">
        <v>71906</v>
      </c>
      <c r="J31" s="321">
        <v>71637</v>
      </c>
      <c r="K31" s="321">
        <v>68542</v>
      </c>
      <c r="L31" s="321">
        <v>62180</v>
      </c>
      <c r="M31" s="321">
        <v>73193</v>
      </c>
      <c r="N31" s="321">
        <v>78802</v>
      </c>
      <c r="O31" s="321">
        <v>72463</v>
      </c>
      <c r="P31" s="322">
        <v>55810</v>
      </c>
      <c r="Q31" s="136" t="s">
        <v>60</v>
      </c>
      <c r="R31" s="144" t="s">
        <v>25</v>
      </c>
      <c r="S31" s="130" t="s">
        <v>492</v>
      </c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1" ht="15.75" customHeight="1">
      <c r="A32" s="141" t="s">
        <v>61</v>
      </c>
      <c r="B32" s="321">
        <v>329600</v>
      </c>
      <c r="C32" s="321">
        <v>311400</v>
      </c>
      <c r="D32" s="321">
        <v>295000</v>
      </c>
      <c r="E32" s="321">
        <v>300277</v>
      </c>
      <c r="F32" s="321">
        <v>295265</v>
      </c>
      <c r="G32" s="321">
        <v>271440</v>
      </c>
      <c r="H32" s="321">
        <v>264756</v>
      </c>
      <c r="I32" s="321">
        <v>285587</v>
      </c>
      <c r="J32" s="321">
        <v>294516</v>
      </c>
      <c r="K32" s="321">
        <v>277389</v>
      </c>
      <c r="L32" s="321">
        <v>242600</v>
      </c>
      <c r="M32" s="321">
        <v>334220</v>
      </c>
      <c r="N32" s="321">
        <v>342876</v>
      </c>
      <c r="O32" s="321">
        <v>322002</v>
      </c>
      <c r="P32" s="322">
        <v>258089</v>
      </c>
      <c r="Q32" s="136" t="s">
        <v>60</v>
      </c>
      <c r="R32" s="145" t="s">
        <v>25</v>
      </c>
      <c r="S32" s="130" t="s">
        <v>492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15.75" customHeight="1">
      <c r="A33" s="136" t="s">
        <v>62</v>
      </c>
      <c r="B33" s="318">
        <v>54</v>
      </c>
      <c r="C33" s="318">
        <v>42.4</v>
      </c>
      <c r="D33" s="318">
        <v>40.6</v>
      </c>
      <c r="E33" s="318">
        <v>44</v>
      </c>
      <c r="F33" s="318">
        <v>53</v>
      </c>
      <c r="G33" s="318">
        <v>44</v>
      </c>
      <c r="H33" s="318">
        <v>42</v>
      </c>
      <c r="I33" s="318">
        <v>45</v>
      </c>
      <c r="J33" s="318">
        <v>46</v>
      </c>
      <c r="K33" s="318">
        <v>42.8</v>
      </c>
      <c r="L33" s="318">
        <v>34.700000000000003</v>
      </c>
      <c r="M33" s="318">
        <v>52.1</v>
      </c>
      <c r="N33" s="318">
        <v>57</v>
      </c>
      <c r="O33" s="306">
        <v>54.2</v>
      </c>
      <c r="P33" s="323">
        <v>53</v>
      </c>
      <c r="Q33" s="136" t="s">
        <v>60</v>
      </c>
      <c r="R33" s="144" t="s">
        <v>25</v>
      </c>
      <c r="S33" s="130" t="s">
        <v>492</v>
      </c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  <row r="34" spans="1:31" ht="15.75" customHeight="1">
      <c r="A34" s="136" t="s">
        <v>63</v>
      </c>
      <c r="B34" s="318">
        <v>36</v>
      </c>
      <c r="C34" s="318">
        <v>29.9</v>
      </c>
      <c r="D34" s="318">
        <v>29.9</v>
      </c>
      <c r="E34" s="318">
        <v>31</v>
      </c>
      <c r="F34" s="318">
        <v>27</v>
      </c>
      <c r="G34" s="318">
        <v>24</v>
      </c>
      <c r="H34" s="318">
        <v>23</v>
      </c>
      <c r="I34" s="318">
        <v>24</v>
      </c>
      <c r="J34" s="318">
        <v>25</v>
      </c>
      <c r="K34" s="318">
        <v>22.9</v>
      </c>
      <c r="L34" s="318">
        <v>18.600000000000001</v>
      </c>
      <c r="M34" s="318">
        <v>28.7</v>
      </c>
      <c r="N34" s="318">
        <v>34.799999999999997</v>
      </c>
      <c r="O34" s="306">
        <v>32.5</v>
      </c>
      <c r="P34" s="323">
        <v>28.3</v>
      </c>
      <c r="Q34" s="136" t="s">
        <v>60</v>
      </c>
      <c r="R34" s="146" t="s">
        <v>25</v>
      </c>
      <c r="S34" s="130" t="s">
        <v>492</v>
      </c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spans="1:31" ht="15.75" customHeight="1">
      <c r="A35" s="136" t="s">
        <v>64</v>
      </c>
      <c r="B35" s="300"/>
      <c r="C35" s="300"/>
      <c r="D35" s="318">
        <v>7.9</v>
      </c>
      <c r="E35" s="318">
        <v>8.3000000000000007</v>
      </c>
      <c r="F35" s="318">
        <v>10.3</v>
      </c>
      <c r="G35" s="318">
        <v>8.6999999999999993</v>
      </c>
      <c r="H35" s="318">
        <v>8.5</v>
      </c>
      <c r="I35" s="318">
        <v>10.7</v>
      </c>
      <c r="J35" s="318">
        <v>8.8000000000000007</v>
      </c>
      <c r="K35" s="318">
        <v>7.9</v>
      </c>
      <c r="L35" s="318">
        <v>6.3</v>
      </c>
      <c r="M35" s="318">
        <v>10.4</v>
      </c>
      <c r="N35" s="318">
        <v>12.3</v>
      </c>
      <c r="O35" s="306">
        <v>10.4</v>
      </c>
      <c r="P35" s="323">
        <v>10.3</v>
      </c>
      <c r="Q35" s="136" t="s">
        <v>60</v>
      </c>
      <c r="R35" s="145" t="s">
        <v>65</v>
      </c>
      <c r="S35" s="130" t="s">
        <v>492</v>
      </c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15.75" customHeight="1">
      <c r="A36" s="136" t="s">
        <v>66</v>
      </c>
      <c r="B36" s="318">
        <v>79.48</v>
      </c>
      <c r="C36" s="318">
        <v>94.88</v>
      </c>
      <c r="D36" s="318">
        <v>94.05</v>
      </c>
      <c r="E36" s="318">
        <v>97.98</v>
      </c>
      <c r="F36" s="318">
        <v>93.17</v>
      </c>
      <c r="G36" s="318">
        <v>48.66</v>
      </c>
      <c r="H36" s="318">
        <v>43.29</v>
      </c>
      <c r="I36" s="318">
        <v>50.8</v>
      </c>
      <c r="J36" s="318">
        <v>65.23</v>
      </c>
      <c r="K36" s="318">
        <v>56.99</v>
      </c>
      <c r="L36" s="318">
        <v>39.68</v>
      </c>
      <c r="M36" s="318">
        <v>68.17</v>
      </c>
      <c r="N36" s="318">
        <v>94.53</v>
      </c>
      <c r="O36" s="318">
        <v>77.64</v>
      </c>
      <c r="P36" s="320">
        <v>76.599999999999994</v>
      </c>
      <c r="Q36" s="136" t="s">
        <v>67</v>
      </c>
      <c r="R36" s="147" t="s">
        <v>68</v>
      </c>
      <c r="S36" s="130" t="s">
        <v>492</v>
      </c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spans="1:31" ht="15.75" customHeight="1">
      <c r="A37" s="5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 spans="1:31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626"/>
      <c r="O38" s="626"/>
      <c r="P38" s="626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 spans="1:31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626"/>
      <c r="P40" s="626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spans="1:3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627"/>
      <c r="P41" s="627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 spans="1:31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spans="1:31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 spans="1:31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spans="1:31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 spans="1:31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spans="1:31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spans="1:3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spans="1:31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1:31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spans="1:31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 spans="1:31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spans="1:31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 spans="1:31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spans="1:31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 spans="1:31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spans="1:3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spans="1:31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 spans="1:31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spans="1:31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 spans="1:31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 spans="1:31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spans="1:31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 spans="1:31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spans="1:3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 spans="1:31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spans="1:31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 spans="1:31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 spans="1:31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spans="1:31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 spans="1:31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spans="1:31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 spans="1:31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spans="1:31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 spans="1:31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spans="1:31" ht="15.75" customHeight="1"/>
    <row r="88" spans="1:31" ht="15.75" customHeight="1"/>
    <row r="89" spans="1:31" ht="15.75" customHeight="1"/>
    <row r="90" spans="1:31" ht="15.75" customHeight="1"/>
    <row r="91" spans="1:31" ht="15.75" customHeight="1"/>
    <row r="92" spans="1:31" ht="15.75" customHeight="1"/>
    <row r="93" spans="1:31" ht="15.75" customHeight="1"/>
    <row r="94" spans="1:31" ht="15.75" customHeight="1"/>
    <row r="95" spans="1:31" ht="15.75" customHeight="1"/>
    <row r="96" spans="1:31" ht="15.75" customHeight="1"/>
    <row r="97" spans="1:31" ht="15.75" customHeight="1"/>
    <row r="98" spans="1:31" ht="15.75" customHeight="1"/>
    <row r="99" spans="1:31" ht="15.75" customHeight="1"/>
    <row r="100" spans="1:31" ht="15.75" customHeight="1"/>
    <row r="101" spans="1:31" ht="15.75" customHeight="1"/>
    <row r="102" spans="1:31" ht="15.75" customHeight="1"/>
    <row r="103" spans="1:31" ht="15.75" customHeight="1"/>
    <row r="104" spans="1:31" ht="15.75" customHeight="1"/>
    <row r="105" spans="1:31" ht="15.75" customHeight="1"/>
    <row r="106" spans="1:31" ht="15.75" customHeight="1"/>
    <row r="107" spans="1:31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 spans="1:31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 spans="1:31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 spans="1:3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 spans="1:31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 spans="1:31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 spans="1:31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 spans="1:31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 spans="1:31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 spans="1:31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 spans="1:31" ht="15.75" customHeight="1">
      <c r="A118" s="25"/>
      <c r="J118" s="57"/>
      <c r="K118" s="57"/>
      <c r="L118" s="57"/>
      <c r="M118" s="57"/>
      <c r="N118" s="57"/>
      <c r="O118" s="57"/>
      <c r="P118" s="57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 spans="1:31" ht="15.75" customHeight="1">
      <c r="A119" s="25"/>
      <c r="J119" s="57"/>
      <c r="K119" s="57"/>
      <c r="L119" s="57"/>
      <c r="M119" s="57"/>
      <c r="N119" s="57"/>
      <c r="O119" s="57"/>
      <c r="P119" s="57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 spans="1:31" ht="15.75" customHeight="1">
      <c r="A120" s="25"/>
      <c r="J120" s="57"/>
      <c r="K120" s="57"/>
      <c r="L120" s="57"/>
      <c r="M120" s="57"/>
      <c r="N120" s="57"/>
      <c r="O120" s="57"/>
      <c r="P120" s="57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 spans="1:31" ht="15.75" customHeight="1">
      <c r="A121" s="25"/>
      <c r="J121" s="57"/>
      <c r="K121" s="57"/>
      <c r="L121" s="57"/>
      <c r="M121" s="57"/>
      <c r="N121" s="57"/>
      <c r="O121" s="57"/>
      <c r="P121" s="57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1:31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 spans="1:31" ht="15.75" customHeight="1">
      <c r="A123" s="25"/>
      <c r="B123" s="25"/>
      <c r="C123" s="25"/>
      <c r="D123" s="25"/>
      <c r="E123" s="25"/>
      <c r="F123" s="25"/>
      <c r="J123" s="57"/>
      <c r="K123" s="57"/>
      <c r="L123" s="57"/>
      <c r="M123" s="57"/>
      <c r="N123" s="57"/>
      <c r="O123" s="57"/>
      <c r="P123" s="57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 spans="1:31" ht="15.75" customHeight="1">
      <c r="A124" s="25"/>
      <c r="B124" s="25"/>
      <c r="C124" s="25"/>
      <c r="D124" s="25"/>
      <c r="E124" s="25"/>
      <c r="F124" s="25"/>
      <c r="J124" s="57"/>
      <c r="K124" s="57"/>
      <c r="L124" s="57"/>
      <c r="M124" s="57"/>
      <c r="N124" s="57"/>
      <c r="O124" s="57"/>
      <c r="P124" s="57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5.75" customHeight="1">
      <c r="A125" s="25"/>
      <c r="B125" s="25"/>
      <c r="C125" s="58"/>
      <c r="D125" s="25"/>
      <c r="E125" s="25"/>
      <c r="F125" s="25"/>
      <c r="J125" s="57"/>
      <c r="K125" s="57"/>
      <c r="L125" s="57"/>
      <c r="M125" s="57"/>
      <c r="N125" s="57"/>
      <c r="O125" s="57"/>
      <c r="P125" s="57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 spans="1:31" ht="15.75" customHeight="1">
      <c r="A126" s="25"/>
      <c r="B126" s="25"/>
      <c r="C126" s="58"/>
      <c r="D126" s="25"/>
      <c r="E126" s="25"/>
      <c r="F126" s="25"/>
      <c r="J126" s="57"/>
      <c r="K126" s="57"/>
      <c r="L126" s="57"/>
      <c r="M126" s="57"/>
      <c r="N126" s="57"/>
      <c r="O126" s="57"/>
      <c r="P126" s="57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spans="1:31" ht="15.75" customHeight="1">
      <c r="A127" s="25"/>
      <c r="B127" s="25"/>
      <c r="C127" s="58"/>
      <c r="D127" s="25"/>
      <c r="E127" s="25"/>
      <c r="F127" s="25"/>
      <c r="J127" s="57"/>
      <c r="K127" s="57"/>
      <c r="L127" s="57"/>
      <c r="M127" s="57"/>
      <c r="N127" s="57"/>
      <c r="O127" s="57"/>
      <c r="P127" s="57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 ht="15.75" customHeight="1">
      <c r="A128" s="25"/>
      <c r="B128" s="25"/>
      <c r="C128" s="58"/>
      <c r="D128" s="25"/>
      <c r="E128" s="25"/>
      <c r="F128" s="25"/>
      <c r="J128" s="57"/>
      <c r="K128" s="57"/>
      <c r="L128" s="57"/>
      <c r="M128" s="57"/>
      <c r="N128" s="57"/>
      <c r="O128" s="57"/>
      <c r="P128" s="57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1:31" ht="15.75" customHeight="1">
      <c r="A129" s="25"/>
      <c r="B129" s="25"/>
      <c r="C129" s="58"/>
      <c r="D129" s="25"/>
      <c r="E129" s="25"/>
      <c r="F129" s="25"/>
      <c r="J129" s="57"/>
      <c r="K129" s="57"/>
      <c r="L129" s="57"/>
      <c r="M129" s="57"/>
      <c r="N129" s="57"/>
      <c r="O129" s="57"/>
      <c r="P129" s="57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1:31" ht="15.75" customHeight="1">
      <c r="A130" s="25"/>
      <c r="B130" s="25"/>
      <c r="C130" s="58"/>
      <c r="D130" s="25"/>
      <c r="E130" s="25"/>
      <c r="F130" s="25"/>
      <c r="J130" s="57"/>
      <c r="K130" s="57"/>
      <c r="L130" s="57"/>
      <c r="M130" s="57"/>
      <c r="N130" s="57"/>
      <c r="O130" s="57"/>
      <c r="P130" s="57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5.75" customHeight="1">
      <c r="A131" s="25"/>
      <c r="B131" s="25"/>
      <c r="C131" s="58"/>
      <c r="D131" s="25"/>
      <c r="E131" s="25"/>
      <c r="F131" s="25"/>
      <c r="J131" s="57"/>
      <c r="K131" s="57"/>
      <c r="L131" s="57"/>
      <c r="M131" s="57"/>
      <c r="N131" s="57"/>
      <c r="O131" s="57"/>
      <c r="P131" s="57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 spans="1:31" ht="15.75" customHeight="1">
      <c r="A132" s="25"/>
      <c r="B132" s="25"/>
      <c r="C132" s="58"/>
      <c r="D132" s="25"/>
      <c r="E132" s="25"/>
      <c r="F132" s="25"/>
      <c r="J132" s="57"/>
      <c r="K132" s="57"/>
      <c r="L132" s="57"/>
      <c r="M132" s="57"/>
      <c r="N132" s="57"/>
      <c r="O132" s="57"/>
      <c r="P132" s="57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 spans="1:31" ht="15.75" customHeight="1">
      <c r="A133" s="25"/>
      <c r="B133" s="25"/>
      <c r="C133" s="25"/>
      <c r="D133" s="25"/>
      <c r="E133" s="25"/>
      <c r="F133" s="25"/>
      <c r="J133" s="57"/>
      <c r="K133" s="57"/>
      <c r="L133" s="57"/>
      <c r="M133" s="57"/>
      <c r="N133" s="57"/>
      <c r="O133" s="57"/>
      <c r="P133" s="57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 spans="1:31" ht="15.75" customHeight="1">
      <c r="A134" s="25"/>
      <c r="B134" s="25"/>
      <c r="C134" s="25"/>
      <c r="D134" s="25"/>
      <c r="E134" s="25"/>
      <c r="F134" s="25"/>
      <c r="J134" s="57"/>
      <c r="K134" s="57"/>
      <c r="L134" s="57"/>
      <c r="M134" s="57"/>
      <c r="N134" s="57"/>
      <c r="O134" s="57"/>
      <c r="P134" s="57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 spans="1:31" ht="15.75" customHeight="1">
      <c r="A135" s="25"/>
      <c r="B135" s="25"/>
      <c r="C135" s="25"/>
      <c r="D135" s="25"/>
      <c r="E135" s="25"/>
      <c r="F135" s="25"/>
      <c r="J135" s="57"/>
      <c r="K135" s="57"/>
      <c r="L135" s="57"/>
      <c r="M135" s="57"/>
      <c r="N135" s="57"/>
      <c r="O135" s="57"/>
      <c r="P135" s="57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 spans="1:31" ht="15.75" customHeight="1">
      <c r="A136" s="25"/>
      <c r="B136" s="25"/>
      <c r="C136" s="25"/>
      <c r="D136" s="25"/>
      <c r="E136" s="25"/>
      <c r="F136" s="25"/>
      <c r="J136" s="57"/>
      <c r="K136" s="57"/>
      <c r="L136" s="57"/>
      <c r="M136" s="57"/>
      <c r="N136" s="57"/>
      <c r="O136" s="57"/>
      <c r="P136" s="57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 spans="1:31" ht="15.75" customHeight="1">
      <c r="A137" s="25"/>
      <c r="B137" s="25"/>
      <c r="C137" s="25"/>
      <c r="D137" s="25"/>
      <c r="E137" s="25"/>
      <c r="F137" s="25"/>
      <c r="J137" s="57"/>
      <c r="K137" s="57"/>
      <c r="L137" s="57"/>
      <c r="M137" s="57"/>
      <c r="N137" s="57"/>
      <c r="O137" s="57"/>
      <c r="P137" s="57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 spans="1:31" ht="15.75" customHeight="1">
      <c r="A138" s="25"/>
      <c r="B138" s="25"/>
      <c r="C138" s="25"/>
      <c r="D138" s="25"/>
      <c r="E138" s="25"/>
      <c r="F138" s="25"/>
      <c r="J138" s="57"/>
      <c r="K138" s="57"/>
      <c r="L138" s="57"/>
      <c r="M138" s="57"/>
      <c r="N138" s="57"/>
      <c r="O138" s="57"/>
      <c r="P138" s="57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 spans="1:31" ht="15.75" customHeight="1">
      <c r="A139" s="25"/>
      <c r="B139" s="25"/>
      <c r="C139" s="25"/>
      <c r="D139" s="25"/>
      <c r="E139" s="25"/>
      <c r="F139" s="25"/>
      <c r="J139" s="57"/>
      <c r="K139" s="57"/>
      <c r="L139" s="57"/>
      <c r="M139" s="57"/>
      <c r="N139" s="57"/>
      <c r="O139" s="57"/>
      <c r="P139" s="57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 spans="1:31" ht="15.75" customHeight="1">
      <c r="A140" s="25"/>
      <c r="B140" s="25"/>
      <c r="C140" s="25"/>
      <c r="D140" s="25"/>
      <c r="E140" s="25"/>
      <c r="F140" s="25"/>
      <c r="J140" s="57"/>
      <c r="K140" s="57"/>
      <c r="L140" s="57"/>
      <c r="M140" s="57"/>
      <c r="N140" s="57"/>
      <c r="O140" s="57"/>
      <c r="P140" s="57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 spans="1:31" ht="15.75" customHeight="1">
      <c r="A141" s="25"/>
      <c r="J141" s="57"/>
      <c r="K141" s="57"/>
      <c r="L141" s="57"/>
      <c r="M141" s="57"/>
      <c r="N141" s="57"/>
      <c r="O141" s="57"/>
      <c r="P141" s="57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 spans="1:31" ht="15.75" customHeight="1">
      <c r="A142" s="25"/>
      <c r="J142" s="57"/>
      <c r="K142" s="57"/>
      <c r="L142" s="57"/>
      <c r="M142" s="57"/>
      <c r="N142" s="57"/>
      <c r="O142" s="57"/>
      <c r="P142" s="57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 spans="1:31" ht="15.75" customHeight="1">
      <c r="A143" s="25"/>
      <c r="J143" s="57"/>
      <c r="K143" s="57"/>
      <c r="L143" s="57"/>
      <c r="M143" s="57"/>
      <c r="N143" s="57"/>
      <c r="O143" s="57"/>
      <c r="P143" s="57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 spans="1:31" ht="15.75" customHeight="1">
      <c r="A144" s="25"/>
      <c r="J144" s="57"/>
      <c r="K144" s="57"/>
      <c r="L144" s="57"/>
      <c r="M144" s="57"/>
      <c r="N144" s="57"/>
      <c r="O144" s="57"/>
      <c r="P144" s="57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 spans="1:31" ht="15.75" customHeight="1">
      <c r="A145" s="25"/>
      <c r="J145" s="57"/>
      <c r="K145" s="57"/>
      <c r="L145" s="57"/>
      <c r="M145" s="57"/>
      <c r="N145" s="57"/>
      <c r="O145" s="57"/>
      <c r="P145" s="57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 spans="1:31" ht="15.75" customHeight="1">
      <c r="A146" s="25"/>
      <c r="J146" s="57"/>
      <c r="K146" s="57"/>
      <c r="L146" s="57"/>
      <c r="M146" s="57"/>
      <c r="N146" s="57"/>
      <c r="O146" s="57"/>
      <c r="P146" s="57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 spans="1:31" ht="15.75" customHeight="1">
      <c r="A147" s="25"/>
      <c r="J147" s="57"/>
      <c r="K147" s="57"/>
      <c r="L147" s="57"/>
      <c r="M147" s="57"/>
      <c r="N147" s="57"/>
      <c r="O147" s="57"/>
      <c r="P147" s="57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 spans="1:31" ht="15.75" customHeight="1">
      <c r="A148" s="25"/>
      <c r="J148" s="57"/>
      <c r="K148" s="57"/>
      <c r="L148" s="57"/>
      <c r="M148" s="57"/>
      <c r="N148" s="57"/>
      <c r="O148" s="57"/>
      <c r="P148" s="57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 spans="1:31" ht="15.75" customHeight="1">
      <c r="A149" s="25"/>
      <c r="J149" s="57"/>
      <c r="K149" s="57"/>
      <c r="L149" s="57"/>
      <c r="M149" s="57"/>
      <c r="N149" s="57"/>
      <c r="O149" s="57"/>
      <c r="P149" s="57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 spans="1:31" ht="15.75" customHeight="1">
      <c r="A150" s="25"/>
      <c r="J150" s="57"/>
      <c r="K150" s="57"/>
      <c r="L150" s="57"/>
      <c r="M150" s="57"/>
      <c r="N150" s="57"/>
      <c r="O150" s="57"/>
      <c r="P150" s="57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5.75" customHeight="1">
      <c r="A151" s="25"/>
      <c r="J151" s="57"/>
      <c r="K151" s="57"/>
      <c r="L151" s="57"/>
      <c r="M151" s="57"/>
      <c r="N151" s="57"/>
      <c r="O151" s="57"/>
      <c r="P151" s="57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 spans="1:31" ht="15.75" customHeight="1">
      <c r="A152" s="25"/>
      <c r="J152" s="57"/>
      <c r="K152" s="57"/>
      <c r="L152" s="57"/>
      <c r="M152" s="57"/>
      <c r="N152" s="57"/>
      <c r="O152" s="57"/>
      <c r="P152" s="57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spans="1:31" ht="15.75" customHeight="1">
      <c r="A153" s="25"/>
      <c r="J153" s="57"/>
      <c r="K153" s="57"/>
      <c r="L153" s="57"/>
      <c r="M153" s="57"/>
      <c r="N153" s="57"/>
      <c r="O153" s="57"/>
      <c r="P153" s="57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 spans="1:31" ht="15.75" customHeight="1">
      <c r="A154" s="25"/>
      <c r="J154" s="57"/>
      <c r="K154" s="57"/>
      <c r="L154" s="57"/>
      <c r="M154" s="57"/>
      <c r="N154" s="57"/>
      <c r="O154" s="57"/>
      <c r="P154" s="57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 spans="1:31" ht="15.75" customHeight="1">
      <c r="A155" s="25"/>
      <c r="J155" s="57"/>
      <c r="K155" s="57"/>
      <c r="L155" s="57"/>
      <c r="M155" s="57"/>
      <c r="N155" s="57"/>
      <c r="O155" s="57"/>
      <c r="P155" s="57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 spans="1:31" ht="15.75" customHeight="1">
      <c r="A156" s="25"/>
      <c r="J156" s="57"/>
      <c r="K156" s="57"/>
      <c r="L156" s="57"/>
      <c r="M156" s="57"/>
      <c r="N156" s="57"/>
      <c r="O156" s="57"/>
      <c r="P156" s="57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 spans="1:31" ht="15.75" customHeight="1">
      <c r="A157" s="25"/>
      <c r="J157" s="57"/>
      <c r="K157" s="57"/>
      <c r="L157" s="57"/>
      <c r="M157" s="57"/>
      <c r="N157" s="57"/>
      <c r="O157" s="57"/>
      <c r="P157" s="57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 spans="1:31" ht="15.75" customHeight="1">
      <c r="A158" s="25"/>
      <c r="J158" s="57"/>
      <c r="K158" s="57"/>
      <c r="L158" s="57"/>
      <c r="M158" s="57"/>
      <c r="N158" s="57"/>
      <c r="O158" s="57"/>
      <c r="P158" s="57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 spans="1:31" ht="15.75" customHeight="1">
      <c r="A159" s="25"/>
      <c r="J159" s="57"/>
      <c r="K159" s="57"/>
      <c r="L159" s="57"/>
      <c r="M159" s="57"/>
      <c r="N159" s="57"/>
      <c r="O159" s="57"/>
      <c r="P159" s="57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 spans="1:31" ht="15.75" customHeight="1">
      <c r="A160" s="25"/>
      <c r="J160" s="57"/>
      <c r="K160" s="57"/>
      <c r="L160" s="57"/>
      <c r="M160" s="57"/>
      <c r="N160" s="57"/>
      <c r="O160" s="57"/>
      <c r="P160" s="57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 spans="1:31" ht="15.75" customHeight="1">
      <c r="A161" s="25"/>
      <c r="J161" s="57"/>
      <c r="K161" s="57"/>
      <c r="L161" s="57"/>
      <c r="M161" s="57"/>
      <c r="N161" s="57"/>
      <c r="O161" s="57"/>
      <c r="P161" s="57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 spans="1:31" ht="15.75" customHeight="1">
      <c r="A162" s="25"/>
      <c r="J162" s="57"/>
      <c r="K162" s="57"/>
      <c r="L162" s="57"/>
      <c r="M162" s="57"/>
      <c r="N162" s="57"/>
      <c r="O162" s="57"/>
      <c r="P162" s="57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 spans="1:31" ht="15.75" customHeight="1">
      <c r="A163" s="25"/>
      <c r="J163" s="57"/>
      <c r="K163" s="57"/>
      <c r="L163" s="57"/>
      <c r="M163" s="57"/>
      <c r="N163" s="57"/>
      <c r="O163" s="57"/>
      <c r="P163" s="57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 spans="1:31" ht="15.75" customHeight="1">
      <c r="A164" s="25"/>
      <c r="J164" s="57"/>
      <c r="K164" s="57"/>
      <c r="L164" s="57"/>
      <c r="M164" s="57"/>
      <c r="N164" s="57"/>
      <c r="O164" s="57"/>
      <c r="P164" s="57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 spans="1:31" ht="15.75" customHeight="1">
      <c r="A165" s="25"/>
      <c r="J165" s="57"/>
      <c r="K165" s="57"/>
      <c r="L165" s="57"/>
      <c r="M165" s="57"/>
      <c r="N165" s="57"/>
      <c r="O165" s="57"/>
      <c r="P165" s="57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 spans="1:31" ht="15.75" customHeight="1">
      <c r="A166" s="25"/>
      <c r="J166" s="57"/>
      <c r="K166" s="57"/>
      <c r="L166" s="57"/>
      <c r="M166" s="57"/>
      <c r="N166" s="57"/>
      <c r="O166" s="57"/>
      <c r="P166" s="57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 spans="1:31" ht="15.75" customHeight="1">
      <c r="A167" s="25"/>
      <c r="J167" s="57"/>
      <c r="K167" s="57"/>
      <c r="L167" s="57"/>
      <c r="M167" s="57"/>
      <c r="N167" s="57"/>
      <c r="O167" s="57"/>
      <c r="P167" s="57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 spans="1:31" ht="15.75" customHeight="1">
      <c r="A168" s="25"/>
      <c r="J168" s="57"/>
      <c r="K168" s="57"/>
      <c r="L168" s="57"/>
      <c r="M168" s="57"/>
      <c r="N168" s="57"/>
      <c r="O168" s="57"/>
      <c r="P168" s="57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 spans="1:31" ht="15.75" customHeight="1">
      <c r="A169" s="25"/>
      <c r="J169" s="57"/>
      <c r="K169" s="57"/>
      <c r="L169" s="57"/>
      <c r="M169" s="57"/>
      <c r="N169" s="57"/>
      <c r="O169" s="57"/>
      <c r="P169" s="57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 spans="1:31" ht="15.75" customHeight="1">
      <c r="A170" s="25"/>
      <c r="J170" s="57"/>
      <c r="K170" s="57"/>
      <c r="L170" s="57"/>
      <c r="M170" s="57"/>
      <c r="N170" s="57"/>
      <c r="O170" s="57"/>
      <c r="P170" s="57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 spans="1:31" ht="15.75" customHeight="1">
      <c r="A171" s="25"/>
      <c r="J171" s="57"/>
      <c r="K171" s="57"/>
      <c r="L171" s="57"/>
      <c r="M171" s="57"/>
      <c r="N171" s="57"/>
      <c r="O171" s="57"/>
      <c r="P171" s="57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 spans="1:31" ht="15.75" customHeight="1">
      <c r="A172" s="25"/>
      <c r="J172" s="57"/>
      <c r="K172" s="57"/>
      <c r="L172" s="57"/>
      <c r="M172" s="57"/>
      <c r="N172" s="57"/>
      <c r="O172" s="57"/>
      <c r="P172" s="57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 spans="1:31" ht="15.75" customHeight="1">
      <c r="A173" s="25"/>
      <c r="J173" s="57"/>
      <c r="K173" s="57"/>
      <c r="L173" s="57"/>
      <c r="M173" s="57"/>
      <c r="N173" s="57"/>
      <c r="O173" s="57"/>
      <c r="P173" s="57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 spans="1:31" ht="15.75" customHeight="1">
      <c r="A174" s="25"/>
      <c r="J174" s="57"/>
      <c r="K174" s="57"/>
      <c r="L174" s="57"/>
      <c r="M174" s="57"/>
      <c r="N174" s="57"/>
      <c r="O174" s="57"/>
      <c r="P174" s="57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 spans="1:31" ht="15.75" customHeight="1">
      <c r="A175" s="25"/>
      <c r="J175" s="57"/>
      <c r="K175" s="57"/>
      <c r="L175" s="57"/>
      <c r="M175" s="57"/>
      <c r="N175" s="57"/>
      <c r="O175" s="57"/>
      <c r="P175" s="57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 spans="1:31" ht="15.75" customHeight="1">
      <c r="A176" s="25"/>
      <c r="J176" s="57"/>
      <c r="K176" s="57"/>
      <c r="L176" s="57"/>
      <c r="M176" s="57"/>
      <c r="N176" s="57"/>
      <c r="O176" s="57"/>
      <c r="P176" s="57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 spans="1:31" ht="15.75" customHeight="1">
      <c r="A177" s="25"/>
      <c r="J177" s="57"/>
      <c r="K177" s="57"/>
      <c r="L177" s="57"/>
      <c r="M177" s="57"/>
      <c r="N177" s="57"/>
      <c r="O177" s="57"/>
      <c r="P177" s="57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 spans="1:31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 spans="1:31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 spans="1:31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 spans="1:3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 spans="1:31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 spans="1:31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 spans="1:31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 spans="1:31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 spans="1:31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 spans="1:31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 spans="1:31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 spans="1:31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 spans="1:31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 spans="1:3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 spans="1:31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 spans="1:31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 spans="1:31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 spans="1:31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 spans="1:31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 spans="1:31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 spans="1:31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 spans="1:31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 spans="1:31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 spans="1:3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 spans="1:31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 spans="1:31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 spans="1:31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 spans="1:31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 spans="1:31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 spans="1:31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 spans="1:31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 spans="1:31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 spans="1:31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 spans="1:3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 spans="1:31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 spans="1:31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 spans="1:31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 spans="1:31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 spans="1:31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 spans="1:31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 spans="1:31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 spans="1:31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 spans="1:31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 spans="1:3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 spans="1:31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 spans="1:31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 spans="1:31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 spans="1:31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 spans="1:31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 spans="1:31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 spans="1:31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 spans="1:31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 spans="1:31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 spans="1: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 spans="1:31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 spans="1:31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 spans="1:31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 spans="1:31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 spans="1:31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 spans="1:31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 spans="1:31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 spans="1:31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 spans="1:31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 spans="1:3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 spans="1:31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 spans="1:31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 spans="1:31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 spans="1:31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 spans="1:31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 spans="1:31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 spans="1:31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 spans="1:31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 spans="1:31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 spans="1:3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 spans="1:31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 spans="1:31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 spans="1:31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 spans="1:31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 spans="1:31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 spans="1:31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 spans="1:31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 spans="1:31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 spans="1:31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spans="1:3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spans="1:31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spans="1:31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spans="1:31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 spans="1:31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 spans="1:31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</sheetData>
  <mergeCells count="1">
    <mergeCell ref="A1:A2"/>
  </mergeCells>
  <hyperlinks>
    <hyperlink ref="R4" r:id="rId1" xr:uid="{00000000-0004-0000-0100-000000000000}"/>
    <hyperlink ref="R13" r:id="rId2" xr:uid="{00000000-0004-0000-0100-000009000000}"/>
    <hyperlink ref="R19" r:id="rId3" xr:uid="{00000000-0004-0000-0100-00000D000000}"/>
    <hyperlink ref="R24" r:id="rId4" location=":~:text=Ethanol%2C%20made%20mostly%20from%20corn,all%20biofuel%20production%20in%202012.&amp;text=ERS%20analysts%20track%20U.S.%20ethanol,production%2C%20consumption%2C%20and%20trade." xr:uid="{00000000-0004-0000-0100-000011000000}"/>
    <hyperlink ref="R27" r:id="rId5" xr:uid="{00000000-0004-0000-0100-000012000000}"/>
    <hyperlink ref="R28" r:id="rId6" xr:uid="{00000000-0004-0000-0100-000013000000}"/>
    <hyperlink ref="R29" r:id="rId7" xr:uid="{00000000-0004-0000-0100-000014000000}"/>
    <hyperlink ref="R30" r:id="rId8" xr:uid="{00000000-0004-0000-0100-000015000000}"/>
    <hyperlink ref="R32" r:id="rId9" xr:uid="{00000000-0004-0000-0100-000016000000}"/>
    <hyperlink ref="R36" r:id="rId10" xr:uid="{00000000-0004-0000-0100-000017000000}"/>
    <hyperlink ref="R20" r:id="rId11" xr:uid="{5F857459-5460-4011-AC31-45764149F0B9}"/>
    <hyperlink ref="R17" r:id="rId12" xr:uid="{D9C80498-84E0-4619-846C-AA23C9554324}"/>
  </hyperlinks>
  <pageMargins left="0.7" right="0.7" top="0.75" bottom="0.75" header="0" footer="0"/>
  <pageSetup orientation="portrait"/>
  <drawing r:id="rId1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306C"/>
  </sheetPr>
  <dimension ref="A1:AE1001"/>
  <sheetViews>
    <sheetView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P23" sqref="P23"/>
    </sheetView>
  </sheetViews>
  <sheetFormatPr defaultColWidth="14.42578125" defaultRowHeight="15" customHeight="1"/>
  <cols>
    <col min="1" max="1" width="61.28515625" customWidth="1"/>
    <col min="2" max="16" width="11.7109375" customWidth="1"/>
    <col min="17" max="17" width="18.42578125" customWidth="1"/>
    <col min="18" max="18" width="77.5703125" customWidth="1"/>
    <col min="19" max="19" width="37.140625" customWidth="1"/>
    <col min="20" max="31" width="8.85546875" customWidth="1"/>
  </cols>
  <sheetData>
    <row r="1" spans="1:31">
      <c r="A1" s="639" t="s">
        <v>71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>
      <c r="A2" s="640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</row>
    <row r="3" spans="1:31">
      <c r="A3" s="27" t="s">
        <v>19</v>
      </c>
      <c r="B3" s="324">
        <v>2010</v>
      </c>
      <c r="C3" s="324">
        <v>2011</v>
      </c>
      <c r="D3" s="324">
        <v>2012</v>
      </c>
      <c r="E3" s="324">
        <v>2013</v>
      </c>
      <c r="F3" s="324">
        <v>2014</v>
      </c>
      <c r="G3" s="324">
        <v>2015</v>
      </c>
      <c r="H3" s="324">
        <v>2016</v>
      </c>
      <c r="I3" s="324">
        <v>2017</v>
      </c>
      <c r="J3" s="324">
        <v>2018</v>
      </c>
      <c r="K3" s="324">
        <v>2019</v>
      </c>
      <c r="L3" s="324">
        <v>2020</v>
      </c>
      <c r="M3" s="324">
        <v>2021</v>
      </c>
      <c r="N3" s="324">
        <v>2022</v>
      </c>
      <c r="O3" s="324">
        <v>2023</v>
      </c>
      <c r="P3" s="324">
        <v>2024</v>
      </c>
      <c r="Q3" s="28" t="s">
        <v>20</v>
      </c>
      <c r="R3" s="28" t="s">
        <v>21</v>
      </c>
      <c r="S3" s="28" t="s">
        <v>22</v>
      </c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>
      <c r="A4" s="33" t="s">
        <v>72</v>
      </c>
      <c r="B4" s="293"/>
      <c r="C4" s="293">
        <v>103</v>
      </c>
      <c r="D4" s="293">
        <v>112</v>
      </c>
      <c r="E4" s="293">
        <v>115</v>
      </c>
      <c r="F4" s="293">
        <v>98</v>
      </c>
      <c r="G4" s="293">
        <v>94</v>
      </c>
      <c r="H4" s="293">
        <v>96</v>
      </c>
      <c r="I4" s="293">
        <v>95</v>
      </c>
      <c r="J4" s="293">
        <v>100</v>
      </c>
      <c r="K4" s="293">
        <v>91</v>
      </c>
      <c r="L4" s="293">
        <v>85</v>
      </c>
      <c r="M4" s="293">
        <v>75</v>
      </c>
      <c r="N4" s="293">
        <v>72</v>
      </c>
      <c r="O4" s="293">
        <v>59</v>
      </c>
      <c r="P4" s="293">
        <v>48</v>
      </c>
      <c r="Q4" s="32" t="s">
        <v>39</v>
      </c>
      <c r="R4" s="205" t="s">
        <v>498</v>
      </c>
      <c r="S4" s="130" t="s">
        <v>492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</row>
    <row r="5" spans="1:31">
      <c r="A5" s="33" t="s">
        <v>74</v>
      </c>
      <c r="B5" s="300"/>
      <c r="C5" s="300"/>
      <c r="D5" s="300"/>
      <c r="E5" s="300"/>
      <c r="F5" s="300"/>
      <c r="G5" s="300"/>
      <c r="H5" s="293">
        <v>6</v>
      </c>
      <c r="I5" s="293">
        <v>0</v>
      </c>
      <c r="J5" s="293">
        <v>0</v>
      </c>
      <c r="K5" s="293">
        <v>0</v>
      </c>
      <c r="L5" s="300"/>
      <c r="M5" s="293">
        <v>9</v>
      </c>
      <c r="N5" s="300"/>
      <c r="O5" s="293">
        <v>3</v>
      </c>
      <c r="P5" s="293">
        <v>7</v>
      </c>
      <c r="Q5" s="32" t="s">
        <v>75</v>
      </c>
      <c r="R5" s="49" t="s">
        <v>76</v>
      </c>
      <c r="S5" s="130" t="s">
        <v>492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</row>
    <row r="6" spans="1:31">
      <c r="A6" s="37" t="s">
        <v>33</v>
      </c>
      <c r="B6" s="325"/>
      <c r="C6" s="325"/>
      <c r="D6" s="325"/>
      <c r="E6" s="325"/>
      <c r="F6" s="325"/>
      <c r="G6" s="304">
        <v>16</v>
      </c>
      <c r="H6" s="326">
        <v>15</v>
      </c>
      <c r="I6" s="326">
        <v>10</v>
      </c>
      <c r="J6" s="326">
        <v>12</v>
      </c>
      <c r="K6" s="326">
        <v>12</v>
      </c>
      <c r="L6" s="327"/>
      <c r="M6" s="326">
        <v>14</v>
      </c>
      <c r="N6" s="327"/>
      <c r="O6" s="326">
        <v>3</v>
      </c>
      <c r="P6" s="304">
        <v>3</v>
      </c>
      <c r="Q6" s="61" t="s">
        <v>75</v>
      </c>
      <c r="R6" s="62" t="s">
        <v>77</v>
      </c>
      <c r="S6" s="130" t="s">
        <v>492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</row>
    <row r="7" spans="1:31">
      <c r="A7" s="33" t="s">
        <v>78</v>
      </c>
      <c r="B7" s="300"/>
      <c r="C7" s="293">
        <v>35</v>
      </c>
      <c r="D7" s="293">
        <v>37</v>
      </c>
      <c r="E7" s="293">
        <v>38</v>
      </c>
      <c r="F7" s="293">
        <v>35</v>
      </c>
      <c r="G7" s="293">
        <v>36</v>
      </c>
      <c r="H7" s="293">
        <v>37</v>
      </c>
      <c r="I7" s="293">
        <v>36</v>
      </c>
      <c r="J7" s="293">
        <v>38</v>
      </c>
      <c r="K7" s="293">
        <v>37</v>
      </c>
      <c r="L7" s="293">
        <v>33</v>
      </c>
      <c r="M7" s="293">
        <v>32</v>
      </c>
      <c r="N7" s="293">
        <v>29</v>
      </c>
      <c r="O7" s="293">
        <v>29</v>
      </c>
      <c r="P7" s="293">
        <v>26</v>
      </c>
      <c r="Q7" s="32" t="s">
        <v>39</v>
      </c>
      <c r="R7" s="60" t="s">
        <v>498</v>
      </c>
      <c r="S7" s="130" t="s">
        <v>492</v>
      </c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</row>
    <row r="8" spans="1:31">
      <c r="A8" s="251" t="s">
        <v>466</v>
      </c>
      <c r="B8" s="328"/>
      <c r="C8" s="328"/>
      <c r="D8" s="328"/>
      <c r="E8" s="328"/>
      <c r="F8" s="328"/>
      <c r="G8" s="328"/>
      <c r="H8" s="328"/>
      <c r="I8" s="328"/>
      <c r="J8" s="328"/>
      <c r="K8" s="329">
        <v>2.5630000000000002</v>
      </c>
      <c r="L8" s="329">
        <v>2.5139999999999998</v>
      </c>
      <c r="M8" s="329">
        <v>2.4089999999999998</v>
      </c>
      <c r="N8" s="329">
        <v>2.2549999999999999</v>
      </c>
      <c r="O8" s="329">
        <v>2.0859999999999999</v>
      </c>
      <c r="P8" s="329">
        <v>1.986</v>
      </c>
      <c r="Q8" s="32" t="s">
        <v>39</v>
      </c>
      <c r="R8" s="60" t="s">
        <v>498</v>
      </c>
      <c r="S8" s="130" t="s">
        <v>492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</row>
    <row r="9" spans="1:31">
      <c r="A9" s="41"/>
      <c r="B9" s="330"/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31"/>
      <c r="P9" s="332"/>
      <c r="Q9" s="44"/>
      <c r="R9" s="44"/>
      <c r="S9" s="4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1:31">
      <c r="A10" s="46" t="s">
        <v>37</v>
      </c>
      <c r="B10" s="333">
        <v>2010</v>
      </c>
      <c r="C10" s="333">
        <v>2011</v>
      </c>
      <c r="D10" s="333">
        <v>2012</v>
      </c>
      <c r="E10" s="333">
        <v>2013</v>
      </c>
      <c r="F10" s="333">
        <v>2014</v>
      </c>
      <c r="G10" s="333">
        <v>2015</v>
      </c>
      <c r="H10" s="333">
        <v>2016</v>
      </c>
      <c r="I10" s="333">
        <v>2017</v>
      </c>
      <c r="J10" s="333">
        <v>2018</v>
      </c>
      <c r="K10" s="333">
        <v>2019</v>
      </c>
      <c r="L10" s="333">
        <v>2020</v>
      </c>
      <c r="M10" s="333">
        <v>2021</v>
      </c>
      <c r="N10" s="333">
        <v>2022</v>
      </c>
      <c r="O10" s="333">
        <v>2023</v>
      </c>
      <c r="P10" s="334">
        <v>2024</v>
      </c>
      <c r="Q10" s="64" t="s">
        <v>20</v>
      </c>
      <c r="R10" s="64" t="s">
        <v>21</v>
      </c>
      <c r="S10" s="64" t="s">
        <v>22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31" ht="30">
      <c r="A11" s="33" t="s">
        <v>79</v>
      </c>
      <c r="B11" s="294">
        <v>0.34350000000000003</v>
      </c>
      <c r="C11" s="294">
        <v>0.96750000000000003</v>
      </c>
      <c r="D11" s="294">
        <v>0.96960000000000002</v>
      </c>
      <c r="E11" s="294">
        <v>1.3580000000000001</v>
      </c>
      <c r="F11" s="294">
        <v>1.268</v>
      </c>
      <c r="G11" s="294">
        <v>1.266</v>
      </c>
      <c r="H11" s="294">
        <v>1.569</v>
      </c>
      <c r="I11" s="294">
        <v>1.5960000000000001</v>
      </c>
      <c r="J11" s="294">
        <v>1.857</v>
      </c>
      <c r="K11" s="294">
        <v>1.7250000000000001</v>
      </c>
      <c r="L11" s="294">
        <v>1.8149999999999999</v>
      </c>
      <c r="M11" s="294">
        <v>1.7090000000000001</v>
      </c>
      <c r="N11" s="294">
        <v>1.6220000000000001</v>
      </c>
      <c r="O11" s="294">
        <v>1.6990000000000001</v>
      </c>
      <c r="P11" s="294">
        <v>1.671</v>
      </c>
      <c r="Q11" s="32" t="s">
        <v>39</v>
      </c>
      <c r="R11" s="63" t="s">
        <v>80</v>
      </c>
      <c r="S11" s="130" t="s">
        <v>492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 ht="30">
      <c r="A12" s="33" t="s">
        <v>81</v>
      </c>
      <c r="B12" s="294">
        <v>0.25863034148161967</v>
      </c>
      <c r="C12" s="294">
        <v>0.88561298749766748</v>
      </c>
      <c r="D12" s="294">
        <v>0.90128755364806867</v>
      </c>
      <c r="E12" s="294">
        <v>1.4263855196865085</v>
      </c>
      <c r="F12" s="294">
        <v>1.4185508836553156</v>
      </c>
      <c r="G12" s="294">
        <v>1.496923860652847</v>
      </c>
      <c r="H12" s="294">
        <v>2.0847211881343313</v>
      </c>
      <c r="I12" s="294">
        <v>1.9828363180375406</v>
      </c>
      <c r="J12" s="294">
        <v>1.9044633410400094</v>
      </c>
      <c r="K12" s="335">
        <v>1.8129999999999999</v>
      </c>
      <c r="L12" s="336">
        <v>1.8759999999999999</v>
      </c>
      <c r="M12" s="336">
        <v>1.71</v>
      </c>
      <c r="N12" s="336">
        <v>1.6579999999999999</v>
      </c>
      <c r="O12" s="336">
        <v>1.9390000000000001</v>
      </c>
      <c r="P12" s="337">
        <v>1.931</v>
      </c>
      <c r="Q12" s="32" t="s">
        <v>39</v>
      </c>
      <c r="R12" s="49" t="s">
        <v>44</v>
      </c>
      <c r="S12" s="32" t="s">
        <v>502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30">
      <c r="A13" s="33" t="s">
        <v>429</v>
      </c>
      <c r="B13" s="294">
        <v>23.687999999999999</v>
      </c>
      <c r="C13" s="294">
        <v>37.380000000000003</v>
      </c>
      <c r="D13" s="294">
        <v>35.826000000000001</v>
      </c>
      <c r="E13" s="294">
        <v>342.38400000000001</v>
      </c>
      <c r="F13" s="294">
        <v>192.27600000000001</v>
      </c>
      <c r="G13" s="294">
        <v>352.75799999999998</v>
      </c>
      <c r="H13" s="294">
        <v>708.91800000000001</v>
      </c>
      <c r="I13" s="294">
        <v>393.70800000000003</v>
      </c>
      <c r="J13" s="294">
        <v>166.69800000000001</v>
      </c>
      <c r="K13" s="294">
        <v>171.27600000000001</v>
      </c>
      <c r="L13" s="294">
        <v>196.72799999999998</v>
      </c>
      <c r="M13" s="294">
        <v>210.21</v>
      </c>
      <c r="N13" s="294">
        <v>249.9</v>
      </c>
      <c r="O13" s="294">
        <v>501.01799999999997</v>
      </c>
      <c r="P13" s="294">
        <v>429.702</v>
      </c>
      <c r="Q13" s="32" t="s">
        <v>39</v>
      </c>
      <c r="R13" s="128" t="s">
        <v>82</v>
      </c>
      <c r="S13" s="32" t="s">
        <v>501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 ht="30">
      <c r="A14" s="33" t="s">
        <v>430</v>
      </c>
      <c r="B14" s="294">
        <v>108.696</v>
      </c>
      <c r="C14" s="294">
        <v>75.558000000000007</v>
      </c>
      <c r="D14" s="294">
        <v>128.352</v>
      </c>
      <c r="E14" s="294">
        <v>196.35</v>
      </c>
      <c r="F14" s="294">
        <v>82.908000000000001</v>
      </c>
      <c r="G14" s="294">
        <v>87.822000000000003</v>
      </c>
      <c r="H14" s="294">
        <v>88.116</v>
      </c>
      <c r="I14" s="294">
        <v>93.156000000000006</v>
      </c>
      <c r="J14" s="294">
        <v>103.74</v>
      </c>
      <c r="K14" s="294">
        <v>114.66</v>
      </c>
      <c r="L14" s="294">
        <v>145.23599999999999</v>
      </c>
      <c r="M14" s="294">
        <v>186.98400000000001</v>
      </c>
      <c r="N14" s="294">
        <v>238.18200000000002</v>
      </c>
      <c r="O14" s="294">
        <v>251.16</v>
      </c>
      <c r="P14" s="294">
        <v>180.726</v>
      </c>
      <c r="Q14" s="32" t="s">
        <v>39</v>
      </c>
      <c r="R14" s="49" t="s">
        <v>82</v>
      </c>
      <c r="S14" s="32" t="s">
        <v>500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 ht="30">
      <c r="A15" s="33" t="s">
        <v>83</v>
      </c>
      <c r="B15" s="338">
        <v>644</v>
      </c>
      <c r="C15" s="338">
        <v>627</v>
      </c>
      <c r="D15" s="338">
        <v>675</v>
      </c>
      <c r="E15" s="338">
        <v>757</v>
      </c>
      <c r="F15" s="338">
        <v>783</v>
      </c>
      <c r="G15" s="338">
        <v>713</v>
      </c>
      <c r="H15" s="338">
        <v>716</v>
      </c>
      <c r="I15" s="338">
        <v>704</v>
      </c>
      <c r="J15" s="338">
        <v>680</v>
      </c>
      <c r="K15" s="338">
        <v>611</v>
      </c>
      <c r="L15" s="338">
        <v>712</v>
      </c>
      <c r="M15" s="338">
        <v>730</v>
      </c>
      <c r="N15" s="338">
        <v>1193</v>
      </c>
      <c r="O15" s="338">
        <v>1700</v>
      </c>
      <c r="P15" s="338">
        <v>1816</v>
      </c>
      <c r="Q15" s="32" t="s">
        <v>86</v>
      </c>
      <c r="R15" s="203" t="s">
        <v>499</v>
      </c>
      <c r="S15" s="130" t="s">
        <v>492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16" spans="1:31">
      <c r="A16" s="41"/>
      <c r="B16" s="330"/>
      <c r="C16" s="330"/>
      <c r="D16" s="330"/>
      <c r="E16" s="330"/>
      <c r="F16" s="330"/>
      <c r="G16" s="330"/>
      <c r="H16" s="330"/>
      <c r="I16" s="330"/>
      <c r="J16" s="330"/>
      <c r="K16" s="330"/>
      <c r="L16" s="330"/>
      <c r="M16" s="330"/>
      <c r="N16" s="330"/>
      <c r="O16" s="330"/>
      <c r="P16" s="339"/>
      <c r="Q16" s="44"/>
      <c r="R16" s="44"/>
      <c r="S16" s="4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>
      <c r="A17" s="46" t="s">
        <v>51</v>
      </c>
      <c r="B17" s="333">
        <v>2010</v>
      </c>
      <c r="C17" s="333">
        <v>2011</v>
      </c>
      <c r="D17" s="333">
        <v>2012</v>
      </c>
      <c r="E17" s="333">
        <v>2013</v>
      </c>
      <c r="F17" s="333">
        <v>2014</v>
      </c>
      <c r="G17" s="333">
        <v>2015</v>
      </c>
      <c r="H17" s="333">
        <v>2016</v>
      </c>
      <c r="I17" s="333">
        <v>2017</v>
      </c>
      <c r="J17" s="333">
        <v>2018</v>
      </c>
      <c r="K17" s="333">
        <v>2019</v>
      </c>
      <c r="L17" s="333">
        <v>2020</v>
      </c>
      <c r="M17" s="333">
        <v>2021</v>
      </c>
      <c r="N17" s="333">
        <v>2022</v>
      </c>
      <c r="O17" s="333">
        <v>2023</v>
      </c>
      <c r="P17" s="334">
        <v>2024</v>
      </c>
      <c r="Q17" s="64" t="s">
        <v>20</v>
      </c>
      <c r="R17" s="64" t="s">
        <v>21</v>
      </c>
      <c r="S17" s="64" t="s">
        <v>22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 spans="1:31">
      <c r="A18" s="33" t="s">
        <v>84</v>
      </c>
      <c r="B18" s="340">
        <v>3.436375</v>
      </c>
      <c r="C18" s="340">
        <v>5.1727083333333335</v>
      </c>
      <c r="D18" s="340">
        <v>4.5162500000000003</v>
      </c>
      <c r="E18" s="340">
        <v>4.6016666666666666</v>
      </c>
      <c r="F18" s="340">
        <v>3.4550000000000001</v>
      </c>
      <c r="G18" s="340">
        <v>2.8358333333333334</v>
      </c>
      <c r="H18" s="340">
        <v>3.2391666666666672</v>
      </c>
      <c r="I18" s="340">
        <v>3.2724999999999991</v>
      </c>
      <c r="J18" s="340">
        <v>3.1016666666666666</v>
      </c>
      <c r="K18" s="340">
        <f>AVERAGE(3.03,
3.11,
2.95,
2.87,
2.83,
2.8,
2.87,
2.89,
2.9,
2.93,
2.97,
3.17
)</f>
        <v>2.9433333333333334</v>
      </c>
      <c r="L18" s="340">
        <f>AVERAGE(3.25,
3.1,
2.97,
2.71,
2.67,
2.8,
2.88,
3.12,
2.99,
3.09,
3.39,
3.51
)</f>
        <v>3.0399999999999996</v>
      </c>
      <c r="M18" s="340">
        <f>AVERAGE(4.13,
4.42,
4.91,
5.41,
6.05,
5.97,
5.88,
5.56,
5.28,
5.45,
5.57,
5.45
)</f>
        <v>5.3400000000000007</v>
      </c>
      <c r="N18" s="340">
        <f>AVERAGE(5.46,
5.93,
6.48,
6.78,
7.09,
6.97,
6.57,
6.71,
6.79,
6.81,
6.72,
5.87
)</f>
        <v>6.5150000000000006</v>
      </c>
      <c r="O18" s="340">
        <f>AVERAGE(5.73,
5.54,
5.09,
5.12,
4.99,
5.33,
5.66,
5.65,
5.47,
4.45,
4.49,
4.56
)</f>
        <v>5.1733333333333329</v>
      </c>
      <c r="P18" s="340">
        <v>4.5999999999999996</v>
      </c>
      <c r="Q18" s="32" t="s">
        <v>49</v>
      </c>
      <c r="R18" s="49" t="s">
        <v>53</v>
      </c>
      <c r="S18" s="130" t="s">
        <v>492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>
      <c r="A19" s="33" t="s">
        <v>85</v>
      </c>
      <c r="B19" s="340">
        <v>3.6274999999999999</v>
      </c>
      <c r="C19" s="340">
        <v>4.125</v>
      </c>
      <c r="D19" s="340">
        <v>4.2275</v>
      </c>
      <c r="E19" s="340">
        <v>4.2125000000000004</v>
      </c>
      <c r="F19" s="340">
        <v>4.18</v>
      </c>
      <c r="G19" s="340">
        <v>3.6150000000000002</v>
      </c>
      <c r="H19" s="340">
        <v>3</v>
      </c>
      <c r="I19" s="340">
        <v>3.12</v>
      </c>
      <c r="J19" s="340">
        <v>3.4625000000000004</v>
      </c>
      <c r="K19" s="340">
        <v>3.5350000000000001</v>
      </c>
      <c r="L19" s="340">
        <f>AVERAGE(3.65,3.44,3.08,3.26
)</f>
        <v>3.3574999999999999</v>
      </c>
      <c r="M19" s="340">
        <f>AVERAGE(3.11,3.49,3.56,3.73
)</f>
        <v>3.4725000000000001</v>
      </c>
      <c r="N19" s="340">
        <f>AVERAGE(3.88,4.96,5.48,5.15
)</f>
        <v>4.8674999999999997</v>
      </c>
      <c r="O19" s="340">
        <f>AVERAGE(5.11,4.85,4.44,4.76
)</f>
        <v>4.7900000000000009</v>
      </c>
      <c r="P19" s="340">
        <v>4.2450000000000001</v>
      </c>
      <c r="Q19" s="30" t="s">
        <v>86</v>
      </c>
      <c r="R19" s="67" t="s">
        <v>57</v>
      </c>
      <c r="S19" s="130" t="s">
        <v>492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 spans="1:31">
      <c r="A20" s="33" t="s">
        <v>87</v>
      </c>
      <c r="B20" s="340">
        <v>2.8</v>
      </c>
      <c r="C20" s="340">
        <v>3.5300000000000002</v>
      </c>
      <c r="D20" s="340">
        <v>3.6875</v>
      </c>
      <c r="E20" s="340">
        <v>3.6675</v>
      </c>
      <c r="F20" s="340">
        <v>3.5975000000000001</v>
      </c>
      <c r="G20" s="340">
        <v>2.6349999999999998</v>
      </c>
      <c r="H20" s="340">
        <v>2.1674999999999995</v>
      </c>
      <c r="I20" s="340">
        <v>2.3025000000000002</v>
      </c>
      <c r="J20" s="340">
        <v>2.6675</v>
      </c>
      <c r="K20" s="340">
        <v>2.4849999999999999</v>
      </c>
      <c r="L20" s="340">
        <f>AVERAGE(2.6,2.13,2.11,2.06
)</f>
        <v>2.2250000000000001</v>
      </c>
      <c r="M20" s="340">
        <f>AVERAGE(2.18,2.53,2.74,2.96
)</f>
        <v>2.6025</v>
      </c>
      <c r="N20" s="340">
        <f>AVERAGE(3.08,4.16,4.8,4.4
)</f>
        <v>4.1099999999999994</v>
      </c>
      <c r="O20" s="340">
        <f>AVERAGE(4.01,3.62,3.4,3.98
)</f>
        <v>3.7524999999999999</v>
      </c>
      <c r="P20" s="340">
        <v>3.3849999999999998</v>
      </c>
      <c r="Q20" s="30" t="s">
        <v>86</v>
      </c>
      <c r="R20" s="67" t="s">
        <v>57</v>
      </c>
      <c r="S20" s="130" t="s">
        <v>492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spans="1:31">
      <c r="A21" s="33" t="s">
        <v>88</v>
      </c>
      <c r="B21" s="340">
        <v>2.67</v>
      </c>
      <c r="C21" s="340">
        <v>4.1675000000000004</v>
      </c>
      <c r="D21" s="340">
        <v>3.5525000000000002</v>
      </c>
      <c r="E21" s="340">
        <v>3.5349999999999997</v>
      </c>
      <c r="F21" s="340">
        <v>3.4850000000000003</v>
      </c>
      <c r="G21" s="340">
        <v>2.5549999999999997</v>
      </c>
      <c r="H21" s="340">
        <v>2.0724999999999998</v>
      </c>
      <c r="I21" s="340">
        <v>2.3075000000000001</v>
      </c>
      <c r="J21" s="340">
        <v>2.8025000000000002</v>
      </c>
      <c r="K21" s="340">
        <f>AVERAGE(2.65,2.75,2.71,2.74)</f>
        <v>2.7124999999999999</v>
      </c>
      <c r="L21" s="340">
        <f>AVERAGE(2.71,2.33,2.2,2.13
)</f>
        <v>2.3425000000000002</v>
      </c>
      <c r="M21" s="340">
        <f>AVERAGE(2.35,2.77,2.9,3.1
)</f>
        <v>2.78</v>
      </c>
      <c r="N21" s="340">
        <f>AVERAGE(3.22,4.5,5.02,4.6
)</f>
        <v>4.335</v>
      </c>
      <c r="O21" s="340">
        <f>AVERAGE(4.08,3.78,3.45,4.02
)</f>
        <v>3.8324999999999996</v>
      </c>
      <c r="P21" s="340">
        <v>3.4550000000000001</v>
      </c>
      <c r="Q21" s="30" t="s">
        <v>86</v>
      </c>
      <c r="R21" s="67" t="s">
        <v>57</v>
      </c>
      <c r="S21" s="130" t="s">
        <v>492</v>
      </c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 spans="1:31" ht="30">
      <c r="A22" s="33" t="s">
        <v>89</v>
      </c>
      <c r="B22" s="309">
        <v>418.51851851851853</v>
      </c>
      <c r="C22" s="309">
        <v>462.96296296296299</v>
      </c>
      <c r="D22" s="309">
        <v>533.33333333333337</v>
      </c>
      <c r="E22" s="309">
        <v>481.48148148148147</v>
      </c>
      <c r="F22" s="309">
        <v>374.07407407407408</v>
      </c>
      <c r="G22" s="309">
        <v>331.48148148148147</v>
      </c>
      <c r="H22" s="309">
        <v>350.74074074074076</v>
      </c>
      <c r="I22" s="309">
        <v>345.55555555555554</v>
      </c>
      <c r="J22" s="309">
        <v>314.07407407407408</v>
      </c>
      <c r="K22" s="309">
        <v>329.81481277799998</v>
      </c>
      <c r="L22" s="309">
        <f>AVERAGE(317.407,400)</f>
        <v>358.70349999999996</v>
      </c>
      <c r="M22" s="309">
        <f>AVERAGE(400,492.59259)</f>
        <v>446.29629499999999</v>
      </c>
      <c r="N22" s="309">
        <f>AVERAGE(529.62,492.59259)</f>
        <v>511.10629499999999</v>
      </c>
      <c r="O22" s="309">
        <v>529.62</v>
      </c>
      <c r="P22" s="309">
        <v>455.57600000000002</v>
      </c>
      <c r="Q22" s="68" t="s">
        <v>49</v>
      </c>
      <c r="R22" s="49" t="s">
        <v>90</v>
      </c>
      <c r="S22" s="32" t="s">
        <v>506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ht="15.75" customHeight="1">
      <c r="A23" s="33" t="s">
        <v>91</v>
      </c>
      <c r="B23" s="341"/>
      <c r="C23" s="341"/>
      <c r="D23" s="341"/>
      <c r="E23" s="341"/>
      <c r="F23" s="338">
        <v>49500</v>
      </c>
      <c r="G23" s="338">
        <v>49500</v>
      </c>
      <c r="H23" s="338">
        <v>61100</v>
      </c>
      <c r="I23" s="338">
        <v>62200</v>
      </c>
      <c r="J23" s="338">
        <v>72300</v>
      </c>
      <c r="K23" s="338">
        <v>67300</v>
      </c>
      <c r="L23" s="338">
        <v>70860</v>
      </c>
      <c r="M23" s="338">
        <v>63900</v>
      </c>
      <c r="N23" s="338">
        <v>63180</v>
      </c>
      <c r="O23" s="338">
        <v>66261</v>
      </c>
      <c r="P23" s="293" t="s">
        <v>503</v>
      </c>
      <c r="Q23" s="32" t="s">
        <v>505</v>
      </c>
      <c r="R23" s="205" t="s">
        <v>504</v>
      </c>
      <c r="S23" s="290" t="s">
        <v>492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 ht="15.75" customHeight="1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47"/>
      <c r="O24" s="26"/>
      <c r="P24" s="26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69"/>
      <c r="R25" s="69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</row>
    <row r="26" spans="1:31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30"/>
      <c r="M26" s="230"/>
      <c r="N26" s="230"/>
      <c r="O26" s="26"/>
      <c r="P26" s="26"/>
      <c r="Q26" s="69"/>
      <c r="R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spans="1:31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  <c r="P27" s="26"/>
      <c r="Q27" s="69"/>
      <c r="R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</row>
    <row r="28" spans="1:31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  <c r="P28" s="26"/>
      <c r="Q28" s="69"/>
      <c r="R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spans="1:31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29"/>
      <c r="O29" s="26"/>
      <c r="P29" s="26"/>
      <c r="Q29" s="69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spans="1: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1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  <row r="34" spans="1:31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spans="1:31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spans="1:31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 spans="1:31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 spans="1:31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spans="1:3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 spans="1:31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spans="1:31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 spans="1:31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spans="1:31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 spans="1:31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spans="1:31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spans="1:3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spans="1:31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1:31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spans="1:31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 spans="1:31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spans="1:31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 spans="1:31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spans="1:31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 spans="1:31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spans="1:3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spans="1:31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 spans="1:31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spans="1:31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 spans="1:31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 spans="1:31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spans="1:31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 spans="1:31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spans="1:3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 spans="1:31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spans="1:31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 spans="1:31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 spans="1:31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spans="1:31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 spans="1:31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spans="1:31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 spans="1:31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spans="1:31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 spans="1:31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spans="1:31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 spans="1:31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spans="1:31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 spans="1:31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spans="1:3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 spans="1:31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 spans="1:31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 spans="1:31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 spans="1:31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 spans="1:31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 spans="1:31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 spans="1:31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 spans="1:31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 spans="1:31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 spans="1:3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 spans="1:31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 spans="1:31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 spans="1:31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 spans="1:31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 spans="1:31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 spans="1:31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 spans="1:31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 spans="1:31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 spans="1:3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 spans="1:31" ht="15.75" customHeight="1">
      <c r="K112" s="57"/>
      <c r="L112" s="57"/>
      <c r="M112" s="57"/>
      <c r="N112" s="57"/>
      <c r="O112" s="57"/>
      <c r="P112" s="57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 spans="1:31" ht="15.75" customHeight="1">
      <c r="K113" s="57"/>
      <c r="L113" s="57"/>
      <c r="M113" s="57"/>
      <c r="N113" s="57"/>
      <c r="O113" s="57"/>
      <c r="P113" s="57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 spans="1:31" ht="15.75" customHeight="1">
      <c r="K114" s="57"/>
      <c r="L114" s="57"/>
      <c r="M114" s="57"/>
      <c r="N114" s="57"/>
      <c r="O114" s="57"/>
      <c r="P114" s="57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 spans="1:31" ht="15.75" customHeight="1">
      <c r="K115" s="57"/>
      <c r="L115" s="57"/>
      <c r="M115" s="57"/>
      <c r="N115" s="57"/>
      <c r="O115" s="57"/>
      <c r="P115" s="57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 spans="1:31" ht="15.75" customHeight="1">
      <c r="K116" s="57"/>
      <c r="L116" s="57"/>
      <c r="M116" s="57"/>
      <c r="N116" s="57"/>
      <c r="O116" s="57"/>
      <c r="P116" s="57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 spans="1:31" ht="15.75" customHeight="1">
      <c r="K117" s="57"/>
      <c r="L117" s="57"/>
      <c r="M117" s="57"/>
      <c r="N117" s="57"/>
      <c r="O117" s="57"/>
      <c r="P117" s="57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 spans="1:31" ht="15.75" customHeight="1">
      <c r="K118" s="57"/>
      <c r="L118" s="57"/>
      <c r="M118" s="57"/>
      <c r="N118" s="57"/>
      <c r="O118" s="57"/>
      <c r="P118" s="57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 spans="1:31" ht="15.75" customHeight="1">
      <c r="K119" s="57"/>
      <c r="L119" s="57"/>
      <c r="M119" s="57"/>
      <c r="N119" s="57"/>
      <c r="O119" s="57"/>
      <c r="P119" s="57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 spans="1:31" ht="15.75" customHeight="1">
      <c r="A120" s="25"/>
      <c r="B120" s="25"/>
      <c r="C120" s="25"/>
      <c r="D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 spans="1:31" ht="15.75" customHeight="1">
      <c r="A121" s="25"/>
      <c r="B121" s="25"/>
      <c r="C121" s="25"/>
      <c r="D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1:31" ht="15.75" customHeight="1">
      <c r="A122" s="25"/>
      <c r="B122" s="25"/>
      <c r="C122" s="25"/>
      <c r="D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 spans="1:31" ht="15.75" customHeight="1">
      <c r="A123" s="25"/>
      <c r="B123" s="25"/>
      <c r="C123" s="25"/>
      <c r="D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 spans="1:31" ht="15.75" customHeight="1">
      <c r="A124" s="25"/>
      <c r="B124" s="25"/>
      <c r="C124" s="25"/>
      <c r="D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5.75" customHeight="1">
      <c r="A125" s="25"/>
      <c r="B125" s="25"/>
      <c r="C125" s="25"/>
      <c r="D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 spans="1:31" ht="15.75" customHeight="1">
      <c r="A126" s="25"/>
      <c r="B126" s="25"/>
      <c r="C126" s="25"/>
      <c r="D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spans="1:31" ht="15.75" customHeight="1">
      <c r="A127" s="25"/>
      <c r="B127" s="25"/>
      <c r="C127" s="25"/>
      <c r="D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 ht="15.75" customHeight="1">
      <c r="A128" s="25"/>
      <c r="B128" s="25"/>
      <c r="C128" s="25"/>
      <c r="D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1:31" ht="15.75" customHeight="1">
      <c r="A129" s="25"/>
      <c r="B129" s="25"/>
      <c r="C129" s="25"/>
      <c r="D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1:31" ht="15.75" customHeight="1">
      <c r="A130" s="25"/>
      <c r="B130" s="25"/>
      <c r="C130" s="25"/>
      <c r="D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5.75" customHeight="1">
      <c r="A131" s="25"/>
      <c r="B131" s="25"/>
      <c r="C131" s="25"/>
      <c r="D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 spans="1:31" ht="15.75" customHeight="1">
      <c r="A132" s="25"/>
      <c r="B132" s="25"/>
      <c r="C132" s="25"/>
      <c r="D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 spans="1:31" ht="15.75" customHeight="1">
      <c r="A133" s="25"/>
      <c r="B133" s="25"/>
      <c r="C133" s="25"/>
      <c r="D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 spans="1:31" ht="15.75" customHeight="1">
      <c r="A134" s="25"/>
      <c r="B134" s="25"/>
      <c r="C134" s="25"/>
      <c r="D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 spans="1:31" ht="15.75" customHeight="1">
      <c r="A135" s="25"/>
      <c r="B135" s="25"/>
      <c r="C135" s="25"/>
      <c r="D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 spans="1:31" ht="15.75" customHeight="1">
      <c r="A136" s="25"/>
      <c r="B136" s="25"/>
      <c r="C136" s="25"/>
      <c r="D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 spans="1:31" ht="15.75" customHeight="1">
      <c r="A137" s="25"/>
      <c r="B137" s="25"/>
      <c r="C137" s="25"/>
      <c r="D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 spans="1:31" ht="15.75" customHeight="1">
      <c r="A138" s="25"/>
      <c r="B138" s="25"/>
      <c r="C138" s="25"/>
      <c r="D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 spans="1:31" ht="15.75" customHeight="1">
      <c r="A139" s="25"/>
      <c r="B139" s="25"/>
      <c r="C139" s="25"/>
      <c r="D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 spans="1:31" ht="15.75" customHeight="1">
      <c r="A140" s="25"/>
      <c r="B140" s="25"/>
      <c r="C140" s="25"/>
      <c r="D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 spans="1:31" ht="15.75" customHeight="1">
      <c r="A141" s="25"/>
      <c r="B141" s="25"/>
      <c r="C141" s="25"/>
      <c r="D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 spans="1:31" ht="15.75" customHeight="1">
      <c r="A142" s="25"/>
      <c r="B142" s="25"/>
      <c r="C142" s="25"/>
      <c r="D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 spans="1:31" ht="15.75" customHeight="1">
      <c r="A143" s="25"/>
      <c r="B143" s="25"/>
      <c r="C143" s="25"/>
      <c r="D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 spans="1:31" ht="15.75" customHeight="1">
      <c r="A144" s="25"/>
      <c r="B144" s="25"/>
      <c r="C144" s="25"/>
      <c r="D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 spans="1:31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 spans="1:31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 spans="1:31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 spans="1:31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 spans="1:31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 spans="1:31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 spans="1:31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spans="1:31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 spans="1:31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 spans="1:31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 spans="1:31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 spans="1:31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 spans="1:31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 spans="1:31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 spans="1:31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 spans="1:3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 spans="1:31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 spans="1:31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 spans="1:31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 spans="1:31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 spans="1:31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 spans="1:31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 spans="1:31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 spans="1:31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 spans="1:31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 spans="1:3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 spans="1:31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 spans="1:31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 spans="1:31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 spans="1:31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 spans="1:31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 spans="1:31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 spans="1:31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 spans="1:31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 spans="1:31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 spans="1:3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 spans="1:31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 spans="1:31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 spans="1:31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 spans="1:31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 spans="1:31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 spans="1:31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 spans="1:31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 spans="1:31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 spans="1:31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 spans="1:3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 spans="1:31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 spans="1:31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 spans="1:31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 spans="1:31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 spans="1:31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 spans="1:31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 spans="1:31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 spans="1:31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 spans="1:31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 spans="1:3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 spans="1:31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 spans="1:31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 spans="1:31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 spans="1:31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 spans="1:31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 spans="1:31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 spans="1:31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 spans="1:31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 spans="1:31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 spans="1:3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 spans="1:31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 spans="1:31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 spans="1:31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 spans="1:31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 spans="1:31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 spans="1:31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 spans="1:31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 spans="1:31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 spans="1:31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 spans="1:3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 spans="1:31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 spans="1:31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 spans="1:31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 spans="1:31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 spans="1:31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 spans="1:31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 spans="1:31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 spans="1:31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 spans="1:31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 spans="1: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 spans="1:31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 spans="1:31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 spans="1:31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 spans="1:31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 spans="1:31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 spans="1:31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 spans="1:31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 spans="1:31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 spans="1:31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 spans="1:3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 spans="1:31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 spans="1:31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 spans="1:31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 spans="1:31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 spans="1:31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 spans="1:31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 spans="1:31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 spans="1:31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 spans="1:31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 spans="1:3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 spans="1:31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 spans="1:31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 spans="1:31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 spans="1:31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 spans="1:31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 spans="1:31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 spans="1:31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 spans="1:31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 spans="1:31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spans="1:3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spans="1:31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spans="1:31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spans="1:31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 spans="1:31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 spans="1:31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  <row r="1001" spans="1:31" ht="15.75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</row>
  </sheetData>
  <mergeCells count="1">
    <mergeCell ref="A1:A2"/>
  </mergeCells>
  <hyperlinks>
    <hyperlink ref="R5" r:id="rId1" xr:uid="{00000000-0004-0000-0300-000001000000}"/>
    <hyperlink ref="R6" r:id="rId2" xr:uid="{00000000-0004-0000-0300-000002000000}"/>
    <hyperlink ref="R11" r:id="rId3" xr:uid="{00000000-0004-0000-0300-000004000000}"/>
    <hyperlink ref="R12" r:id="rId4" xr:uid="{00000000-0004-0000-0300-000005000000}"/>
    <hyperlink ref="R13" r:id="rId5" xr:uid="{00000000-0004-0000-0300-000006000000}"/>
    <hyperlink ref="R18" r:id="rId6" xr:uid="{00000000-0004-0000-0300-000008000000}"/>
    <hyperlink ref="R19" r:id="rId7" xr:uid="{00000000-0004-0000-0300-000009000000}"/>
    <hyperlink ref="R20" r:id="rId8" xr:uid="{00000000-0004-0000-0300-00000A000000}"/>
    <hyperlink ref="R21" r:id="rId9" xr:uid="{00000000-0004-0000-0300-00000B000000}"/>
    <hyperlink ref="R22" r:id="rId10" xr:uid="{00000000-0004-0000-0300-00000C000000}"/>
    <hyperlink ref="R23" r:id="rId11" xr:uid="{DD07F193-47C2-4844-8805-0F7D72BB6852}"/>
    <hyperlink ref="R4" r:id="rId12" xr:uid="{F4DF45B9-DFB0-4E7D-9950-69C0E4284076}"/>
    <hyperlink ref="R15" r:id="rId13" xr:uid="{4B1CA5B3-BB31-4ABC-9E38-800AAAEC5628}"/>
  </hyperlinks>
  <pageMargins left="0.7" right="0.7" top="0.75" bottom="0.75" header="0" footer="0"/>
  <pageSetup orientation="portrait"/>
  <drawing r:id="rId1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306C"/>
  </sheetPr>
  <dimension ref="A1:AE1005"/>
  <sheetViews>
    <sheetView topLeftCell="F1" workbookViewId="0">
      <selection activeCell="R4" sqref="R4"/>
    </sheetView>
  </sheetViews>
  <sheetFormatPr defaultColWidth="14.42578125" defaultRowHeight="15" customHeight="1"/>
  <cols>
    <col min="1" max="1" width="71.42578125" customWidth="1"/>
    <col min="2" max="16" width="11.7109375" customWidth="1"/>
    <col min="17" max="17" width="12.7109375" customWidth="1"/>
    <col min="18" max="18" width="96.42578125" customWidth="1"/>
    <col min="19" max="19" width="24.7109375" customWidth="1"/>
    <col min="20" max="20" width="76.28515625" customWidth="1"/>
    <col min="21" max="31" width="8.85546875" customWidth="1"/>
  </cols>
  <sheetData>
    <row r="1" spans="1:31">
      <c r="A1" s="639" t="s">
        <v>120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>
      <c r="A2" s="640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31">
      <c r="A3" s="27" t="s">
        <v>19</v>
      </c>
      <c r="B3" s="324">
        <v>2010</v>
      </c>
      <c r="C3" s="324">
        <v>2011</v>
      </c>
      <c r="D3" s="324">
        <v>2012</v>
      </c>
      <c r="E3" s="324">
        <v>2013</v>
      </c>
      <c r="F3" s="324">
        <v>2014</v>
      </c>
      <c r="G3" s="324">
        <v>2015</v>
      </c>
      <c r="H3" s="324">
        <v>2016</v>
      </c>
      <c r="I3" s="324">
        <v>2017</v>
      </c>
      <c r="J3" s="324">
        <v>2018</v>
      </c>
      <c r="K3" s="324">
        <v>2019</v>
      </c>
      <c r="L3" s="324">
        <v>2020</v>
      </c>
      <c r="M3" s="324">
        <v>2021</v>
      </c>
      <c r="N3" s="324">
        <v>2022</v>
      </c>
      <c r="O3" s="324">
        <v>2023</v>
      </c>
      <c r="P3" s="324">
        <v>2024</v>
      </c>
      <c r="Q3" s="28" t="s">
        <v>20</v>
      </c>
      <c r="R3" s="28" t="s">
        <v>21</v>
      </c>
      <c r="S3" s="28" t="s">
        <v>22</v>
      </c>
    </row>
    <row r="4" spans="1:31">
      <c r="A4" s="33" t="s">
        <v>121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293">
        <v>6</v>
      </c>
      <c r="N4" s="293">
        <v>11</v>
      </c>
      <c r="O4" s="293">
        <v>17</v>
      </c>
      <c r="P4" s="293">
        <v>19</v>
      </c>
      <c r="Q4" s="158" t="s">
        <v>39</v>
      </c>
      <c r="R4" s="159" t="s">
        <v>122</v>
      </c>
      <c r="S4" s="158" t="s">
        <v>492</v>
      </c>
    </row>
    <row r="5" spans="1:31">
      <c r="A5" s="33" t="s">
        <v>123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293">
        <v>5</v>
      </c>
      <c r="N5" s="293">
        <v>6</v>
      </c>
      <c r="O5" s="293">
        <v>11</v>
      </c>
      <c r="P5" s="293">
        <v>10</v>
      </c>
      <c r="Q5" s="158" t="s">
        <v>39</v>
      </c>
      <c r="R5" s="159" t="s">
        <v>122</v>
      </c>
      <c r="S5" s="158" t="s">
        <v>492</v>
      </c>
    </row>
    <row r="6" spans="1:31">
      <c r="A6" s="33" t="s">
        <v>124</v>
      </c>
      <c r="B6" s="300"/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294">
        <v>0.79100000000000004</v>
      </c>
      <c r="N6" s="294">
        <v>1.75</v>
      </c>
      <c r="O6" s="294">
        <v>3</v>
      </c>
      <c r="P6" s="294">
        <v>4.7190000000000003</v>
      </c>
      <c r="Q6" s="158" t="s">
        <v>39</v>
      </c>
      <c r="R6" s="159" t="s">
        <v>122</v>
      </c>
      <c r="S6" s="158" t="s">
        <v>492</v>
      </c>
    </row>
    <row r="7" spans="1:31">
      <c r="A7" s="41"/>
      <c r="B7" s="330"/>
      <c r="C7" s="330"/>
      <c r="D7" s="330"/>
      <c r="E7" s="330"/>
      <c r="F7" s="330"/>
      <c r="G7" s="330"/>
      <c r="H7" s="330"/>
      <c r="I7" s="330"/>
      <c r="J7" s="331"/>
      <c r="K7" s="331"/>
      <c r="L7" s="331"/>
      <c r="M7" s="331"/>
      <c r="N7" s="331"/>
      <c r="O7" s="331"/>
      <c r="P7" s="332"/>
      <c r="Q7" s="43"/>
      <c r="R7" s="44"/>
      <c r="S7" s="127"/>
    </row>
    <row r="8" spans="1:31">
      <c r="A8" s="46" t="s">
        <v>37</v>
      </c>
      <c r="B8" s="324">
        <v>2010</v>
      </c>
      <c r="C8" s="324">
        <v>2011</v>
      </c>
      <c r="D8" s="324">
        <v>2012</v>
      </c>
      <c r="E8" s="324">
        <v>2013</v>
      </c>
      <c r="F8" s="324">
        <v>2014</v>
      </c>
      <c r="G8" s="324">
        <v>2015</v>
      </c>
      <c r="H8" s="324">
        <v>2016</v>
      </c>
      <c r="I8" s="324">
        <v>2017</v>
      </c>
      <c r="J8" s="324">
        <v>2018</v>
      </c>
      <c r="K8" s="324">
        <v>2019</v>
      </c>
      <c r="L8" s="324">
        <v>2020</v>
      </c>
      <c r="M8" s="324">
        <v>2021</v>
      </c>
      <c r="N8" s="324">
        <v>2022</v>
      </c>
      <c r="O8" s="324">
        <v>2023</v>
      </c>
      <c r="P8" s="324">
        <v>2024</v>
      </c>
      <c r="Q8" s="28" t="s">
        <v>20</v>
      </c>
      <c r="R8" s="28" t="s">
        <v>21</v>
      </c>
      <c r="S8" s="28" t="s">
        <v>22</v>
      </c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31">
      <c r="A9" s="33" t="s">
        <v>125</v>
      </c>
      <c r="B9" s="338">
        <v>8.7765930000000001</v>
      </c>
      <c r="C9" s="338">
        <v>62.041289999999996</v>
      </c>
      <c r="D9" s="338">
        <v>52.401102000000002</v>
      </c>
      <c r="E9" s="338">
        <v>113.285858</v>
      </c>
      <c r="F9" s="338">
        <v>159.14120600000001</v>
      </c>
      <c r="G9" s="338">
        <v>176.84761599999999</v>
      </c>
      <c r="H9" s="338">
        <v>241.487435</v>
      </c>
      <c r="I9" s="338">
        <v>258.34212500000001</v>
      </c>
      <c r="J9" s="338">
        <v>305.48444699999999</v>
      </c>
      <c r="K9" s="338">
        <v>492.00795799999997</v>
      </c>
      <c r="L9" s="343">
        <v>534</v>
      </c>
      <c r="M9" s="344">
        <v>861</v>
      </c>
      <c r="N9" s="344">
        <v>1499</v>
      </c>
      <c r="O9" s="344">
        <v>2593</v>
      </c>
      <c r="P9" s="345">
        <v>3194</v>
      </c>
      <c r="Q9" s="32" t="s">
        <v>39</v>
      </c>
      <c r="R9" s="151" t="s">
        <v>40</v>
      </c>
      <c r="S9" s="158" t="s">
        <v>492</v>
      </c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1:31">
      <c r="A10" s="33" t="s">
        <v>126</v>
      </c>
      <c r="B10" s="346">
        <v>8.7765930000000001</v>
      </c>
      <c r="C10" s="338">
        <v>62.041289999999996</v>
      </c>
      <c r="D10" s="338">
        <v>102.674024</v>
      </c>
      <c r="E10" s="338">
        <v>416.68540000000002</v>
      </c>
      <c r="F10" s="338">
        <v>487.892696</v>
      </c>
      <c r="G10" s="338">
        <v>513.14457400000003</v>
      </c>
      <c r="H10" s="338">
        <v>591.17347099999995</v>
      </c>
      <c r="I10" s="338">
        <v>602.72382000000005</v>
      </c>
      <c r="J10" s="338">
        <v>615.33108400000003</v>
      </c>
      <c r="K10" s="346">
        <v>912.38458300000002</v>
      </c>
      <c r="L10" s="347">
        <v>966</v>
      </c>
      <c r="M10" s="348">
        <v>1209</v>
      </c>
      <c r="N10" s="348">
        <v>1718</v>
      </c>
      <c r="O10" s="348">
        <v>2868</v>
      </c>
      <c r="P10" s="348">
        <v>3671</v>
      </c>
      <c r="Q10" s="32" t="s">
        <v>39</v>
      </c>
      <c r="R10" s="151" t="s">
        <v>40</v>
      </c>
      <c r="S10" s="158" t="s">
        <v>492</v>
      </c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1">
      <c r="A11" s="33" t="s">
        <v>127</v>
      </c>
      <c r="B11" s="341"/>
      <c r="C11" s="341"/>
      <c r="D11" s="341"/>
      <c r="E11" s="341"/>
      <c r="F11" s="341"/>
      <c r="G11" s="341"/>
      <c r="H11" s="338">
        <v>0</v>
      </c>
      <c r="I11" s="338">
        <v>0</v>
      </c>
      <c r="J11" s="338">
        <v>0</v>
      </c>
      <c r="K11" s="338">
        <v>0</v>
      </c>
      <c r="L11" s="338">
        <v>0</v>
      </c>
      <c r="M11" s="338">
        <v>0</v>
      </c>
      <c r="N11" s="338">
        <v>0</v>
      </c>
      <c r="O11" s="338">
        <v>0</v>
      </c>
      <c r="P11" s="338" t="s">
        <v>507</v>
      </c>
      <c r="Q11" s="32" t="s">
        <v>39</v>
      </c>
      <c r="R11" s="56" t="s">
        <v>40</v>
      </c>
      <c r="S11" s="158" t="s">
        <v>492</v>
      </c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>
      <c r="A12" s="33" t="s">
        <v>128</v>
      </c>
      <c r="B12" s="341"/>
      <c r="C12" s="341"/>
      <c r="D12" s="338">
        <v>25.367999999999999</v>
      </c>
      <c r="E12" s="338">
        <v>206.68199999999999</v>
      </c>
      <c r="F12" s="338">
        <v>120.666</v>
      </c>
      <c r="G12" s="338">
        <v>204.708</v>
      </c>
      <c r="H12" s="338">
        <v>222.768</v>
      </c>
      <c r="I12" s="338">
        <v>189.37799999999999</v>
      </c>
      <c r="J12" s="338">
        <v>173.08199999999999</v>
      </c>
      <c r="K12" s="338">
        <v>258.00599999999997</v>
      </c>
      <c r="L12" s="338">
        <v>279.63600000000002</v>
      </c>
      <c r="M12" s="338">
        <v>392.28</v>
      </c>
      <c r="N12" s="338">
        <v>262.66800000000001</v>
      </c>
      <c r="O12" s="338">
        <v>362.12400000000002</v>
      </c>
      <c r="P12" s="338">
        <v>520.548</v>
      </c>
      <c r="Q12" s="32" t="s">
        <v>39</v>
      </c>
      <c r="R12" s="56" t="s">
        <v>40</v>
      </c>
      <c r="S12" s="158" t="s">
        <v>492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>
      <c r="A13" s="25"/>
      <c r="B13" s="25"/>
      <c r="C13" s="25"/>
      <c r="Q13" s="25"/>
      <c r="R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>
      <c r="A14" s="25"/>
      <c r="B14" s="25"/>
      <c r="C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>
      <c r="A15" s="25"/>
      <c r="B15" s="25"/>
      <c r="C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16" spans="1:3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66"/>
      <c r="P16" s="291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29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</row>
    <row r="18" spans="1:3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29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</row>
    <row r="20" spans="1:3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</row>
    <row r="26" spans="1:31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spans="1:31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</row>
    <row r="28" spans="1:31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spans="1:31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spans="1: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1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  <row r="34" spans="1:31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spans="1:31" ht="15.75" customHeight="1">
      <c r="A35" s="25"/>
      <c r="B35" s="25"/>
      <c r="C35" s="25"/>
      <c r="D35" s="25"/>
      <c r="E35" s="25"/>
      <c r="F35" s="25"/>
      <c r="G35" s="25"/>
      <c r="H35" s="25"/>
      <c r="I35" s="26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15.75" customHeight="1">
      <c r="A36" s="25"/>
      <c r="B36" s="26"/>
      <c r="C36" s="26"/>
      <c r="D36" s="26"/>
      <c r="E36" s="26"/>
      <c r="F36" s="26"/>
      <c r="G36" s="26"/>
      <c r="H36" s="26"/>
      <c r="I36" s="26"/>
      <c r="J36" s="25"/>
      <c r="K36" s="26"/>
      <c r="L36" s="26"/>
      <c r="M36" s="26"/>
      <c r="N36" s="26"/>
      <c r="O36" s="26"/>
      <c r="P36" s="26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spans="1:31" ht="15.75" customHeight="1">
      <c r="I37" s="26"/>
      <c r="J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 spans="1:31" ht="15.75" customHeight="1">
      <c r="I38" s="26"/>
      <c r="J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ht="15.75" customHeight="1"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 spans="1:31" ht="15.75" customHeight="1"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spans="1:31" ht="15.75" customHeight="1"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 spans="1:31" ht="15.75" customHeight="1"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spans="1:31" ht="15.75" customHeight="1"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 spans="1:31" ht="15.75" customHeight="1"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spans="1:31" ht="15.75" customHeight="1"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15.75" customHeight="1"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15.75" customHeight="1"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 spans="1:31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spans="1:31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spans="1:3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spans="1:31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1:31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spans="1:31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 spans="1:31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spans="1:31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 spans="1:31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spans="1:31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 spans="1:31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spans="1:3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spans="1:31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 spans="1:31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spans="1:31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 spans="1:31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 spans="1:31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spans="1:31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 spans="1:31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spans="1:3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 spans="1:31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spans="1:31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 spans="1:31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 spans="1:31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ht="15.75" customHeight="1">
      <c r="A77" s="25"/>
      <c r="B77" s="25"/>
      <c r="C77" s="25"/>
      <c r="D77" s="25"/>
      <c r="E77" s="57"/>
      <c r="F77" s="57"/>
      <c r="G77" s="57"/>
      <c r="H77" s="57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5.75" customHeight="1">
      <c r="A78" s="25"/>
      <c r="B78" s="25"/>
      <c r="C78" s="25"/>
      <c r="D78" s="25"/>
      <c r="E78" s="57"/>
      <c r="F78" s="57"/>
      <c r="G78" s="57"/>
      <c r="H78" s="57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spans="1:31" ht="15.75" customHeight="1">
      <c r="A79" s="25"/>
      <c r="B79" s="25"/>
      <c r="C79" s="25"/>
      <c r="D79" s="25"/>
      <c r="E79" s="57"/>
      <c r="F79" s="57"/>
      <c r="G79" s="57"/>
      <c r="H79" s="57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5.75" customHeight="1">
      <c r="A80" s="25"/>
      <c r="B80" s="25"/>
      <c r="C80" s="25"/>
      <c r="D80" s="25"/>
      <c r="E80" s="57"/>
      <c r="F80" s="57"/>
      <c r="G80" s="57"/>
      <c r="H80" s="57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5.75" customHeight="1">
      <c r="A81" s="25"/>
      <c r="B81" s="25"/>
      <c r="C81" s="25"/>
      <c r="D81" s="25"/>
      <c r="E81" s="57"/>
      <c r="F81" s="57"/>
      <c r="G81" s="57"/>
      <c r="H81" s="57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 spans="1:31" ht="15.75" customHeight="1">
      <c r="A82" s="25"/>
      <c r="B82" s="25"/>
      <c r="C82" s="25"/>
      <c r="D82" s="25"/>
      <c r="E82" s="57"/>
      <c r="F82" s="57"/>
      <c r="G82" s="57"/>
      <c r="H82" s="57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spans="1:31" ht="15.75" customHeight="1">
      <c r="A83" s="25"/>
      <c r="B83" s="25"/>
      <c r="C83" s="25"/>
      <c r="D83" s="25"/>
      <c r="E83" s="57"/>
      <c r="F83" s="57"/>
      <c r="G83" s="57"/>
      <c r="H83" s="57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 spans="1:31" ht="15.75" customHeight="1">
      <c r="A84" s="25"/>
      <c r="B84" s="25"/>
      <c r="C84" s="25"/>
      <c r="D84" s="25"/>
      <c r="E84" s="57"/>
      <c r="F84" s="57"/>
      <c r="G84" s="57"/>
      <c r="H84" s="57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spans="1:31" ht="15.75" customHeight="1">
      <c r="A85" s="25"/>
      <c r="B85" s="25"/>
      <c r="C85" s="25"/>
      <c r="D85" s="25"/>
      <c r="E85" s="57"/>
      <c r="F85" s="57"/>
      <c r="G85" s="57"/>
      <c r="H85" s="57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 spans="1:31" ht="15.75" customHeight="1">
      <c r="A86" s="25"/>
      <c r="B86" s="25"/>
      <c r="C86" s="25"/>
      <c r="D86" s="25"/>
      <c r="E86" s="57"/>
      <c r="F86" s="57"/>
      <c r="G86" s="57"/>
      <c r="H86" s="57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spans="1:31" ht="15.75" customHeight="1">
      <c r="A87" s="25"/>
      <c r="B87" s="25"/>
      <c r="C87" s="25"/>
      <c r="D87" s="25"/>
      <c r="E87" s="57"/>
      <c r="F87" s="57"/>
      <c r="G87" s="57"/>
      <c r="H87" s="57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 spans="1:31" ht="15.75" customHeight="1">
      <c r="A88" s="25"/>
      <c r="B88" s="25"/>
      <c r="C88" s="25"/>
      <c r="D88" s="25"/>
      <c r="E88" s="57"/>
      <c r="F88" s="57"/>
      <c r="G88" s="57"/>
      <c r="H88" s="57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spans="1:31" ht="15.75" customHeight="1">
      <c r="A89" s="25"/>
      <c r="B89" s="25"/>
      <c r="C89" s="25"/>
      <c r="D89" s="25"/>
      <c r="E89" s="57"/>
      <c r="F89" s="57"/>
      <c r="G89" s="57"/>
      <c r="H89" s="57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 spans="1:31" ht="15.75" customHeight="1">
      <c r="A90" s="25"/>
      <c r="B90" s="25"/>
      <c r="C90" s="25"/>
      <c r="D90" s="25"/>
      <c r="E90" s="57"/>
      <c r="F90" s="57"/>
      <c r="G90" s="57"/>
      <c r="H90" s="57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spans="1:31" ht="15.75" customHeight="1">
      <c r="A91" s="25"/>
      <c r="B91" s="25"/>
      <c r="C91" s="25"/>
      <c r="D91" s="25"/>
      <c r="E91" s="57"/>
      <c r="F91" s="57"/>
      <c r="G91" s="57"/>
      <c r="H91" s="57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 spans="1:31" ht="15.75" customHeight="1">
      <c r="A92" s="25"/>
      <c r="B92" s="25"/>
      <c r="C92" s="25"/>
      <c r="D92" s="25"/>
      <c r="E92" s="57"/>
      <c r="F92" s="57"/>
      <c r="G92" s="57"/>
      <c r="H92" s="57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 spans="1:31" ht="15.75" customHeight="1">
      <c r="A93" s="25"/>
      <c r="B93" s="25"/>
      <c r="C93" s="25"/>
      <c r="D93" s="25"/>
      <c r="E93" s="57"/>
      <c r="F93" s="57"/>
      <c r="G93" s="57"/>
      <c r="H93" s="57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 spans="1:31" ht="15.75" customHeight="1">
      <c r="A94" s="25"/>
      <c r="B94" s="25"/>
      <c r="C94" s="25"/>
      <c r="D94" s="25"/>
      <c r="E94" s="57"/>
      <c r="F94" s="57"/>
      <c r="G94" s="57"/>
      <c r="H94" s="57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 spans="1:31" ht="15.75" customHeight="1">
      <c r="A95" s="25"/>
      <c r="B95" s="25"/>
      <c r="C95" s="25"/>
      <c r="D95" s="25"/>
      <c r="E95" s="57"/>
      <c r="F95" s="57"/>
      <c r="G95" s="57"/>
      <c r="H95" s="57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 spans="1:31" ht="15.75" customHeight="1">
      <c r="A96" s="25"/>
      <c r="B96" s="25"/>
      <c r="C96" s="25"/>
      <c r="D96" s="25"/>
      <c r="E96" s="57"/>
      <c r="F96" s="57"/>
      <c r="G96" s="57"/>
      <c r="H96" s="57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 spans="1:31" ht="15.75" customHeight="1">
      <c r="A97" s="25"/>
      <c r="B97" s="25"/>
      <c r="C97" s="25"/>
      <c r="D97" s="25"/>
      <c r="E97" s="57"/>
      <c r="F97" s="57"/>
      <c r="G97" s="57"/>
      <c r="H97" s="57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 spans="1:31" ht="15.75" customHeight="1">
      <c r="A98" s="25"/>
      <c r="B98" s="25"/>
      <c r="C98" s="25"/>
      <c r="D98" s="25"/>
      <c r="E98" s="57"/>
      <c r="F98" s="57"/>
      <c r="G98" s="57"/>
      <c r="H98" s="57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 spans="1:31" ht="15.75" customHeight="1">
      <c r="A99" s="25"/>
      <c r="B99" s="25"/>
      <c r="C99" s="25"/>
      <c r="D99" s="25"/>
      <c r="E99" s="57"/>
      <c r="F99" s="57"/>
      <c r="G99" s="57"/>
      <c r="H99" s="57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 spans="1:31" ht="15.75" customHeight="1">
      <c r="A100" s="25"/>
      <c r="B100" s="25"/>
      <c r="C100" s="25"/>
      <c r="D100" s="25"/>
      <c r="E100" s="57"/>
      <c r="F100" s="57"/>
      <c r="G100" s="57"/>
      <c r="H100" s="57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 spans="1:31" ht="15.75" customHeight="1">
      <c r="A101" s="25"/>
      <c r="B101" s="25"/>
      <c r="C101" s="25"/>
      <c r="D101" s="25"/>
      <c r="E101" s="57"/>
      <c r="F101" s="57"/>
      <c r="G101" s="57"/>
      <c r="H101" s="57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 spans="1:31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 spans="1:31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 spans="1:31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 spans="1:31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 spans="1:31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 spans="1:31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 spans="1:31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 spans="1:31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 spans="1:3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 spans="1:31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 spans="1:31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 spans="1:31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 spans="1:31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 spans="1:31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 spans="1:31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 spans="1:31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 spans="1:31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 spans="1:31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 spans="1:3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1:31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 spans="1:31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 spans="1:31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 spans="1:31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spans="1:31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1:31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1:31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 spans="1:31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 spans="1:31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 spans="1:31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 spans="1:31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 spans="1:31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 spans="1:31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 spans="1:31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 spans="1:31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 spans="1:31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 spans="1:3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 spans="1:31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 spans="1:31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 spans="1:31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 spans="1:31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 spans="1:31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 spans="1:31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 spans="1:31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 spans="1:31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 spans="1:31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 spans="1:31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spans="1:31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 spans="1:31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 spans="1:31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 spans="1:31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 spans="1:31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 spans="1:31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 spans="1:31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 spans="1:31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 spans="1:3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 spans="1:31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 spans="1:31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 spans="1:31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 spans="1:31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 spans="1:31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 spans="1:31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 spans="1:31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 spans="1:31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 spans="1:31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 spans="1:3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 spans="1:31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 spans="1:31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 spans="1:31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 spans="1:31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 spans="1:31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 spans="1:31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 spans="1:31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 spans="1:31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 spans="1:31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 spans="1:3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 spans="1:31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 spans="1:31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 spans="1:31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 spans="1:31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 spans="1:31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 spans="1:31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 spans="1:31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 spans="1:31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 spans="1:31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 spans="1:3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 spans="1:31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 spans="1:31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 spans="1:31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 spans="1:31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 spans="1:31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 spans="1:31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 spans="1:31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 spans="1:31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 spans="1:31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 spans="1:3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 spans="1:31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 spans="1:31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 spans="1:31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 spans="1:31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 spans="1:31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 spans="1:31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 spans="1:31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 spans="1:31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 spans="1:31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 spans="1:3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 spans="1:31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 spans="1:31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 spans="1:31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 spans="1:31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 spans="1:31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 spans="1:31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 spans="1:31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 spans="1:31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 spans="1:31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 spans="1:3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 spans="1:31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 spans="1:31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 spans="1:31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 spans="1:31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 spans="1:31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 spans="1:31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 spans="1:31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 spans="1:31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 spans="1:31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 spans="1: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 spans="1:31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 spans="1:31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 spans="1:31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 spans="1:31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 spans="1:31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 spans="1:31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 spans="1:31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 spans="1:31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 spans="1:31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 spans="1:3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 spans="1:31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 spans="1:31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 spans="1:31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 spans="1:31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 spans="1:31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 spans="1:31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 spans="1:31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 spans="1:31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 spans="1:31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 spans="1:3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 spans="1:31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 spans="1:31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 spans="1:31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 spans="1:31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 spans="1:31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 spans="1:31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 spans="1:31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 spans="1:31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 spans="1:31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spans="1:3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spans="1:31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spans="1:31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spans="1:31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 spans="1:31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 spans="1:31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  <row r="1001" spans="1:31" ht="15.75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</row>
    <row r="1002" spans="1:31" ht="15.75" customHeight="1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</row>
    <row r="1003" spans="1:31" ht="15.75" customHeight="1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</row>
    <row r="1004" spans="1:31" ht="15.75" customHeight="1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</row>
    <row r="1005" spans="1:31" ht="15.75" customHeight="1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</row>
  </sheetData>
  <mergeCells count="1">
    <mergeCell ref="A1:A2"/>
  </mergeCells>
  <hyperlinks>
    <hyperlink ref="R4" r:id="rId1" xr:uid="{00000000-0004-0000-0500-000000000000}"/>
    <hyperlink ref="R5" r:id="rId2" xr:uid="{00000000-0004-0000-0500-000001000000}"/>
    <hyperlink ref="R6" r:id="rId3" xr:uid="{00000000-0004-0000-0500-000002000000}"/>
  </hyperlinks>
  <pageMargins left="0.7" right="0.7" top="0.75" bottom="0.75" header="0" footer="0"/>
  <pageSetup orientation="portrait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06C"/>
  </sheetPr>
  <dimension ref="A1:AN1002"/>
  <sheetViews>
    <sheetView topLeftCell="A16" zoomScale="91" zoomScaleNormal="91" workbookViewId="0">
      <selection activeCell="Q30" sqref="Q30"/>
    </sheetView>
  </sheetViews>
  <sheetFormatPr defaultColWidth="14.42578125" defaultRowHeight="15" customHeight="1"/>
  <cols>
    <col min="1" max="1" width="48.140625" customWidth="1"/>
    <col min="2" max="10" width="8.7109375" customWidth="1"/>
    <col min="11" max="17" width="9.140625" customWidth="1"/>
    <col min="18" max="18" width="17.28515625" customWidth="1"/>
    <col min="19" max="19" width="69.28515625" customWidth="1"/>
    <col min="20" max="20" width="27.85546875" customWidth="1"/>
    <col min="21" max="40" width="8.7109375" customWidth="1"/>
  </cols>
  <sheetData>
    <row r="1" spans="1:40">
      <c r="A1" s="639" t="s">
        <v>92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</row>
    <row r="2" spans="1:40">
      <c r="A2" s="640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70"/>
    </row>
    <row r="3" spans="1:40" ht="14.25" customHeight="1">
      <c r="A3" s="46" t="s">
        <v>37</v>
      </c>
      <c r="B3" s="324">
        <v>2010</v>
      </c>
      <c r="C3" s="324">
        <v>2011</v>
      </c>
      <c r="D3" s="324">
        <v>2012</v>
      </c>
      <c r="E3" s="324">
        <v>2013</v>
      </c>
      <c r="F3" s="324">
        <v>2014</v>
      </c>
      <c r="G3" s="324">
        <v>2015</v>
      </c>
      <c r="H3" s="324">
        <v>2016</v>
      </c>
      <c r="I3" s="324">
        <v>2017</v>
      </c>
      <c r="J3" s="324">
        <v>2018</v>
      </c>
      <c r="K3" s="324">
        <v>2019</v>
      </c>
      <c r="L3" s="324">
        <v>2020</v>
      </c>
      <c r="M3" s="324">
        <v>2021</v>
      </c>
      <c r="N3" s="324">
        <v>2022</v>
      </c>
      <c r="O3" s="324">
        <v>2023</v>
      </c>
      <c r="P3" s="324">
        <v>2024</v>
      </c>
      <c r="Q3" s="324"/>
      <c r="R3" s="28" t="s">
        <v>20</v>
      </c>
      <c r="S3" s="28" t="s">
        <v>21</v>
      </c>
      <c r="T3" s="28" t="s">
        <v>22</v>
      </c>
    </row>
    <row r="4" spans="1:40">
      <c r="A4" s="148" t="s">
        <v>93</v>
      </c>
      <c r="B4" s="349"/>
      <c r="C4" s="350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149"/>
      <c r="S4" s="150"/>
      <c r="T4" s="71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pans="1:40">
      <c r="A5" s="33" t="s">
        <v>94</v>
      </c>
      <c r="B5" s="341"/>
      <c r="C5" s="338">
        <v>1004.9</v>
      </c>
      <c r="D5" s="338">
        <v>1025.2</v>
      </c>
      <c r="E5" s="338">
        <v>1040.2</v>
      </c>
      <c r="F5" s="338">
        <v>1056.5</v>
      </c>
      <c r="G5" s="338">
        <v>1088.8</v>
      </c>
      <c r="H5" s="351">
        <v>1113.3191993910975</v>
      </c>
      <c r="I5" s="351">
        <v>1095.3070412977827</v>
      </c>
      <c r="J5" s="351">
        <v>1025.5640195915673</v>
      </c>
      <c r="K5" s="351">
        <v>1133.8828152853416</v>
      </c>
      <c r="L5" s="351">
        <v>1146.5185415005385</v>
      </c>
      <c r="M5" s="351">
        <v>957.10647902452217</v>
      </c>
      <c r="N5" s="351">
        <v>917.95192100958809</v>
      </c>
      <c r="O5" s="351">
        <v>1039.6036145878977</v>
      </c>
      <c r="P5" s="351">
        <v>1010.6589701091616</v>
      </c>
      <c r="Q5" s="631">
        <f>+(P5-O5)/O5</f>
        <v>-2.7842000616946548E-2</v>
      </c>
      <c r="R5" s="33" t="s">
        <v>511</v>
      </c>
      <c r="S5" s="205" t="s">
        <v>513</v>
      </c>
      <c r="T5" s="158" t="s">
        <v>492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</row>
    <row r="6" spans="1:40">
      <c r="A6" s="33" t="s">
        <v>96</v>
      </c>
      <c r="B6" s="341"/>
      <c r="C6" s="338">
        <v>2646.2</v>
      </c>
      <c r="D6" s="338">
        <v>2608.6999999999998</v>
      </c>
      <c r="E6" s="338">
        <v>2589.3000000000002</v>
      </c>
      <c r="F6" s="338">
        <v>2441.4</v>
      </c>
      <c r="G6" s="352">
        <v>2385.6999999999998</v>
      </c>
      <c r="H6" s="353">
        <v>2559.5276650600426</v>
      </c>
      <c r="I6" s="353">
        <v>2594.9246628220167</v>
      </c>
      <c r="J6" s="353">
        <v>2770.7838350519955</v>
      </c>
      <c r="K6" s="353">
        <v>2767.4195394947528</v>
      </c>
      <c r="L6" s="353">
        <v>2601.9476354676676</v>
      </c>
      <c r="M6" s="353">
        <v>2860.8006270462693</v>
      </c>
      <c r="N6" s="353">
        <v>2834.1543357546097</v>
      </c>
      <c r="O6" s="353">
        <v>2793.1327910181431</v>
      </c>
      <c r="P6" s="353">
        <v>2895.3357990621525</v>
      </c>
      <c r="Q6" s="631">
        <f>+(P6-O6)/O6</f>
        <v>3.6590816008699255E-2</v>
      </c>
      <c r="R6" s="232" t="s">
        <v>511</v>
      </c>
      <c r="S6" s="56" t="s">
        <v>513</v>
      </c>
      <c r="T6" s="158" t="s">
        <v>492</v>
      </c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</row>
    <row r="7" spans="1:40">
      <c r="A7" s="33" t="s">
        <v>97</v>
      </c>
      <c r="B7" s="341"/>
      <c r="C7" s="338">
        <v>721.5</v>
      </c>
      <c r="D7" s="338">
        <v>720</v>
      </c>
      <c r="E7" s="338">
        <v>718</v>
      </c>
      <c r="F7" s="338">
        <v>707.3</v>
      </c>
      <c r="G7" s="352">
        <v>758.7</v>
      </c>
      <c r="H7" s="354">
        <v>620.28774093699519</v>
      </c>
      <c r="I7" s="354">
        <v>592.27658981902573</v>
      </c>
      <c r="J7" s="354">
        <v>587.38096598872733</v>
      </c>
      <c r="K7" s="354">
        <v>610.88612923213145</v>
      </c>
      <c r="L7" s="354">
        <v>596.55305988963187</v>
      </c>
      <c r="M7" s="354">
        <v>565.86571303379901</v>
      </c>
      <c r="N7" s="354">
        <v>617.36524447274871</v>
      </c>
      <c r="O7" s="354">
        <v>608.62406344488988</v>
      </c>
      <c r="P7" s="354">
        <v>567.61431211336912</v>
      </c>
      <c r="Q7" s="631">
        <f>+(P7-O7)/O7</f>
        <v>-6.7381087595190264E-2</v>
      </c>
      <c r="R7" s="232" t="s">
        <v>511</v>
      </c>
      <c r="S7" s="56" t="s">
        <v>513</v>
      </c>
      <c r="T7" s="158" t="s">
        <v>492</v>
      </c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 spans="1:40">
      <c r="A8" s="33" t="s">
        <v>98</v>
      </c>
      <c r="B8" s="341"/>
      <c r="C8" s="338">
        <v>906.4</v>
      </c>
      <c r="D8" s="338">
        <v>885.9</v>
      </c>
      <c r="E8" s="338">
        <v>896.4</v>
      </c>
      <c r="F8" s="338">
        <v>933.2</v>
      </c>
      <c r="G8" s="352">
        <v>926.4</v>
      </c>
      <c r="H8" s="353">
        <v>916.37024396926097</v>
      </c>
      <c r="I8" s="353">
        <v>913.01093792949541</v>
      </c>
      <c r="J8" s="353">
        <v>992.22179584527419</v>
      </c>
      <c r="K8" s="353">
        <v>1007.6961039125982</v>
      </c>
      <c r="L8" s="353">
        <v>946.68065545930324</v>
      </c>
      <c r="M8" s="353">
        <v>999.79951211590924</v>
      </c>
      <c r="N8" s="353">
        <v>979.47811461556682</v>
      </c>
      <c r="O8" s="355"/>
      <c r="P8" s="355"/>
      <c r="Q8" s="351"/>
      <c r="R8" s="232" t="s">
        <v>511</v>
      </c>
      <c r="S8" s="56" t="s">
        <v>513</v>
      </c>
      <c r="T8" s="158" t="s">
        <v>492</v>
      </c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spans="1:40">
      <c r="A9" s="40" t="s">
        <v>99</v>
      </c>
      <c r="B9" s="300"/>
      <c r="C9" s="356">
        <f t="shared" ref="C9:P9" si="0">SUM(C5:C8)</f>
        <v>5279</v>
      </c>
      <c r="D9" s="356">
        <f t="shared" si="0"/>
        <v>5239.7999999999993</v>
      </c>
      <c r="E9" s="356">
        <f t="shared" si="0"/>
        <v>5243.9</v>
      </c>
      <c r="F9" s="356">
        <f t="shared" si="0"/>
        <v>5138.3999999999996</v>
      </c>
      <c r="G9" s="356">
        <f t="shared" si="0"/>
        <v>5159.5999999999995</v>
      </c>
      <c r="H9" s="356">
        <f t="shared" si="0"/>
        <v>5209.5048493573959</v>
      </c>
      <c r="I9" s="356">
        <f t="shared" si="0"/>
        <v>5195.5192318683203</v>
      </c>
      <c r="J9" s="356">
        <f t="shared" si="0"/>
        <v>5375.9506164775639</v>
      </c>
      <c r="K9" s="356">
        <f t="shared" si="0"/>
        <v>5519.8845879248238</v>
      </c>
      <c r="L9" s="356">
        <f t="shared" si="0"/>
        <v>5291.6998923171413</v>
      </c>
      <c r="M9" s="356">
        <f t="shared" si="0"/>
        <v>5383.5723312205</v>
      </c>
      <c r="N9" s="356">
        <f t="shared" si="0"/>
        <v>5348.9496158525135</v>
      </c>
      <c r="O9" s="356">
        <f t="shared" si="0"/>
        <v>4441.3604690509301</v>
      </c>
      <c r="P9" s="356">
        <f t="shared" si="0"/>
        <v>4473.6090812846833</v>
      </c>
      <c r="Q9" s="351"/>
      <c r="R9" s="149" t="s">
        <v>100</v>
      </c>
      <c r="S9" s="56"/>
      <c r="T9" s="71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</row>
    <row r="10" spans="1:40">
      <c r="A10" s="148" t="s">
        <v>512</v>
      </c>
      <c r="B10" s="333">
        <v>2010</v>
      </c>
      <c r="C10" s="333">
        <v>2011</v>
      </c>
      <c r="D10" s="333">
        <v>2012</v>
      </c>
      <c r="E10" s="333">
        <v>2013</v>
      </c>
      <c r="F10" s="333">
        <v>2014</v>
      </c>
      <c r="G10" s="333">
        <v>2015</v>
      </c>
      <c r="H10" s="333">
        <v>2016</v>
      </c>
      <c r="I10" s="333">
        <v>2017</v>
      </c>
      <c r="J10" s="333">
        <v>2018</v>
      </c>
      <c r="K10" s="324">
        <v>2019</v>
      </c>
      <c r="L10" s="324">
        <v>2020</v>
      </c>
      <c r="M10" s="324">
        <v>2021</v>
      </c>
      <c r="N10" s="324">
        <v>2022</v>
      </c>
      <c r="O10" s="324">
        <v>2023</v>
      </c>
      <c r="P10" s="324">
        <v>2024</v>
      </c>
      <c r="Q10" s="351"/>
      <c r="R10" s="33"/>
      <c r="S10" s="49"/>
      <c r="T10" s="71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</row>
    <row r="11" spans="1:40">
      <c r="A11" s="33" t="s">
        <v>94</v>
      </c>
      <c r="B11" s="300"/>
      <c r="C11" s="300"/>
      <c r="D11" s="300"/>
      <c r="E11" s="300"/>
      <c r="F11" s="300"/>
      <c r="G11" s="300"/>
      <c r="H11" s="351">
        <v>1113.3178386136037</v>
      </c>
      <c r="I11" s="351">
        <v>1078.4479153342388</v>
      </c>
      <c r="J11" s="351">
        <v>1010.5628084995977</v>
      </c>
      <c r="K11" s="351">
        <v>1131.2302063573711</v>
      </c>
      <c r="L11" s="351">
        <v>1146.2300566718468</v>
      </c>
      <c r="M11" s="351">
        <v>958.42870115602591</v>
      </c>
      <c r="N11" s="351">
        <v>916.82655802219165</v>
      </c>
      <c r="O11" s="351">
        <v>1037.8346038459201</v>
      </c>
      <c r="P11" s="351">
        <v>1013.2698485273213</v>
      </c>
      <c r="Q11" s="351"/>
      <c r="R11" s="33" t="s">
        <v>511</v>
      </c>
      <c r="S11" s="56" t="s">
        <v>513</v>
      </c>
      <c r="T11" s="158" t="s">
        <v>492</v>
      </c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>
      <c r="A12" s="33" t="s">
        <v>96</v>
      </c>
      <c r="B12" s="300"/>
      <c r="C12" s="300"/>
      <c r="D12" s="300"/>
      <c r="E12" s="300"/>
      <c r="F12" s="300"/>
      <c r="G12" s="357"/>
      <c r="H12" s="353">
        <v>3029.828696257227</v>
      </c>
      <c r="I12" s="353">
        <v>2605.3840522320834</v>
      </c>
      <c r="J12" s="353">
        <v>2824.8398138093517</v>
      </c>
      <c r="K12" s="353">
        <v>2834.7186048220515</v>
      </c>
      <c r="L12" s="353">
        <v>2608.9388566384623</v>
      </c>
      <c r="M12" s="353">
        <v>2858.3249191924965</v>
      </c>
      <c r="N12" s="353">
        <v>2828.9411971757522</v>
      </c>
      <c r="O12" s="353">
        <v>2821.862886245352</v>
      </c>
      <c r="P12" s="353">
        <v>2894.598257660497</v>
      </c>
      <c r="Q12" s="351"/>
      <c r="R12" s="232" t="s">
        <v>511</v>
      </c>
      <c r="S12" s="56" t="s">
        <v>513</v>
      </c>
      <c r="T12" s="158" t="s">
        <v>492</v>
      </c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>
      <c r="A13" s="33" t="s">
        <v>97</v>
      </c>
      <c r="B13" s="300"/>
      <c r="C13" s="300"/>
      <c r="D13" s="300"/>
      <c r="E13" s="300"/>
      <c r="F13" s="300"/>
      <c r="G13" s="357"/>
      <c r="H13" s="354">
        <v>619.51391213550448</v>
      </c>
      <c r="I13" s="354">
        <v>591.86835657087704</v>
      </c>
      <c r="J13" s="354">
        <v>585.63962438912438</v>
      </c>
      <c r="K13" s="354">
        <v>611.07663808126745</v>
      </c>
      <c r="L13" s="354">
        <v>596.60250147190766</v>
      </c>
      <c r="M13" s="354">
        <v>567.44602929663233</v>
      </c>
      <c r="N13" s="354">
        <v>617.21147661594603</v>
      </c>
      <c r="O13" s="354">
        <v>608.32605317374134</v>
      </c>
      <c r="P13" s="354">
        <v>567.79212037256275</v>
      </c>
      <c r="Q13" s="351"/>
      <c r="R13" s="232" t="s">
        <v>511</v>
      </c>
      <c r="S13" s="56" t="s">
        <v>513</v>
      </c>
      <c r="T13" s="158" t="s">
        <v>492</v>
      </c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>
      <c r="A14" s="33" t="s">
        <v>98</v>
      </c>
      <c r="B14" s="300"/>
      <c r="C14" s="300"/>
      <c r="D14" s="300"/>
      <c r="E14" s="300"/>
      <c r="F14" s="300"/>
      <c r="G14" s="357"/>
      <c r="H14" s="354">
        <v>923.05755816643409</v>
      </c>
      <c r="I14" s="354">
        <v>884.68816876543917</v>
      </c>
      <c r="J14" s="354">
        <v>989.27480538613884</v>
      </c>
      <c r="K14" s="354">
        <v>1005.7452025789456</v>
      </c>
      <c r="L14" s="354">
        <v>948.48822156360598</v>
      </c>
      <c r="M14" s="354">
        <v>998.11804472603478</v>
      </c>
      <c r="N14" s="354">
        <v>976.07299573350906</v>
      </c>
      <c r="O14" s="355"/>
      <c r="P14" s="355"/>
      <c r="Q14" s="351"/>
      <c r="R14" s="232" t="s">
        <v>511</v>
      </c>
      <c r="S14" s="205" t="s">
        <v>513</v>
      </c>
      <c r="T14" s="158" t="s">
        <v>492</v>
      </c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>
      <c r="A15" s="40" t="s">
        <v>99</v>
      </c>
      <c r="B15" s="300"/>
      <c r="C15" s="300"/>
      <c r="D15" s="300"/>
      <c r="E15" s="300"/>
      <c r="F15" s="300"/>
      <c r="G15" s="357"/>
      <c r="H15" s="358">
        <f t="shared" ref="H15:P15" si="1">SUM(H11:H14)</f>
        <v>5685.7180051727692</v>
      </c>
      <c r="I15" s="358">
        <f t="shared" si="1"/>
        <v>5160.388492902639</v>
      </c>
      <c r="J15" s="358">
        <f t="shared" si="1"/>
        <v>5410.3170520842123</v>
      </c>
      <c r="K15" s="358">
        <f t="shared" si="1"/>
        <v>5582.7706518396353</v>
      </c>
      <c r="L15" s="358">
        <f t="shared" si="1"/>
        <v>5300.2596363458233</v>
      </c>
      <c r="M15" s="358">
        <f t="shared" ref="M15" si="2">SUM(M11:M14)</f>
        <v>5382.3176943711896</v>
      </c>
      <c r="N15" s="321">
        <f t="shared" si="1"/>
        <v>5339.0522275473986</v>
      </c>
      <c r="O15" s="321">
        <f t="shared" si="1"/>
        <v>4468.0235432650134</v>
      </c>
      <c r="P15" s="321">
        <f t="shared" si="1"/>
        <v>4475.6602265603815</v>
      </c>
      <c r="Q15" s="351"/>
      <c r="R15" s="149" t="s">
        <v>100</v>
      </c>
      <c r="S15" s="56"/>
      <c r="T15" s="7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>
      <c r="A16" s="148" t="s">
        <v>101</v>
      </c>
      <c r="B16" s="333">
        <v>2010</v>
      </c>
      <c r="C16" s="333">
        <v>2011</v>
      </c>
      <c r="D16" s="333">
        <v>2012</v>
      </c>
      <c r="E16" s="333">
        <v>2013</v>
      </c>
      <c r="F16" s="333">
        <v>2014</v>
      </c>
      <c r="G16" s="333">
        <v>2015</v>
      </c>
      <c r="H16" s="334">
        <v>2016</v>
      </c>
      <c r="I16" s="334">
        <v>2017</v>
      </c>
      <c r="J16" s="334">
        <v>2018</v>
      </c>
      <c r="K16" s="334">
        <v>2019</v>
      </c>
      <c r="L16" s="334">
        <v>2020</v>
      </c>
      <c r="M16" s="334">
        <v>2021</v>
      </c>
      <c r="N16" s="334">
        <v>2022</v>
      </c>
      <c r="O16" s="334">
        <v>2023</v>
      </c>
      <c r="P16" s="334">
        <v>2024</v>
      </c>
      <c r="Q16" s="351"/>
      <c r="R16" s="152"/>
      <c r="S16" s="49"/>
      <c r="T16" s="71"/>
    </row>
    <row r="17" spans="1:40" ht="45">
      <c r="A17" s="33" t="s">
        <v>102</v>
      </c>
      <c r="B17" s="338">
        <v>45.359249794295806</v>
      </c>
      <c r="C17" s="338">
        <v>108.86219950630993</v>
      </c>
      <c r="D17" s="338">
        <v>79.832279637960625</v>
      </c>
      <c r="E17" s="338">
        <v>73.028392168816254</v>
      </c>
      <c r="F17" s="338">
        <v>79.832279637960625</v>
      </c>
      <c r="G17" s="338">
        <v>89.35772209476275</v>
      </c>
      <c r="H17" s="338">
        <v>99.790349547450759</v>
      </c>
      <c r="I17" s="338">
        <v>72.121207172930326</v>
      </c>
      <c r="J17" s="338">
        <v>51.255952267554257</v>
      </c>
      <c r="K17" s="338">
        <v>73.934229017034895</v>
      </c>
      <c r="L17" s="338">
        <v>78.471502144131705</v>
      </c>
      <c r="M17" s="338">
        <v>139.70648936643099</v>
      </c>
      <c r="N17" s="338">
        <v>73.481984666759203</v>
      </c>
      <c r="O17" s="338">
        <v>76.801000000000002</v>
      </c>
      <c r="P17" s="338">
        <v>96.61520206185007</v>
      </c>
      <c r="Q17" s="631">
        <f>+(P17-O17)/O17</f>
        <v>0.25799406338263914</v>
      </c>
      <c r="R17" s="33" t="s">
        <v>39</v>
      </c>
      <c r="S17" s="250" t="s">
        <v>509</v>
      </c>
      <c r="T17" s="71" t="s">
        <v>510</v>
      </c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45">
      <c r="A18" s="33" t="s">
        <v>103</v>
      </c>
      <c r="B18" s="338">
        <v>77.11072465030287</v>
      </c>
      <c r="C18" s="338">
        <v>195.4983666134149</v>
      </c>
      <c r="D18" s="338">
        <v>174.63311170803883</v>
      </c>
      <c r="E18" s="338">
        <v>210.92051154347547</v>
      </c>
      <c r="F18" s="338">
        <v>172.36514921832406</v>
      </c>
      <c r="G18" s="338">
        <v>195.04477411547197</v>
      </c>
      <c r="H18" s="338">
        <v>150.59270931706206</v>
      </c>
      <c r="I18" s="338">
        <v>156.48941179032053</v>
      </c>
      <c r="J18" s="338">
        <v>219.5387690043917</v>
      </c>
      <c r="K18" s="338">
        <v>132.4465943127251</v>
      </c>
      <c r="L18" s="338">
        <v>166.92203924300799</v>
      </c>
      <c r="M18" s="338">
        <v>734.81984666759195</v>
      </c>
      <c r="N18" s="338">
        <v>898.56673842499902</v>
      </c>
      <c r="O18" s="338">
        <v>1904.018</v>
      </c>
      <c r="P18" s="338">
        <v>3298.0710525432478</v>
      </c>
      <c r="Q18" s="631">
        <f t="shared" ref="Q18:Q38" si="3">+(P18-O18)/O18</f>
        <v>0.73216379915696583</v>
      </c>
      <c r="R18" s="33" t="s">
        <v>39</v>
      </c>
      <c r="S18" s="203" t="s">
        <v>509</v>
      </c>
      <c r="T18" s="71" t="s">
        <v>510</v>
      </c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</row>
    <row r="19" spans="1:40" ht="45">
      <c r="A19" s="33" t="s">
        <v>104</v>
      </c>
      <c r="B19" s="338">
        <v>151.04630181500505</v>
      </c>
      <c r="C19" s="338">
        <v>241.76480140359661</v>
      </c>
      <c r="D19" s="338">
        <v>185.06573916072688</v>
      </c>
      <c r="E19" s="338">
        <v>212.28128903730436</v>
      </c>
      <c r="F19" s="338">
        <v>193.6839966216431</v>
      </c>
      <c r="G19" s="338">
        <v>267.16598128840229</v>
      </c>
      <c r="H19" s="338">
        <v>262.17646381102975</v>
      </c>
      <c r="I19" s="338">
        <v>268.07316628428822</v>
      </c>
      <c r="J19" s="338">
        <v>280.32016372874807</v>
      </c>
      <c r="K19" s="338">
        <v>243.12114572472822</v>
      </c>
      <c r="L19" s="338">
        <v>277.59860874109</v>
      </c>
      <c r="M19" s="338">
        <v>315.24678607035497</v>
      </c>
      <c r="N19" s="338">
        <v>301.18541863412401</v>
      </c>
      <c r="O19" s="338">
        <v>270.27</v>
      </c>
      <c r="P19" s="338">
        <v>314.79319357241292</v>
      </c>
      <c r="Q19" s="631">
        <f t="shared" si="3"/>
        <v>0.16473598095390882</v>
      </c>
      <c r="R19" s="33" t="s">
        <v>39</v>
      </c>
      <c r="S19" s="203" t="s">
        <v>509</v>
      </c>
      <c r="T19" s="71" t="s">
        <v>510</v>
      </c>
      <c r="AG19" s="154"/>
      <c r="AH19" s="154"/>
      <c r="AI19" s="154"/>
      <c r="AJ19" s="154"/>
      <c r="AK19" s="154"/>
      <c r="AL19" s="154"/>
    </row>
    <row r="20" spans="1:40" ht="45">
      <c r="A20" s="33" t="s">
        <v>105</v>
      </c>
      <c r="B20" s="338">
        <v>111.58375449396769</v>
      </c>
      <c r="C20" s="338">
        <v>213.64206653113325</v>
      </c>
      <c r="D20" s="338">
        <v>303.90697362178184</v>
      </c>
      <c r="E20" s="338">
        <v>474.45775284833417</v>
      </c>
      <c r="F20" s="338">
        <v>487.15834279073698</v>
      </c>
      <c r="G20" s="338">
        <v>568.80499242046949</v>
      </c>
      <c r="H20" s="338">
        <v>630.03997964276869</v>
      </c>
      <c r="I20" s="338">
        <v>667.23456447409137</v>
      </c>
      <c r="J20" s="338">
        <v>756.59228656885398</v>
      </c>
      <c r="K20" s="338">
        <v>655.42920815714979</v>
      </c>
      <c r="L20" s="338">
        <v>477.632900333934</v>
      </c>
      <c r="M20" s="338">
        <v>1539.4929380184001</v>
      </c>
      <c r="N20" s="338">
        <v>2272.0448221962702</v>
      </c>
      <c r="O20" s="338">
        <v>3092.8</v>
      </c>
      <c r="P20" s="338">
        <v>3350.6877823046311</v>
      </c>
      <c r="Q20" s="631">
        <f t="shared" si="3"/>
        <v>8.3383271567715633E-2</v>
      </c>
      <c r="R20" s="33" t="s">
        <v>39</v>
      </c>
      <c r="S20" s="128" t="s">
        <v>509</v>
      </c>
      <c r="T20" s="71" t="s">
        <v>510</v>
      </c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</row>
    <row r="21" spans="1:40" ht="45">
      <c r="A21" s="33" t="s">
        <v>106</v>
      </c>
      <c r="B21" s="338">
        <v>37.194584831322565</v>
      </c>
      <c r="C21" s="338">
        <v>127.00589942402827</v>
      </c>
      <c r="D21" s="338">
        <v>152.86067180677688</v>
      </c>
      <c r="E21" s="338">
        <v>148.3247468273473</v>
      </c>
      <c r="F21" s="338">
        <v>97.975979555678947</v>
      </c>
      <c r="G21" s="338">
        <v>80.739464633846524</v>
      </c>
      <c r="H21" s="338">
        <v>31.297882358064104</v>
      </c>
      <c r="I21" s="338">
        <v>29.02991986834931</v>
      </c>
      <c r="J21" s="338">
        <v>100.24394204539374</v>
      </c>
      <c r="K21" s="338" t="s">
        <v>107</v>
      </c>
      <c r="L21" s="338">
        <v>16.782922423889399</v>
      </c>
      <c r="M21" s="338">
        <v>35.833807337493603</v>
      </c>
      <c r="N21" s="338">
        <v>28.130671506352002</v>
      </c>
      <c r="O21" s="338">
        <v>35.700000000000003</v>
      </c>
      <c r="P21" s="351">
        <v>97.06879455979302</v>
      </c>
      <c r="Q21" s="631">
        <f t="shared" si="3"/>
        <v>1.7190138532154906</v>
      </c>
      <c r="R21" s="33" t="s">
        <v>39</v>
      </c>
      <c r="S21" s="49" t="s">
        <v>509</v>
      </c>
      <c r="T21" s="71" t="s">
        <v>510</v>
      </c>
      <c r="AG21" s="154"/>
      <c r="AH21" s="154"/>
      <c r="AI21" s="154"/>
      <c r="AJ21" s="154"/>
      <c r="AK21" s="154"/>
      <c r="AL21" s="154"/>
    </row>
    <row r="22" spans="1:40" ht="15.75" customHeight="1">
      <c r="A22" s="40" t="s">
        <v>99</v>
      </c>
      <c r="B22" s="359">
        <f t="shared" ref="B22:P22" si="4">SUM(B17:B21)</f>
        <v>422.29461558489402</v>
      </c>
      <c r="C22" s="359">
        <f t="shared" si="4"/>
        <v>886.77333347848298</v>
      </c>
      <c r="D22" s="359">
        <f t="shared" si="4"/>
        <v>896.29877593528499</v>
      </c>
      <c r="E22" s="359">
        <f t="shared" si="4"/>
        <v>1119.0126924252775</v>
      </c>
      <c r="F22" s="359">
        <f t="shared" si="4"/>
        <v>1031.0157478243439</v>
      </c>
      <c r="G22" s="359">
        <f t="shared" si="4"/>
        <v>1201.112934552953</v>
      </c>
      <c r="H22" s="359">
        <f t="shared" si="4"/>
        <v>1173.8973846763754</v>
      </c>
      <c r="I22" s="359">
        <f t="shared" si="4"/>
        <v>1192.9482695899796</v>
      </c>
      <c r="J22" s="359">
        <f t="shared" si="4"/>
        <v>1407.9511136149417</v>
      </c>
      <c r="K22" s="359">
        <f t="shared" si="4"/>
        <v>1104.931177211638</v>
      </c>
      <c r="L22" s="359">
        <f t="shared" si="4"/>
        <v>1017.4079728860531</v>
      </c>
      <c r="M22" s="359">
        <f t="shared" si="4"/>
        <v>2765.0998674602715</v>
      </c>
      <c r="N22" s="359">
        <f t="shared" si="4"/>
        <v>3573.4096354285043</v>
      </c>
      <c r="O22" s="360">
        <f t="shared" si="4"/>
        <v>5379.5889999999999</v>
      </c>
      <c r="P22" s="316">
        <f t="shared" si="4"/>
        <v>7157.2360250419351</v>
      </c>
      <c r="Q22" s="631">
        <f t="shared" si="3"/>
        <v>0.3304429065197983</v>
      </c>
      <c r="R22" s="149" t="s">
        <v>100</v>
      </c>
      <c r="S22" s="155"/>
      <c r="T22" s="71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</row>
    <row r="23" spans="1:40" ht="15.75" customHeight="1">
      <c r="A23" s="148" t="s">
        <v>108</v>
      </c>
      <c r="B23" s="333">
        <v>2010</v>
      </c>
      <c r="C23" s="333">
        <v>2011</v>
      </c>
      <c r="D23" s="333">
        <v>2012</v>
      </c>
      <c r="E23" s="333">
        <v>2013</v>
      </c>
      <c r="F23" s="333">
        <v>2014</v>
      </c>
      <c r="G23" s="333">
        <v>2015</v>
      </c>
      <c r="H23" s="333">
        <v>2016</v>
      </c>
      <c r="I23" s="333">
        <v>2017</v>
      </c>
      <c r="J23" s="333">
        <v>2018</v>
      </c>
      <c r="K23" s="361">
        <v>2019</v>
      </c>
      <c r="L23" s="324">
        <v>2020</v>
      </c>
      <c r="M23" s="324">
        <v>2021</v>
      </c>
      <c r="N23" s="324">
        <v>2022</v>
      </c>
      <c r="O23" s="362">
        <v>2023</v>
      </c>
      <c r="P23" s="363">
        <v>2024</v>
      </c>
      <c r="Q23" s="631"/>
      <c r="R23" s="156"/>
      <c r="S23" s="150"/>
      <c r="T23" s="7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15.75" customHeight="1">
      <c r="A24" s="33" t="s">
        <v>94</v>
      </c>
      <c r="B24" s="300"/>
      <c r="C24" s="300"/>
      <c r="D24" s="309">
        <v>14.5</v>
      </c>
      <c r="E24" s="309">
        <v>14.9</v>
      </c>
      <c r="F24" s="309">
        <v>18.399999999999999</v>
      </c>
      <c r="G24" s="309">
        <v>16.399999999999999</v>
      </c>
      <c r="H24" s="309">
        <v>14.7</v>
      </c>
      <c r="I24" s="309">
        <v>16.100000000000001</v>
      </c>
      <c r="J24" s="309">
        <v>14.8</v>
      </c>
      <c r="K24" s="309">
        <v>12.9</v>
      </c>
      <c r="L24" s="309">
        <v>19</v>
      </c>
      <c r="M24" s="309">
        <v>17</v>
      </c>
      <c r="N24" s="309">
        <v>17</v>
      </c>
      <c r="O24" s="364">
        <v>19.2</v>
      </c>
      <c r="P24" s="316">
        <v>23.798999999999999</v>
      </c>
      <c r="Q24" s="631">
        <f t="shared" si="3"/>
        <v>0.23953125000000003</v>
      </c>
      <c r="R24" s="232" t="s">
        <v>95</v>
      </c>
      <c r="S24" s="205" t="s">
        <v>508</v>
      </c>
      <c r="T24" s="158" t="s">
        <v>492</v>
      </c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15.75" customHeight="1">
      <c r="A25" s="33" t="s">
        <v>96</v>
      </c>
      <c r="B25" s="300"/>
      <c r="C25" s="309">
        <f>598.4+60</f>
        <v>658.4</v>
      </c>
      <c r="D25" s="309">
        <f>486.7+75.4</f>
        <v>562.1</v>
      </c>
      <c r="E25" s="309">
        <v>453.4</v>
      </c>
      <c r="F25" s="309">
        <v>443.3</v>
      </c>
      <c r="G25" s="309">
        <v>407.90000000000003</v>
      </c>
      <c r="H25" s="309">
        <v>403.4</v>
      </c>
      <c r="I25" s="309">
        <v>402.3</v>
      </c>
      <c r="J25" s="309">
        <v>445.4</v>
      </c>
      <c r="K25" s="309">
        <f>301+121.4</f>
        <v>422.4</v>
      </c>
      <c r="L25" s="309">
        <v>299.7</v>
      </c>
      <c r="M25" s="309">
        <v>187.7</v>
      </c>
      <c r="N25" s="309">
        <v>214.6</v>
      </c>
      <c r="O25" s="364">
        <f>108.4+45.7</f>
        <v>154.10000000000002</v>
      </c>
      <c r="P25" s="316">
        <v>177.74700000000001</v>
      </c>
      <c r="Q25" s="631">
        <f t="shared" si="3"/>
        <v>0.15345230369889673</v>
      </c>
      <c r="R25" s="232" t="s">
        <v>95</v>
      </c>
      <c r="S25" s="60" t="s">
        <v>508</v>
      </c>
      <c r="T25" s="158" t="s">
        <v>492</v>
      </c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15.75" customHeight="1">
      <c r="A26" s="33" t="s">
        <v>97</v>
      </c>
      <c r="B26" s="300"/>
      <c r="C26" s="309">
        <f>34.8+2.5</f>
        <v>37.299999999999997</v>
      </c>
      <c r="D26" s="309">
        <f>24.8+1.4</f>
        <v>26.2</v>
      </c>
      <c r="E26" s="309">
        <v>29.9</v>
      </c>
      <c r="F26" s="309">
        <v>22</v>
      </c>
      <c r="G26" s="309">
        <v>20</v>
      </c>
      <c r="H26" s="309">
        <v>19.5</v>
      </c>
      <c r="I26" s="309">
        <v>18</v>
      </c>
      <c r="J26" s="309">
        <v>17.2</v>
      </c>
      <c r="K26" s="309">
        <v>22.5</v>
      </c>
      <c r="L26" s="309">
        <v>18.100000000000001</v>
      </c>
      <c r="M26" s="309">
        <v>81.3</v>
      </c>
      <c r="N26" s="309">
        <v>26.7</v>
      </c>
      <c r="O26" s="364">
        <v>0.107</v>
      </c>
      <c r="P26" s="365"/>
      <c r="Q26" s="631"/>
      <c r="R26" s="232" t="s">
        <v>95</v>
      </c>
      <c r="S26" s="60" t="s">
        <v>508</v>
      </c>
      <c r="T26" s="158" t="s">
        <v>492</v>
      </c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15.75" customHeight="1">
      <c r="A27" s="33" t="s">
        <v>98</v>
      </c>
      <c r="B27" s="300"/>
      <c r="C27" s="366">
        <v>566.20000000000005</v>
      </c>
      <c r="D27" s="366">
        <v>452.1</v>
      </c>
      <c r="E27" s="366">
        <v>361</v>
      </c>
      <c r="F27" s="366">
        <v>333.1</v>
      </c>
      <c r="G27" s="366">
        <v>253</v>
      </c>
      <c r="H27" s="366">
        <v>286.2</v>
      </c>
      <c r="I27" s="366">
        <v>300.2</v>
      </c>
      <c r="J27" s="366">
        <v>360.7</v>
      </c>
      <c r="K27" s="366">
        <v>448.2</v>
      </c>
      <c r="L27" s="366">
        <v>766.3</v>
      </c>
      <c r="M27" s="366">
        <v>761.1</v>
      </c>
      <c r="N27" s="366">
        <v>489.9</v>
      </c>
      <c r="O27" s="367">
        <v>192.4</v>
      </c>
      <c r="P27" s="316">
        <v>151.59800000000001</v>
      </c>
      <c r="Q27" s="631">
        <f t="shared" si="3"/>
        <v>-0.21206860706860703</v>
      </c>
      <c r="R27" s="232" t="s">
        <v>95</v>
      </c>
      <c r="S27" s="60" t="s">
        <v>508</v>
      </c>
      <c r="T27" s="158" t="s">
        <v>492</v>
      </c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15.75" customHeight="1">
      <c r="A28" s="40" t="s">
        <v>99</v>
      </c>
      <c r="B28" s="357"/>
      <c r="C28" s="316">
        <f t="shared" ref="C28:N28" si="5">SUM(C24:C27)</f>
        <v>1261.9000000000001</v>
      </c>
      <c r="D28" s="316">
        <f t="shared" si="5"/>
        <v>1054.9000000000001</v>
      </c>
      <c r="E28" s="316">
        <f t="shared" si="5"/>
        <v>859.19999999999993</v>
      </c>
      <c r="F28" s="316">
        <f t="shared" si="5"/>
        <v>816.8</v>
      </c>
      <c r="G28" s="316">
        <f t="shared" si="5"/>
        <v>697.3</v>
      </c>
      <c r="H28" s="316">
        <f t="shared" si="5"/>
        <v>723.8</v>
      </c>
      <c r="I28" s="316">
        <f t="shared" si="5"/>
        <v>736.6</v>
      </c>
      <c r="J28" s="316">
        <f t="shared" si="5"/>
        <v>838.09999999999991</v>
      </c>
      <c r="K28" s="316">
        <f t="shared" si="5"/>
        <v>906</v>
      </c>
      <c r="L28" s="316">
        <f t="shared" si="5"/>
        <v>1103.0999999999999</v>
      </c>
      <c r="M28" s="316">
        <f t="shared" si="5"/>
        <v>1047.0999999999999</v>
      </c>
      <c r="N28" s="316">
        <f t="shared" si="5"/>
        <v>748.2</v>
      </c>
      <c r="O28" s="368">
        <f>SUM(O24:O27)</f>
        <v>365.80700000000002</v>
      </c>
      <c r="P28" s="316">
        <f>SUM(P24:P27)</f>
        <v>353.14400000000001</v>
      </c>
      <c r="Q28" s="631">
        <f t="shared" si="3"/>
        <v>-3.4616614772270654E-2</v>
      </c>
      <c r="R28" s="149" t="s">
        <v>100</v>
      </c>
      <c r="S28" s="231"/>
      <c r="T28" s="219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15.75" customHeight="1">
      <c r="A29" s="148" t="s">
        <v>109</v>
      </c>
      <c r="B29" s="369">
        <v>2010</v>
      </c>
      <c r="C29" s="363">
        <v>2011</v>
      </c>
      <c r="D29" s="363">
        <v>2012</v>
      </c>
      <c r="E29" s="363">
        <v>2013</v>
      </c>
      <c r="F29" s="363">
        <v>2014</v>
      </c>
      <c r="G29" s="363">
        <v>2015</v>
      </c>
      <c r="H29" s="363">
        <v>2016</v>
      </c>
      <c r="I29" s="363">
        <v>2017</v>
      </c>
      <c r="J29" s="363">
        <v>2018</v>
      </c>
      <c r="K29" s="363">
        <v>2019</v>
      </c>
      <c r="L29" s="363">
        <v>2020</v>
      </c>
      <c r="M29" s="363">
        <v>2021</v>
      </c>
      <c r="N29" s="363">
        <v>2022</v>
      </c>
      <c r="O29" s="370">
        <v>2023</v>
      </c>
      <c r="P29" s="363">
        <v>2024</v>
      </c>
      <c r="Q29" s="631">
        <f t="shared" si="3"/>
        <v>4.9431537320810673E-4</v>
      </c>
      <c r="R29" s="156"/>
      <c r="S29" s="150"/>
      <c r="T29" s="7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15.75" customHeight="1">
      <c r="A30" s="33" t="s">
        <v>94</v>
      </c>
      <c r="B30" s="357"/>
      <c r="C30" s="371"/>
      <c r="D30" s="316">
        <v>0.5</v>
      </c>
      <c r="E30" s="306">
        <v>0.4</v>
      </c>
      <c r="F30" s="306">
        <v>4.4000000000000004</v>
      </c>
      <c r="G30" s="306">
        <v>6.4</v>
      </c>
      <c r="H30" s="306">
        <v>5.8</v>
      </c>
      <c r="I30" s="306">
        <v>19.5</v>
      </c>
      <c r="J30" s="306">
        <v>5.69</v>
      </c>
      <c r="K30" s="306">
        <v>3.5</v>
      </c>
      <c r="L30" s="306">
        <v>2.1</v>
      </c>
      <c r="M30" s="306">
        <v>1.3</v>
      </c>
      <c r="N30" s="306">
        <v>3</v>
      </c>
      <c r="O30" s="372">
        <v>2.2999999999999998</v>
      </c>
      <c r="P30" s="306">
        <v>0.72799999999999998</v>
      </c>
      <c r="Q30" s="631"/>
      <c r="R30" s="232" t="s">
        <v>95</v>
      </c>
      <c r="S30" s="60" t="s">
        <v>508</v>
      </c>
      <c r="T30" s="158" t="s">
        <v>492</v>
      </c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</row>
    <row r="31" spans="1:40" ht="15.75" customHeight="1">
      <c r="A31" s="33" t="s">
        <v>96</v>
      </c>
      <c r="B31" s="357"/>
      <c r="C31" s="371"/>
      <c r="D31" s="316">
        <v>62.6</v>
      </c>
      <c r="E31" s="316">
        <v>59.5</v>
      </c>
      <c r="F31" s="316">
        <v>62.6</v>
      </c>
      <c r="G31" s="316">
        <v>64</v>
      </c>
      <c r="H31" s="316">
        <v>78.900000000000006</v>
      </c>
      <c r="I31" s="316">
        <v>99.8</v>
      </c>
      <c r="J31" s="316">
        <v>139.30000000000001</v>
      </c>
      <c r="K31" s="316">
        <v>192</v>
      </c>
      <c r="L31" s="316">
        <v>243.1</v>
      </c>
      <c r="M31" s="316">
        <v>333.3</v>
      </c>
      <c r="N31" s="316">
        <v>554.1</v>
      </c>
      <c r="O31" s="368">
        <v>795</v>
      </c>
      <c r="P31" s="316">
        <v>879.6</v>
      </c>
      <c r="Q31" s="631">
        <f t="shared" si="3"/>
        <v>0.10641509433962267</v>
      </c>
      <c r="R31" s="232" t="s">
        <v>95</v>
      </c>
      <c r="S31" s="60" t="s">
        <v>508</v>
      </c>
      <c r="T31" s="158" t="s">
        <v>492</v>
      </c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</row>
    <row r="32" spans="1:40" ht="15.75" customHeight="1">
      <c r="A32" s="33" t="s">
        <v>97</v>
      </c>
      <c r="B32" s="357"/>
      <c r="C32" s="371"/>
      <c r="D32" s="316">
        <v>17.7</v>
      </c>
      <c r="E32" s="316">
        <v>21.8</v>
      </c>
      <c r="F32" s="316">
        <v>20.8</v>
      </c>
      <c r="G32" s="316">
        <v>34.4</v>
      </c>
      <c r="H32" s="316">
        <v>28.8</v>
      </c>
      <c r="I32" s="316">
        <v>27</v>
      </c>
      <c r="J32" s="316">
        <v>35.799999999999997</v>
      </c>
      <c r="K32" s="316">
        <v>27.2</v>
      </c>
      <c r="L32" s="316">
        <v>23</v>
      </c>
      <c r="M32" s="316">
        <v>45.3</v>
      </c>
      <c r="N32" s="316">
        <v>70.5</v>
      </c>
      <c r="O32" s="368">
        <v>71.5</v>
      </c>
      <c r="P32" s="365"/>
      <c r="Q32" s="631">
        <f>+P33+P31</f>
        <v>3328.6349999999998</v>
      </c>
      <c r="R32" s="232" t="s">
        <v>95</v>
      </c>
      <c r="S32" s="60" t="s">
        <v>508</v>
      </c>
      <c r="T32" s="158" t="s">
        <v>492</v>
      </c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</row>
    <row r="33" spans="1:40" ht="15.75" customHeight="1">
      <c r="A33" s="33" t="s">
        <v>98</v>
      </c>
      <c r="B33" s="357"/>
      <c r="C33" s="371"/>
      <c r="D33" s="316">
        <v>16.100000000000001</v>
      </c>
      <c r="E33" s="316">
        <v>20.6</v>
      </c>
      <c r="F33" s="316">
        <v>17.2</v>
      </c>
      <c r="G33" s="316">
        <v>22.4</v>
      </c>
      <c r="H33" s="316">
        <v>23</v>
      </c>
      <c r="I33" s="316">
        <v>38.700000000000003</v>
      </c>
      <c r="J33" s="316">
        <v>62.9</v>
      </c>
      <c r="K33" s="316">
        <v>88</v>
      </c>
      <c r="L33" s="321">
        <v>83</v>
      </c>
      <c r="M33" s="321">
        <v>129.5</v>
      </c>
      <c r="N33" s="321">
        <v>395.6</v>
      </c>
      <c r="O33" s="373">
        <v>1405.6</v>
      </c>
      <c r="P33" s="321">
        <v>2449.0349999999999</v>
      </c>
      <c r="Q33" s="631">
        <f t="shared" si="3"/>
        <v>0.74234134889015368</v>
      </c>
      <c r="R33" s="233" t="s">
        <v>95</v>
      </c>
      <c r="S33" s="60" t="s">
        <v>508</v>
      </c>
      <c r="T33" s="158" t="s">
        <v>492</v>
      </c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</row>
    <row r="34" spans="1:40" ht="15.75" customHeight="1">
      <c r="A34" s="40" t="s">
        <v>99</v>
      </c>
      <c r="B34" s="357"/>
      <c r="C34" s="371"/>
      <c r="D34" s="316">
        <f>SUM(D30:D33)</f>
        <v>96.9</v>
      </c>
      <c r="E34" s="316">
        <f t="shared" ref="E34:P34" si="6">SUM(E30:E33)</f>
        <v>102.30000000000001</v>
      </c>
      <c r="F34" s="316">
        <f t="shared" si="6"/>
        <v>105</v>
      </c>
      <c r="G34" s="316">
        <f t="shared" si="6"/>
        <v>127.20000000000002</v>
      </c>
      <c r="H34" s="316">
        <f t="shared" si="6"/>
        <v>136.5</v>
      </c>
      <c r="I34" s="316">
        <f t="shared" si="6"/>
        <v>185</v>
      </c>
      <c r="J34" s="316">
        <f t="shared" si="6"/>
        <v>243.69000000000003</v>
      </c>
      <c r="K34" s="316">
        <f t="shared" si="6"/>
        <v>310.7</v>
      </c>
      <c r="L34" s="316">
        <f t="shared" si="6"/>
        <v>351.2</v>
      </c>
      <c r="M34" s="316">
        <f t="shared" si="6"/>
        <v>509.40000000000003</v>
      </c>
      <c r="N34" s="316">
        <f>SUM(N30:N33)</f>
        <v>1023.2</v>
      </c>
      <c r="O34" s="368">
        <f t="shared" si="6"/>
        <v>2274.3999999999996</v>
      </c>
      <c r="P34" s="316">
        <f t="shared" si="6"/>
        <v>3329.3629999999998</v>
      </c>
      <c r="Q34" s="631">
        <f t="shared" si="3"/>
        <v>0.46384233204361608</v>
      </c>
      <c r="R34" s="149" t="s">
        <v>100</v>
      </c>
      <c r="S34" s="60"/>
      <c r="T34" s="32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  <row r="35" spans="1:40" ht="15.75" customHeight="1">
      <c r="A35" s="157" t="s">
        <v>110</v>
      </c>
      <c r="B35" s="333">
        <v>2010</v>
      </c>
      <c r="C35" s="334">
        <v>2011</v>
      </c>
      <c r="D35" s="334">
        <v>2012</v>
      </c>
      <c r="E35" s="334">
        <v>2013</v>
      </c>
      <c r="F35" s="334">
        <v>2014</v>
      </c>
      <c r="G35" s="334">
        <v>2015</v>
      </c>
      <c r="H35" s="334">
        <v>2016</v>
      </c>
      <c r="I35" s="334">
        <v>2017</v>
      </c>
      <c r="J35" s="334">
        <v>2018</v>
      </c>
      <c r="K35" s="334">
        <v>2019</v>
      </c>
      <c r="L35" s="334">
        <v>2020</v>
      </c>
      <c r="M35" s="334">
        <v>2021</v>
      </c>
      <c r="N35" s="334">
        <v>2022</v>
      </c>
      <c r="O35" s="334">
        <v>2023</v>
      </c>
      <c r="P35" s="334">
        <v>2024</v>
      </c>
      <c r="Q35" s="632"/>
      <c r="R35" s="72"/>
      <c r="S35" s="30"/>
      <c r="T35" s="30"/>
    </row>
    <row r="36" spans="1:40" ht="15.75" customHeight="1">
      <c r="A36" s="33" t="s">
        <v>111</v>
      </c>
      <c r="B36" s="300"/>
      <c r="C36" s="374">
        <f t="shared" ref="C36:P36" si="7">C17/(C5)*100</f>
        <v>10.833137576506113</v>
      </c>
      <c r="D36" s="374">
        <f t="shared" si="7"/>
        <v>7.7869956728404812</v>
      </c>
      <c r="E36" s="374">
        <f t="shared" si="7"/>
        <v>7.0206106680269418</v>
      </c>
      <c r="F36" s="374">
        <f t="shared" si="7"/>
        <v>7.5562971734936699</v>
      </c>
      <c r="G36" s="374">
        <f t="shared" si="7"/>
        <v>8.2069913753455879</v>
      </c>
      <c r="H36" s="374">
        <f t="shared" si="7"/>
        <v>8.9633188399183847</v>
      </c>
      <c r="I36" s="374">
        <f t="shared" si="7"/>
        <v>6.5845652820305967</v>
      </c>
      <c r="J36" s="374">
        <f t="shared" si="7"/>
        <v>4.9978305876962246</v>
      </c>
      <c r="K36" s="374">
        <f t="shared" si="7"/>
        <v>6.5204470885670256</v>
      </c>
      <c r="L36" s="374">
        <f t="shared" si="7"/>
        <v>6.8443290974980586</v>
      </c>
      <c r="M36" s="374">
        <f t="shared" si="7"/>
        <v>14.596755160284683</v>
      </c>
      <c r="N36" s="374">
        <f t="shared" si="7"/>
        <v>8.0049927436223189</v>
      </c>
      <c r="O36" s="374">
        <f t="shared" si="7"/>
        <v>7.3875272192511732</v>
      </c>
      <c r="P36" s="374">
        <f t="shared" si="7"/>
        <v>9.5596244548657818</v>
      </c>
      <c r="Q36" s="631">
        <f t="shared" si="3"/>
        <v>0.29402223114039239</v>
      </c>
      <c r="R36" s="33" t="s">
        <v>100</v>
      </c>
      <c r="S36" s="30"/>
      <c r="T36" s="30"/>
    </row>
    <row r="37" spans="1:40" ht="15.75" customHeight="1">
      <c r="A37" s="33" t="s">
        <v>112</v>
      </c>
      <c r="B37" s="300"/>
      <c r="C37" s="374">
        <f t="shared" ref="C37:P37" si="8">C18/(C6)*100</f>
        <v>7.3878908099695755</v>
      </c>
      <c r="D37" s="374">
        <f t="shared" si="8"/>
        <v>6.6942581250446134</v>
      </c>
      <c r="E37" s="374">
        <f t="shared" si="8"/>
        <v>8.1458506756063578</v>
      </c>
      <c r="F37" s="374">
        <f t="shared" si="8"/>
        <v>7.0600945858246931</v>
      </c>
      <c r="G37" s="374">
        <f t="shared" si="8"/>
        <v>8.1755784095012771</v>
      </c>
      <c r="H37" s="374">
        <f t="shared" si="8"/>
        <v>5.8836132686821099</v>
      </c>
      <c r="I37" s="374">
        <f t="shared" si="8"/>
        <v>6.030595571130613</v>
      </c>
      <c r="J37" s="374">
        <f t="shared" si="8"/>
        <v>7.9233452363587906</v>
      </c>
      <c r="K37" s="374">
        <f t="shared" si="8"/>
        <v>4.7859239418720678</v>
      </c>
      <c r="L37" s="374">
        <f t="shared" si="8"/>
        <v>6.4152728120912332</v>
      </c>
      <c r="M37" s="374">
        <f t="shared" si="8"/>
        <v>25.685811157916365</v>
      </c>
      <c r="N37" s="374">
        <f t="shared" si="8"/>
        <v>31.704933181973328</v>
      </c>
      <c r="O37" s="374">
        <f t="shared" si="8"/>
        <v>68.167829546906503</v>
      </c>
      <c r="P37" s="374">
        <f t="shared" si="8"/>
        <v>113.90979428401873</v>
      </c>
      <c r="Q37" s="631">
        <f t="shared" si="3"/>
        <v>0.67101982036316754</v>
      </c>
      <c r="R37" s="33" t="s">
        <v>100</v>
      </c>
      <c r="S37" s="30"/>
      <c r="T37" s="30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</row>
    <row r="38" spans="1:40" ht="15.75" customHeight="1">
      <c r="A38" s="33" t="s">
        <v>113</v>
      </c>
      <c r="B38" s="300"/>
      <c r="C38" s="374">
        <f t="shared" ref="C38:P38" si="9">C19/(C7)*100</f>
        <v>33.508634983173472</v>
      </c>
      <c r="D38" s="374">
        <f t="shared" si="9"/>
        <v>25.703574883434289</v>
      </c>
      <c r="E38" s="374">
        <f t="shared" si="9"/>
        <v>29.565639141685846</v>
      </c>
      <c r="F38" s="374">
        <f t="shared" si="9"/>
        <v>27.383570849942473</v>
      </c>
      <c r="G38" s="374">
        <f t="shared" si="9"/>
        <v>35.213652469803911</v>
      </c>
      <c r="H38" s="374">
        <f t="shared" si="9"/>
        <v>42.26691042047532</v>
      </c>
      <c r="I38" s="374">
        <f t="shared" si="9"/>
        <v>45.261482707969236</v>
      </c>
      <c r="J38" s="374">
        <f t="shared" si="9"/>
        <v>47.723739780517136</v>
      </c>
      <c r="K38" s="374">
        <f t="shared" si="9"/>
        <v>39.798111970609874</v>
      </c>
      <c r="L38" s="374">
        <f t="shared" si="9"/>
        <v>46.533766634680987</v>
      </c>
      <c r="M38" s="374">
        <f t="shared" si="9"/>
        <v>55.710529690906604</v>
      </c>
      <c r="N38" s="374">
        <f t="shared" si="9"/>
        <v>48.785612946408534</v>
      </c>
      <c r="O38" s="374">
        <f t="shared" si="9"/>
        <v>44.406722677088595</v>
      </c>
      <c r="P38" s="374">
        <f t="shared" si="9"/>
        <v>55.458995105384076</v>
      </c>
      <c r="Q38" s="631">
        <f t="shared" si="3"/>
        <v>0.24888737024490754</v>
      </c>
      <c r="R38" s="33" t="s">
        <v>100</v>
      </c>
      <c r="S38" s="30"/>
      <c r="T38" s="30"/>
    </row>
    <row r="39" spans="1:40" ht="15.75" customHeight="1">
      <c r="A39" s="33" t="s">
        <v>114</v>
      </c>
      <c r="B39" s="300"/>
      <c r="C39" s="374">
        <f t="shared" ref="C39:N39" si="10">C20/(C8)*100</f>
        <v>23.570395689666071</v>
      </c>
      <c r="D39" s="374">
        <f t="shared" si="10"/>
        <v>34.304884707278681</v>
      </c>
      <c r="E39" s="374">
        <f t="shared" si="10"/>
        <v>52.929245074557585</v>
      </c>
      <c r="F39" s="374">
        <f t="shared" si="10"/>
        <v>52.202994298192984</v>
      </c>
      <c r="G39" s="374">
        <f t="shared" si="10"/>
        <v>61.399502636061044</v>
      </c>
      <c r="H39" s="374">
        <f t="shared" si="10"/>
        <v>68.753867095656474</v>
      </c>
      <c r="I39" s="374">
        <f t="shared" si="10"/>
        <v>73.080675899374228</v>
      </c>
      <c r="J39" s="374">
        <f t="shared" si="10"/>
        <v>76.252334884894637</v>
      </c>
      <c r="K39" s="374">
        <f t="shared" si="10"/>
        <v>65.042348145666537</v>
      </c>
      <c r="L39" s="374">
        <f t="shared" si="10"/>
        <v>50.453434067711015</v>
      </c>
      <c r="M39" s="374">
        <f t="shared" si="10"/>
        <v>153.98016495930463</v>
      </c>
      <c r="N39" s="374">
        <f t="shared" si="10"/>
        <v>231.9648380390837</v>
      </c>
      <c r="O39" s="300"/>
      <c r="P39" s="300"/>
      <c r="Q39" s="300"/>
      <c r="R39" s="33" t="s">
        <v>100</v>
      </c>
      <c r="S39" s="30"/>
      <c r="T39" s="30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</row>
    <row r="40" spans="1:40" ht="15.75" customHeight="1">
      <c r="A40" s="41"/>
      <c r="B40" s="330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6"/>
      <c r="Q40" s="376"/>
      <c r="R40" s="44"/>
      <c r="S40" s="44"/>
      <c r="T40" s="4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</row>
    <row r="41" spans="1:40" ht="15.75" customHeight="1">
      <c r="A41" s="27" t="s">
        <v>51</v>
      </c>
      <c r="B41" s="324">
        <v>2010</v>
      </c>
      <c r="C41" s="324">
        <v>2011</v>
      </c>
      <c r="D41" s="324">
        <v>2012</v>
      </c>
      <c r="E41" s="324">
        <v>2013</v>
      </c>
      <c r="F41" s="324">
        <v>2014</v>
      </c>
      <c r="G41" s="324">
        <v>2015</v>
      </c>
      <c r="H41" s="324">
        <v>2016</v>
      </c>
      <c r="I41" s="324">
        <v>2017</v>
      </c>
      <c r="J41" s="324">
        <v>2018</v>
      </c>
      <c r="K41" s="324">
        <v>2019</v>
      </c>
      <c r="L41" s="324">
        <v>2020</v>
      </c>
      <c r="M41" s="324">
        <v>2021</v>
      </c>
      <c r="N41" s="324">
        <v>2022</v>
      </c>
      <c r="O41" s="324">
        <v>2023</v>
      </c>
      <c r="P41" s="324">
        <v>2024</v>
      </c>
      <c r="Q41" s="324"/>
      <c r="R41" s="28" t="s">
        <v>20</v>
      </c>
      <c r="S41" s="28" t="s">
        <v>21</v>
      </c>
      <c r="T41" s="28" t="s">
        <v>22</v>
      </c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</row>
    <row r="42" spans="1:40" ht="15.75" customHeight="1">
      <c r="A42" s="73" t="s">
        <v>115</v>
      </c>
      <c r="B42" s="377"/>
      <c r="C42" s="377"/>
      <c r="D42" s="377"/>
      <c r="E42" s="377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0"/>
      <c r="S42" s="30"/>
      <c r="T42" s="30"/>
    </row>
    <row r="43" spans="1:40" ht="15.75" customHeight="1">
      <c r="A43" s="33" t="s">
        <v>116</v>
      </c>
      <c r="B43" s="300"/>
      <c r="C43" s="343">
        <v>992</v>
      </c>
      <c r="D43" s="343">
        <v>864</v>
      </c>
      <c r="E43" s="343">
        <v>793</v>
      </c>
      <c r="F43" s="343">
        <v>660</v>
      </c>
      <c r="G43" s="343">
        <v>502</v>
      </c>
      <c r="H43" s="343">
        <v>546</v>
      </c>
      <c r="I43" s="343">
        <v>605</v>
      </c>
      <c r="J43" s="343">
        <v>566</v>
      </c>
      <c r="K43" s="343">
        <v>564</v>
      </c>
      <c r="L43" s="343">
        <v>558</v>
      </c>
      <c r="M43" s="343">
        <v>1038</v>
      </c>
      <c r="N43" s="343">
        <v>1376</v>
      </c>
      <c r="O43" s="343">
        <v>1095</v>
      </c>
      <c r="P43" s="343">
        <v>791</v>
      </c>
      <c r="Q43" s="343"/>
      <c r="R43" s="33" t="s">
        <v>95</v>
      </c>
      <c r="S43" s="60" t="s">
        <v>508</v>
      </c>
      <c r="T43" s="158" t="s">
        <v>492</v>
      </c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</row>
    <row r="44" spans="1:40" ht="15.75" customHeight="1">
      <c r="A44" s="33" t="s">
        <v>117</v>
      </c>
      <c r="B44" s="300"/>
      <c r="C44" s="343">
        <v>1180</v>
      </c>
      <c r="D44" s="343">
        <v>1034</v>
      </c>
      <c r="E44" s="343">
        <v>966</v>
      </c>
      <c r="F44" s="343">
        <v>803</v>
      </c>
      <c r="G44" s="343">
        <v>563</v>
      </c>
      <c r="H44" s="343">
        <v>746</v>
      </c>
      <c r="I44" s="343">
        <v>731</v>
      </c>
      <c r="J44" s="343">
        <v>662</v>
      </c>
      <c r="K44" s="343">
        <v>748</v>
      </c>
      <c r="L44" s="343">
        <v>828</v>
      </c>
      <c r="M44" s="343">
        <v>1444</v>
      </c>
      <c r="N44" s="343">
        <v>1817</v>
      </c>
      <c r="O44" s="343">
        <v>1557</v>
      </c>
      <c r="P44" s="343">
        <v>1188</v>
      </c>
      <c r="Q44" s="343"/>
      <c r="R44" s="33" t="s">
        <v>95</v>
      </c>
      <c r="S44" s="60" t="s">
        <v>508</v>
      </c>
      <c r="T44" s="158" t="s">
        <v>492</v>
      </c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</row>
    <row r="45" spans="1:40" ht="15.75" customHeight="1">
      <c r="A45" s="33" t="s">
        <v>118</v>
      </c>
      <c r="B45" s="300"/>
      <c r="C45" s="343">
        <v>1020</v>
      </c>
      <c r="D45" s="343">
        <v>926</v>
      </c>
      <c r="E45" s="343">
        <v>846</v>
      </c>
      <c r="F45" s="343">
        <v>711</v>
      </c>
      <c r="G45" s="343">
        <v>498</v>
      </c>
      <c r="H45" s="343">
        <v>537</v>
      </c>
      <c r="I45" s="343">
        <v>549</v>
      </c>
      <c r="J45" s="343">
        <v>463</v>
      </c>
      <c r="K45" s="343">
        <v>512</v>
      </c>
      <c r="L45" s="343">
        <v>534</v>
      </c>
      <c r="M45" s="343">
        <v>1066</v>
      </c>
      <c r="N45" s="343">
        <v>1462</v>
      </c>
      <c r="O45" s="343">
        <v>1174</v>
      </c>
      <c r="P45" s="343">
        <v>883</v>
      </c>
      <c r="Q45" s="343"/>
      <c r="R45" s="33" t="s">
        <v>95</v>
      </c>
      <c r="S45" s="60" t="s">
        <v>508</v>
      </c>
      <c r="T45" s="158" t="s">
        <v>492</v>
      </c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</row>
    <row r="46" spans="1:40" ht="15.75" customHeight="1">
      <c r="A46" s="33" t="s">
        <v>119</v>
      </c>
      <c r="B46" s="300"/>
      <c r="C46" s="343">
        <v>932</v>
      </c>
      <c r="D46" s="343">
        <v>788</v>
      </c>
      <c r="E46" s="343">
        <v>727</v>
      </c>
      <c r="F46" s="343">
        <v>612</v>
      </c>
      <c r="G46" s="343">
        <v>462</v>
      </c>
      <c r="H46" s="343">
        <v>505</v>
      </c>
      <c r="I46" s="343">
        <v>524</v>
      </c>
      <c r="J46" s="343">
        <v>408</v>
      </c>
      <c r="K46" s="343">
        <v>466</v>
      </c>
      <c r="L46" s="343">
        <v>461</v>
      </c>
      <c r="M46" s="343">
        <v>893</v>
      </c>
      <c r="N46" s="343">
        <v>1266</v>
      </c>
      <c r="O46" s="343">
        <v>1027</v>
      </c>
      <c r="P46" s="343">
        <v>748</v>
      </c>
      <c r="Q46" s="343"/>
      <c r="R46" s="33" t="s">
        <v>95</v>
      </c>
      <c r="S46" s="60" t="s">
        <v>508</v>
      </c>
      <c r="T46" s="158" t="s">
        <v>492</v>
      </c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</row>
    <row r="47" spans="1:40" ht="15.75" customHeight="1">
      <c r="K47" s="57"/>
      <c r="L47" s="57"/>
      <c r="M47" s="57"/>
      <c r="N47" s="57"/>
      <c r="O47" s="57"/>
      <c r="P47" s="57"/>
      <c r="Q47" s="57"/>
    </row>
    <row r="48" spans="1:40" ht="15.75" customHeight="1">
      <c r="K48" s="57"/>
      <c r="L48" s="57"/>
      <c r="M48" s="57"/>
      <c r="N48" s="57"/>
      <c r="O48" s="57"/>
      <c r="P48" s="57"/>
      <c r="Q48" s="57"/>
    </row>
    <row r="49" spans="11:17" ht="15.75" customHeight="1">
      <c r="K49" s="57"/>
      <c r="L49" s="57"/>
      <c r="M49" s="57"/>
      <c r="N49" s="70"/>
      <c r="O49" s="57"/>
      <c r="P49" s="57"/>
      <c r="Q49" s="57"/>
    </row>
    <row r="50" spans="11:17" ht="15.75" customHeight="1">
      <c r="K50" s="57"/>
      <c r="L50" s="57"/>
      <c r="M50" s="57"/>
      <c r="N50" s="57"/>
      <c r="O50" s="57"/>
      <c r="P50" s="57"/>
      <c r="Q50" s="57"/>
    </row>
    <row r="51" spans="11:17" ht="15.75" customHeight="1">
      <c r="K51" s="57"/>
      <c r="L51" s="57"/>
      <c r="M51" s="57"/>
      <c r="N51" s="57"/>
      <c r="O51" s="57"/>
      <c r="P51" s="57"/>
      <c r="Q51" s="57"/>
    </row>
    <row r="52" spans="11:17" ht="15.75" customHeight="1">
      <c r="K52" s="57"/>
      <c r="L52" s="57"/>
      <c r="M52" s="57"/>
      <c r="N52" s="57"/>
      <c r="O52" s="57"/>
      <c r="P52" s="57"/>
      <c r="Q52" s="57"/>
    </row>
    <row r="53" spans="11:17" ht="15.75" customHeight="1">
      <c r="K53" s="57"/>
      <c r="L53" s="57"/>
      <c r="M53" s="57"/>
      <c r="N53" s="57"/>
      <c r="O53" s="57"/>
      <c r="P53" s="57"/>
      <c r="Q53" s="57"/>
    </row>
    <row r="54" spans="11:17" ht="15.75" customHeight="1">
      <c r="K54" s="57"/>
      <c r="L54" s="57"/>
      <c r="M54" s="57"/>
      <c r="N54" s="57"/>
      <c r="O54" s="57"/>
      <c r="P54" s="57"/>
      <c r="Q54" s="57"/>
    </row>
    <row r="55" spans="11:17" ht="15.75" customHeight="1">
      <c r="K55" s="57"/>
      <c r="L55" s="57"/>
      <c r="M55" s="57"/>
      <c r="N55" s="57"/>
      <c r="O55" s="57"/>
      <c r="P55" s="57"/>
      <c r="Q55" s="57"/>
    </row>
    <row r="56" spans="11:17" ht="15.75" customHeight="1">
      <c r="K56" s="57"/>
      <c r="L56" s="57"/>
      <c r="M56" s="57"/>
      <c r="N56" s="57"/>
      <c r="O56" s="57"/>
      <c r="P56" s="57"/>
      <c r="Q56" s="57"/>
    </row>
    <row r="57" spans="11:17" ht="15.75" customHeight="1">
      <c r="K57" s="57"/>
      <c r="L57" s="57"/>
      <c r="M57" s="57"/>
      <c r="N57" s="57"/>
      <c r="O57" s="57"/>
      <c r="P57" s="57"/>
      <c r="Q57" s="57"/>
    </row>
    <row r="58" spans="11:17" ht="15.75" customHeight="1">
      <c r="K58" s="57"/>
      <c r="L58" s="57"/>
      <c r="M58" s="57"/>
      <c r="N58" s="57"/>
      <c r="O58" s="57"/>
      <c r="P58" s="57"/>
      <c r="Q58" s="57"/>
    </row>
    <row r="59" spans="11:17" ht="15.75" customHeight="1">
      <c r="K59" s="57"/>
      <c r="L59" s="57"/>
      <c r="M59" s="57"/>
      <c r="N59" s="57"/>
      <c r="O59" s="57"/>
      <c r="P59" s="57"/>
      <c r="Q59" s="57"/>
    </row>
    <row r="60" spans="11:17" ht="15.75" customHeight="1">
      <c r="K60" s="57"/>
      <c r="L60" s="57"/>
      <c r="M60" s="57"/>
      <c r="N60" s="57"/>
      <c r="O60" s="57"/>
      <c r="P60" s="57"/>
      <c r="Q60" s="57"/>
    </row>
    <row r="61" spans="11:17" ht="15.75" customHeight="1">
      <c r="K61" s="57"/>
      <c r="L61" s="57"/>
      <c r="M61" s="57"/>
      <c r="N61" s="57"/>
      <c r="O61" s="57"/>
      <c r="P61" s="57"/>
      <c r="Q61" s="57"/>
    </row>
    <row r="62" spans="11:17" ht="15.75" customHeight="1">
      <c r="K62" s="57"/>
      <c r="L62" s="57"/>
      <c r="M62" s="57"/>
      <c r="N62" s="57"/>
      <c r="O62" s="57"/>
      <c r="P62" s="57"/>
      <c r="Q62" s="57"/>
    </row>
    <row r="63" spans="11:17" ht="15.75" customHeight="1">
      <c r="K63" s="57"/>
      <c r="L63" s="57"/>
      <c r="M63" s="57"/>
      <c r="N63" s="57"/>
      <c r="O63" s="57"/>
      <c r="P63" s="57"/>
      <c r="Q63" s="57"/>
    </row>
    <row r="64" spans="11:17" ht="15.75" customHeight="1">
      <c r="K64" s="57"/>
      <c r="L64" s="57"/>
      <c r="M64" s="57"/>
      <c r="N64" s="57"/>
      <c r="O64" s="57"/>
      <c r="P64" s="57"/>
      <c r="Q64" s="57"/>
    </row>
    <row r="65" spans="11:17" ht="15.75" customHeight="1">
      <c r="K65" s="57"/>
      <c r="L65" s="57"/>
      <c r="M65" s="57"/>
      <c r="N65" s="57"/>
      <c r="O65" s="57"/>
      <c r="P65" s="57"/>
      <c r="Q65" s="57"/>
    </row>
    <row r="66" spans="11:17" ht="15.75" customHeight="1">
      <c r="K66" s="57"/>
      <c r="L66" s="57"/>
      <c r="M66" s="57"/>
      <c r="N66" s="57"/>
      <c r="O66" s="57"/>
      <c r="P66" s="57"/>
      <c r="Q66" s="57"/>
    </row>
    <row r="67" spans="11:17" ht="15.75" customHeight="1">
      <c r="K67" s="57"/>
      <c r="L67" s="57"/>
      <c r="M67" s="57"/>
      <c r="N67" s="57"/>
      <c r="O67" s="57"/>
      <c r="P67" s="57"/>
      <c r="Q67" s="57"/>
    </row>
    <row r="68" spans="11:17" ht="15.75" customHeight="1">
      <c r="K68" s="57"/>
      <c r="L68" s="57"/>
      <c r="M68" s="57"/>
      <c r="N68" s="57"/>
      <c r="O68" s="57"/>
      <c r="P68" s="57"/>
      <c r="Q68" s="57"/>
    </row>
    <row r="69" spans="11:17" ht="15.75" customHeight="1">
      <c r="K69" s="57"/>
      <c r="L69" s="57"/>
      <c r="M69" s="57"/>
      <c r="N69" s="57"/>
      <c r="O69" s="57"/>
      <c r="P69" s="57"/>
      <c r="Q69" s="57"/>
    </row>
    <row r="70" spans="11:17" ht="15.75" customHeight="1">
      <c r="K70" s="57"/>
      <c r="L70" s="57"/>
      <c r="M70" s="57"/>
      <c r="N70" s="57"/>
      <c r="O70" s="57"/>
      <c r="P70" s="57"/>
      <c r="Q70" s="57"/>
    </row>
    <row r="71" spans="11:17" ht="15.75" customHeight="1">
      <c r="K71" s="57"/>
      <c r="L71" s="57"/>
      <c r="M71" s="57"/>
      <c r="N71" s="57"/>
      <c r="O71" s="57"/>
      <c r="P71" s="57"/>
      <c r="Q71" s="57"/>
    </row>
    <row r="72" spans="11:17" ht="15.75" customHeight="1">
      <c r="K72" s="57"/>
      <c r="L72" s="57"/>
      <c r="M72" s="57"/>
      <c r="N72" s="57"/>
      <c r="O72" s="57"/>
      <c r="P72" s="57"/>
      <c r="Q72" s="57"/>
    </row>
    <row r="73" spans="11:17" ht="15.75" customHeight="1">
      <c r="K73" s="57"/>
      <c r="L73" s="57"/>
      <c r="M73" s="57"/>
      <c r="N73" s="57"/>
      <c r="O73" s="57"/>
      <c r="P73" s="57"/>
      <c r="Q73" s="57"/>
    </row>
    <row r="74" spans="11:17" ht="15.75" customHeight="1">
      <c r="K74" s="57"/>
      <c r="L74" s="57"/>
      <c r="M74" s="57"/>
      <c r="N74" s="57"/>
      <c r="O74" s="57"/>
      <c r="P74" s="57"/>
      <c r="Q74" s="57"/>
    </row>
    <row r="75" spans="11:17" ht="15.75" customHeight="1">
      <c r="K75" s="57"/>
      <c r="L75" s="57"/>
      <c r="M75" s="57"/>
      <c r="N75" s="57"/>
      <c r="O75" s="57"/>
      <c r="P75" s="57"/>
      <c r="Q75" s="57"/>
    </row>
    <row r="76" spans="11:17" ht="15.75" customHeight="1">
      <c r="K76" s="57"/>
      <c r="L76" s="57"/>
      <c r="M76" s="57"/>
      <c r="N76" s="57"/>
      <c r="O76" s="57"/>
      <c r="P76" s="57"/>
      <c r="Q76" s="57"/>
    </row>
    <row r="77" spans="11:17" ht="15.75" customHeight="1">
      <c r="K77" s="57"/>
      <c r="L77" s="57"/>
      <c r="M77" s="57"/>
      <c r="N77" s="57"/>
      <c r="O77" s="57"/>
      <c r="P77" s="57"/>
      <c r="Q77" s="57"/>
    </row>
    <row r="78" spans="11:17" ht="15.75" customHeight="1">
      <c r="K78" s="57"/>
      <c r="L78" s="57"/>
      <c r="M78" s="57"/>
      <c r="N78" s="57"/>
      <c r="O78" s="57"/>
      <c r="P78" s="57"/>
      <c r="Q78" s="57"/>
    </row>
    <row r="79" spans="11:17" ht="15.75" customHeight="1">
      <c r="K79" s="57"/>
      <c r="L79" s="57"/>
      <c r="M79" s="57"/>
      <c r="N79" s="57"/>
      <c r="O79" s="57"/>
      <c r="P79" s="57"/>
      <c r="Q79" s="57"/>
    </row>
    <row r="80" spans="11:17" ht="15.75" customHeight="1">
      <c r="K80" s="57"/>
      <c r="L80" s="57"/>
      <c r="M80" s="57"/>
      <c r="N80" s="57"/>
      <c r="O80" s="57"/>
      <c r="P80" s="57"/>
      <c r="Q80" s="57"/>
    </row>
    <row r="81" spans="11:17" ht="15.75" customHeight="1">
      <c r="K81" s="57"/>
      <c r="L81" s="57"/>
      <c r="M81" s="57"/>
      <c r="N81" s="57"/>
      <c r="O81" s="57"/>
      <c r="P81" s="57"/>
      <c r="Q81" s="57"/>
    </row>
    <row r="82" spans="11:17" ht="15.75" customHeight="1">
      <c r="K82" s="57"/>
      <c r="L82" s="57"/>
      <c r="M82" s="57"/>
      <c r="N82" s="57"/>
      <c r="O82" s="57"/>
      <c r="P82" s="57"/>
      <c r="Q82" s="57"/>
    </row>
    <row r="83" spans="11:17" ht="15.75" customHeight="1">
      <c r="K83" s="57"/>
      <c r="L83" s="57"/>
      <c r="M83" s="57"/>
      <c r="N83" s="57"/>
      <c r="O83" s="57"/>
      <c r="P83" s="57"/>
      <c r="Q83" s="57"/>
    </row>
    <row r="84" spans="11:17" ht="15.75" customHeight="1">
      <c r="K84" s="57"/>
      <c r="L84" s="57"/>
      <c r="M84" s="57"/>
      <c r="N84" s="57"/>
      <c r="O84" s="57"/>
      <c r="P84" s="57"/>
      <c r="Q84" s="57"/>
    </row>
    <row r="85" spans="11:17" ht="15.75" customHeight="1">
      <c r="K85" s="57"/>
      <c r="L85" s="57"/>
      <c r="M85" s="57"/>
      <c r="N85" s="57"/>
      <c r="O85" s="57"/>
      <c r="P85" s="57"/>
      <c r="Q85" s="57"/>
    </row>
    <row r="86" spans="11:17" ht="15.75" customHeight="1">
      <c r="K86" s="57"/>
      <c r="L86" s="57"/>
      <c r="M86" s="57"/>
      <c r="N86" s="57"/>
      <c r="O86" s="57"/>
      <c r="P86" s="57"/>
      <c r="Q86" s="57"/>
    </row>
    <row r="87" spans="11:17" ht="15.75" customHeight="1">
      <c r="K87" s="57"/>
      <c r="L87" s="57"/>
      <c r="M87" s="57"/>
      <c r="N87" s="57"/>
      <c r="O87" s="57"/>
      <c r="P87" s="57"/>
      <c r="Q87" s="57"/>
    </row>
    <row r="88" spans="11:17" ht="15.75" customHeight="1">
      <c r="K88" s="57"/>
      <c r="L88" s="57"/>
      <c r="M88" s="57"/>
      <c r="N88" s="57"/>
      <c r="O88" s="57"/>
      <c r="P88" s="57"/>
      <c r="Q88" s="57"/>
    </row>
    <row r="89" spans="11:17" ht="15.75" customHeight="1">
      <c r="K89" s="57"/>
      <c r="L89" s="57"/>
      <c r="M89" s="57"/>
      <c r="N89" s="57"/>
      <c r="O89" s="57"/>
      <c r="P89" s="57"/>
      <c r="Q89" s="57"/>
    </row>
    <row r="90" spans="11:17" ht="15.75" customHeight="1">
      <c r="K90" s="57"/>
      <c r="L90" s="57"/>
      <c r="M90" s="57"/>
      <c r="N90" s="57"/>
      <c r="O90" s="57"/>
      <c r="P90" s="57"/>
      <c r="Q90" s="57"/>
    </row>
    <row r="91" spans="11:17" ht="15.75" customHeight="1">
      <c r="K91" s="57"/>
      <c r="L91" s="57"/>
      <c r="M91" s="57"/>
      <c r="N91" s="57"/>
      <c r="O91" s="57"/>
      <c r="P91" s="57"/>
      <c r="Q91" s="57"/>
    </row>
    <row r="92" spans="11:17" ht="15.75" customHeight="1">
      <c r="K92" s="57"/>
      <c r="L92" s="57"/>
      <c r="M92" s="57"/>
      <c r="N92" s="57"/>
      <c r="O92" s="57"/>
      <c r="P92" s="57"/>
      <c r="Q92" s="57"/>
    </row>
    <row r="93" spans="11:17" ht="15.75" customHeight="1">
      <c r="K93" s="57"/>
      <c r="L93" s="57"/>
      <c r="M93" s="57"/>
      <c r="N93" s="57"/>
      <c r="O93" s="57"/>
      <c r="P93" s="57"/>
      <c r="Q93" s="57"/>
    </row>
    <row r="94" spans="11:17" ht="15.75" customHeight="1">
      <c r="K94" s="57"/>
      <c r="L94" s="57"/>
      <c r="M94" s="57"/>
      <c r="N94" s="57"/>
      <c r="O94" s="57"/>
      <c r="P94" s="57"/>
      <c r="Q94" s="57"/>
    </row>
    <row r="95" spans="11:17" ht="15.75" customHeight="1">
      <c r="K95" s="57"/>
      <c r="L95" s="57"/>
      <c r="M95" s="57"/>
      <c r="N95" s="57"/>
      <c r="O95" s="57"/>
      <c r="P95" s="57"/>
      <c r="Q95" s="57"/>
    </row>
    <row r="96" spans="11:17" ht="15.75" customHeight="1">
      <c r="K96" s="57"/>
      <c r="L96" s="57"/>
      <c r="M96" s="57"/>
      <c r="N96" s="57"/>
      <c r="O96" s="57"/>
      <c r="P96" s="57"/>
      <c r="Q96" s="57"/>
    </row>
    <row r="97" spans="11:17" ht="15.75" customHeight="1">
      <c r="K97" s="57"/>
      <c r="L97" s="57"/>
      <c r="M97" s="57"/>
      <c r="N97" s="57"/>
      <c r="O97" s="57"/>
      <c r="P97" s="57"/>
      <c r="Q97" s="57"/>
    </row>
    <row r="98" spans="11:17" ht="15.75" customHeight="1">
      <c r="K98" s="57"/>
      <c r="L98" s="57"/>
      <c r="M98" s="57"/>
      <c r="N98" s="57"/>
      <c r="O98" s="57"/>
      <c r="P98" s="57"/>
      <c r="Q98" s="57"/>
    </row>
    <row r="99" spans="11:17" ht="15.75" customHeight="1">
      <c r="K99" s="57"/>
      <c r="L99" s="57"/>
      <c r="M99" s="57"/>
      <c r="N99" s="57"/>
      <c r="O99" s="57"/>
      <c r="P99" s="57"/>
      <c r="Q99" s="57"/>
    </row>
    <row r="100" spans="11:17" ht="15.75" customHeight="1">
      <c r="K100" s="57"/>
      <c r="L100" s="57"/>
      <c r="M100" s="57"/>
      <c r="N100" s="57"/>
      <c r="O100" s="57"/>
      <c r="P100" s="57"/>
      <c r="Q100" s="57"/>
    </row>
    <row r="101" spans="11:17" ht="15.75" customHeight="1">
      <c r="K101" s="57"/>
      <c r="L101" s="57"/>
      <c r="M101" s="57"/>
      <c r="N101" s="57"/>
      <c r="O101" s="57"/>
      <c r="P101" s="57"/>
      <c r="Q101" s="57"/>
    </row>
    <row r="102" spans="11:17" ht="15.75" customHeight="1">
      <c r="K102" s="57"/>
      <c r="L102" s="57"/>
      <c r="M102" s="57"/>
      <c r="N102" s="57"/>
      <c r="O102" s="57"/>
      <c r="P102" s="57"/>
      <c r="Q102" s="57"/>
    </row>
    <row r="103" spans="11:17" ht="15.75" customHeight="1">
      <c r="K103" s="57"/>
      <c r="L103" s="57"/>
      <c r="M103" s="57"/>
      <c r="N103" s="57"/>
      <c r="O103" s="57"/>
      <c r="P103" s="57"/>
      <c r="Q103" s="57"/>
    </row>
    <row r="104" spans="11:17" ht="15.75" customHeight="1">
      <c r="K104" s="57"/>
      <c r="L104" s="57"/>
      <c r="M104" s="57"/>
      <c r="N104" s="57"/>
      <c r="O104" s="57"/>
      <c r="P104" s="57"/>
      <c r="Q104" s="57"/>
    </row>
    <row r="105" spans="11:17" ht="15.75" customHeight="1">
      <c r="K105" s="57"/>
      <c r="L105" s="57"/>
      <c r="M105" s="57"/>
      <c r="N105" s="57"/>
      <c r="O105" s="57"/>
      <c r="P105" s="57"/>
      <c r="Q105" s="57"/>
    </row>
    <row r="106" spans="11:17" ht="15.75" customHeight="1">
      <c r="K106" s="57"/>
      <c r="L106" s="57"/>
      <c r="M106" s="57"/>
      <c r="N106" s="57"/>
      <c r="O106" s="57"/>
      <c r="P106" s="57"/>
      <c r="Q106" s="57"/>
    </row>
    <row r="107" spans="11:17" ht="15.75" customHeight="1">
      <c r="K107" s="57"/>
      <c r="L107" s="57"/>
      <c r="M107" s="57"/>
      <c r="N107" s="57"/>
      <c r="O107" s="57"/>
      <c r="P107" s="57"/>
      <c r="Q107" s="57"/>
    </row>
    <row r="108" spans="11:17" ht="15.75" customHeight="1">
      <c r="K108" s="57"/>
      <c r="L108" s="57"/>
      <c r="M108" s="57"/>
      <c r="N108" s="57"/>
      <c r="O108" s="57"/>
      <c r="P108" s="57"/>
      <c r="Q108" s="57"/>
    </row>
    <row r="109" spans="11:17" ht="15.75" customHeight="1">
      <c r="K109" s="57"/>
      <c r="L109" s="57"/>
      <c r="M109" s="57"/>
      <c r="N109" s="57"/>
      <c r="O109" s="57"/>
      <c r="P109" s="57"/>
      <c r="Q109" s="57"/>
    </row>
    <row r="110" spans="11:17" ht="15.75" customHeight="1">
      <c r="K110" s="57"/>
      <c r="L110" s="57"/>
      <c r="M110" s="57"/>
      <c r="N110" s="57"/>
      <c r="O110" s="57"/>
      <c r="P110" s="57"/>
      <c r="Q110" s="57"/>
    </row>
    <row r="111" spans="11:17" ht="15.75" customHeight="1">
      <c r="K111" s="57"/>
      <c r="L111" s="57"/>
      <c r="M111" s="57"/>
      <c r="N111" s="57"/>
      <c r="O111" s="57"/>
      <c r="P111" s="57"/>
      <c r="Q111" s="57"/>
    </row>
    <row r="112" spans="11:17" ht="15.75" customHeight="1">
      <c r="K112" s="57"/>
      <c r="L112" s="57"/>
      <c r="M112" s="57"/>
      <c r="N112" s="57"/>
      <c r="O112" s="57"/>
      <c r="P112" s="57"/>
      <c r="Q112" s="57"/>
    </row>
    <row r="113" spans="11:17" ht="15.75" customHeight="1">
      <c r="K113" s="57"/>
      <c r="L113" s="57"/>
      <c r="M113" s="57"/>
      <c r="N113" s="57"/>
      <c r="O113" s="57"/>
      <c r="P113" s="57"/>
      <c r="Q113" s="57"/>
    </row>
    <row r="114" spans="11:17" ht="15.75" customHeight="1">
      <c r="K114" s="57"/>
      <c r="L114" s="57"/>
      <c r="M114" s="57"/>
      <c r="N114" s="57"/>
      <c r="O114" s="57"/>
      <c r="P114" s="57"/>
      <c r="Q114" s="57"/>
    </row>
    <row r="115" spans="11:17" ht="15.75" customHeight="1">
      <c r="K115" s="57"/>
      <c r="L115" s="57"/>
      <c r="M115" s="57"/>
      <c r="N115" s="57"/>
      <c r="O115" s="57"/>
      <c r="P115" s="57"/>
      <c r="Q115" s="57"/>
    </row>
    <row r="116" spans="11:17" ht="15.75" customHeight="1">
      <c r="K116" s="57"/>
      <c r="L116" s="57"/>
      <c r="M116" s="57"/>
      <c r="N116" s="57"/>
      <c r="O116" s="57"/>
      <c r="P116" s="57"/>
      <c r="Q116" s="57"/>
    </row>
    <row r="117" spans="11:17" ht="15.75" customHeight="1">
      <c r="K117" s="57"/>
      <c r="L117" s="57"/>
      <c r="M117" s="57"/>
      <c r="N117" s="57"/>
      <c r="O117" s="57"/>
      <c r="P117" s="57"/>
      <c r="Q117" s="57"/>
    </row>
    <row r="118" spans="11:17" ht="15.75" customHeight="1">
      <c r="K118" s="57"/>
      <c r="L118" s="57"/>
      <c r="M118" s="57"/>
      <c r="N118" s="57"/>
      <c r="O118" s="57"/>
      <c r="P118" s="57"/>
      <c r="Q118" s="57"/>
    </row>
    <row r="119" spans="11:17" ht="15.75" customHeight="1">
      <c r="K119" s="57"/>
      <c r="L119" s="57"/>
      <c r="M119" s="57"/>
      <c r="N119" s="57"/>
      <c r="O119" s="57"/>
      <c r="P119" s="57"/>
      <c r="Q119" s="57"/>
    </row>
    <row r="120" spans="11:17" ht="15.75" customHeight="1">
      <c r="K120" s="57"/>
      <c r="L120" s="57"/>
      <c r="M120" s="57"/>
      <c r="N120" s="57"/>
      <c r="O120" s="57"/>
      <c r="P120" s="57"/>
      <c r="Q120" s="57"/>
    </row>
    <row r="121" spans="11:17" ht="15.75" customHeight="1">
      <c r="K121" s="57"/>
      <c r="L121" s="57"/>
      <c r="M121" s="57"/>
      <c r="N121" s="57"/>
      <c r="O121" s="57"/>
      <c r="P121" s="57"/>
      <c r="Q121" s="57"/>
    </row>
    <row r="122" spans="11:17" ht="15.75" customHeight="1">
      <c r="K122" s="57"/>
      <c r="L122" s="57"/>
      <c r="M122" s="57"/>
      <c r="N122" s="57"/>
      <c r="O122" s="57"/>
      <c r="P122" s="57"/>
      <c r="Q122" s="57"/>
    </row>
    <row r="123" spans="11:17" ht="15.75" customHeight="1">
      <c r="K123" s="57"/>
      <c r="L123" s="57"/>
      <c r="M123" s="57"/>
      <c r="N123" s="57"/>
      <c r="O123" s="57"/>
      <c r="P123" s="57"/>
      <c r="Q123" s="57"/>
    </row>
    <row r="124" spans="11:17" ht="15.75" customHeight="1">
      <c r="K124" s="57"/>
      <c r="L124" s="57"/>
      <c r="M124" s="57"/>
      <c r="N124" s="57"/>
      <c r="O124" s="57"/>
      <c r="P124" s="57"/>
      <c r="Q124" s="57"/>
    </row>
    <row r="125" spans="11:17" ht="15.75" customHeight="1">
      <c r="K125" s="57"/>
      <c r="L125" s="57"/>
      <c r="M125" s="57"/>
      <c r="N125" s="57"/>
      <c r="O125" s="57"/>
      <c r="P125" s="57"/>
      <c r="Q125" s="57"/>
    </row>
    <row r="126" spans="11:17" ht="15.75" customHeight="1">
      <c r="K126" s="57"/>
      <c r="L126" s="57"/>
      <c r="M126" s="57"/>
      <c r="N126" s="57"/>
      <c r="O126" s="57"/>
      <c r="P126" s="57"/>
      <c r="Q126" s="57"/>
    </row>
    <row r="127" spans="11:17" ht="15.75" customHeight="1">
      <c r="K127" s="57"/>
      <c r="L127" s="57"/>
      <c r="M127" s="57"/>
      <c r="N127" s="57"/>
      <c r="O127" s="57"/>
      <c r="P127" s="57"/>
      <c r="Q127" s="57"/>
    </row>
    <row r="128" spans="11:17" ht="15.75" customHeight="1">
      <c r="K128" s="57"/>
      <c r="L128" s="57"/>
      <c r="M128" s="57"/>
      <c r="N128" s="57"/>
      <c r="O128" s="57"/>
      <c r="P128" s="57"/>
      <c r="Q128" s="57"/>
    </row>
    <row r="129" spans="11:17" ht="15.75" customHeight="1">
      <c r="K129" s="57"/>
      <c r="L129" s="57"/>
      <c r="M129" s="57"/>
      <c r="N129" s="57"/>
      <c r="O129" s="57"/>
      <c r="P129" s="57"/>
      <c r="Q129" s="57"/>
    </row>
    <row r="130" spans="11:17" ht="15.75" customHeight="1">
      <c r="K130" s="57"/>
      <c r="L130" s="57"/>
      <c r="M130" s="57"/>
      <c r="N130" s="57"/>
      <c r="O130" s="57"/>
      <c r="P130" s="57"/>
      <c r="Q130" s="57"/>
    </row>
    <row r="131" spans="11:17" ht="15.75" customHeight="1">
      <c r="K131" s="57"/>
      <c r="L131" s="57"/>
      <c r="M131" s="57"/>
      <c r="N131" s="57"/>
      <c r="O131" s="57"/>
      <c r="P131" s="57"/>
      <c r="Q131" s="57"/>
    </row>
    <row r="132" spans="11:17" ht="15.75" customHeight="1">
      <c r="K132" s="57"/>
      <c r="L132" s="57"/>
      <c r="M132" s="57"/>
      <c r="N132" s="57"/>
      <c r="O132" s="57"/>
      <c r="P132" s="57"/>
      <c r="Q132" s="57"/>
    </row>
    <row r="133" spans="11:17" ht="15.75" customHeight="1">
      <c r="K133" s="57"/>
      <c r="L133" s="57"/>
      <c r="M133" s="57"/>
      <c r="N133" s="57"/>
      <c r="O133" s="57"/>
      <c r="P133" s="57"/>
      <c r="Q133" s="57"/>
    </row>
    <row r="134" spans="11:17" ht="15.75" customHeight="1">
      <c r="K134" s="57"/>
      <c r="L134" s="57"/>
      <c r="M134" s="57"/>
      <c r="N134" s="57"/>
      <c r="O134" s="57"/>
      <c r="P134" s="57"/>
      <c r="Q134" s="57"/>
    </row>
    <row r="135" spans="11:17" ht="15.75" customHeight="1">
      <c r="K135" s="57"/>
      <c r="L135" s="57"/>
      <c r="M135" s="57"/>
      <c r="N135" s="57"/>
      <c r="O135" s="57"/>
      <c r="P135" s="57"/>
      <c r="Q135" s="57"/>
    </row>
    <row r="136" spans="11:17" ht="15.75" customHeight="1">
      <c r="K136" s="57"/>
      <c r="L136" s="57"/>
      <c r="M136" s="57"/>
      <c r="N136" s="57"/>
      <c r="O136" s="57"/>
      <c r="P136" s="57"/>
      <c r="Q136" s="57"/>
    </row>
    <row r="137" spans="11:17" ht="15.75" customHeight="1">
      <c r="K137" s="57"/>
      <c r="L137" s="57"/>
      <c r="M137" s="57"/>
      <c r="N137" s="57"/>
      <c r="O137" s="57"/>
      <c r="P137" s="57"/>
      <c r="Q137" s="57"/>
    </row>
    <row r="138" spans="11:17" ht="15.75" customHeight="1">
      <c r="K138" s="57"/>
      <c r="L138" s="57"/>
      <c r="M138" s="57"/>
      <c r="N138" s="57"/>
      <c r="O138" s="57"/>
      <c r="P138" s="57"/>
      <c r="Q138" s="57"/>
    </row>
    <row r="139" spans="11:17" ht="15.75" customHeight="1">
      <c r="K139" s="57"/>
      <c r="L139" s="57"/>
      <c r="M139" s="57"/>
      <c r="N139" s="57"/>
      <c r="O139" s="57"/>
      <c r="P139" s="57"/>
      <c r="Q139" s="57"/>
    </row>
    <row r="140" spans="11:17" ht="15.75" customHeight="1">
      <c r="K140" s="57"/>
      <c r="L140" s="57"/>
      <c r="M140" s="57"/>
      <c r="N140" s="57"/>
      <c r="O140" s="57"/>
      <c r="P140" s="57"/>
      <c r="Q140" s="57"/>
    </row>
    <row r="141" spans="11:17" ht="15.75" customHeight="1">
      <c r="K141" s="57"/>
      <c r="L141" s="57"/>
      <c r="M141" s="57"/>
      <c r="N141" s="57"/>
      <c r="O141" s="57"/>
      <c r="P141" s="57"/>
      <c r="Q141" s="57"/>
    </row>
    <row r="142" spans="11:17" ht="15.75" customHeight="1">
      <c r="K142" s="57"/>
      <c r="L142" s="57"/>
      <c r="M142" s="57"/>
      <c r="N142" s="57"/>
      <c r="O142" s="57"/>
      <c r="P142" s="57"/>
      <c r="Q142" s="57"/>
    </row>
    <row r="143" spans="11:17" ht="15.75" customHeight="1">
      <c r="K143" s="57"/>
      <c r="L143" s="57"/>
      <c r="M143" s="57"/>
      <c r="N143" s="57"/>
      <c r="O143" s="57"/>
      <c r="P143" s="57"/>
      <c r="Q143" s="57"/>
    </row>
    <row r="144" spans="11:17" ht="15.75" customHeight="1">
      <c r="K144" s="57"/>
      <c r="L144" s="57"/>
      <c r="M144" s="57"/>
      <c r="N144" s="57"/>
      <c r="O144" s="57"/>
      <c r="P144" s="57"/>
      <c r="Q144" s="57"/>
    </row>
    <row r="145" spans="11:17" ht="15.75" customHeight="1">
      <c r="K145" s="57"/>
      <c r="L145" s="57"/>
      <c r="M145" s="57"/>
      <c r="N145" s="57"/>
      <c r="O145" s="57"/>
      <c r="P145" s="57"/>
      <c r="Q145" s="57"/>
    </row>
    <row r="146" spans="11:17" ht="15.75" customHeight="1">
      <c r="K146" s="57"/>
      <c r="L146" s="57"/>
      <c r="M146" s="57"/>
      <c r="N146" s="57"/>
      <c r="O146" s="57"/>
      <c r="P146" s="57"/>
      <c r="Q146" s="57"/>
    </row>
    <row r="147" spans="11:17" ht="15.75" customHeight="1">
      <c r="K147" s="57"/>
      <c r="L147" s="57"/>
      <c r="M147" s="57"/>
      <c r="N147" s="57"/>
      <c r="O147" s="57"/>
      <c r="P147" s="57"/>
      <c r="Q147" s="57"/>
    </row>
    <row r="148" spans="11:17" ht="15.75" customHeight="1">
      <c r="K148" s="57"/>
      <c r="L148" s="57"/>
      <c r="M148" s="57"/>
      <c r="N148" s="57"/>
      <c r="O148" s="57"/>
      <c r="P148" s="57"/>
      <c r="Q148" s="57"/>
    </row>
    <row r="149" spans="11:17" ht="15.75" customHeight="1">
      <c r="K149" s="57"/>
      <c r="L149" s="57"/>
      <c r="M149" s="57"/>
      <c r="N149" s="57"/>
      <c r="O149" s="57"/>
      <c r="P149" s="57"/>
      <c r="Q149" s="57"/>
    </row>
    <row r="150" spans="11:17" ht="15.75" customHeight="1">
      <c r="K150" s="57"/>
      <c r="L150" s="57"/>
      <c r="M150" s="57"/>
      <c r="N150" s="57"/>
      <c r="O150" s="57"/>
      <c r="P150" s="57"/>
      <c r="Q150" s="57"/>
    </row>
    <row r="151" spans="11:17" ht="15.75" customHeight="1">
      <c r="K151" s="57"/>
      <c r="L151" s="57"/>
      <c r="M151" s="57"/>
      <c r="N151" s="57"/>
      <c r="O151" s="57"/>
      <c r="P151" s="57"/>
      <c r="Q151" s="57"/>
    </row>
    <row r="152" spans="11:17" ht="15.75" customHeight="1">
      <c r="K152" s="57"/>
      <c r="L152" s="57"/>
      <c r="M152" s="57"/>
      <c r="N152" s="57"/>
      <c r="O152" s="57"/>
      <c r="P152" s="57"/>
      <c r="Q152" s="57"/>
    </row>
    <row r="153" spans="11:17" ht="15.75" customHeight="1">
      <c r="K153" s="57"/>
      <c r="L153" s="57"/>
      <c r="M153" s="57"/>
      <c r="N153" s="57"/>
      <c r="O153" s="57"/>
      <c r="P153" s="57"/>
      <c r="Q153" s="57"/>
    </row>
    <row r="154" spans="11:17" ht="15.75" customHeight="1">
      <c r="K154" s="57"/>
      <c r="L154" s="57"/>
      <c r="M154" s="57"/>
      <c r="N154" s="57"/>
      <c r="O154" s="57"/>
      <c r="P154" s="57"/>
      <c r="Q154" s="57"/>
    </row>
    <row r="155" spans="11:17" ht="15.75" customHeight="1">
      <c r="K155" s="57"/>
      <c r="L155" s="57"/>
      <c r="M155" s="57"/>
      <c r="N155" s="57"/>
      <c r="O155" s="57"/>
      <c r="P155" s="57"/>
      <c r="Q155" s="57"/>
    </row>
    <row r="156" spans="11:17" ht="15.75" customHeight="1">
      <c r="K156" s="57"/>
      <c r="L156" s="57"/>
      <c r="M156" s="57"/>
      <c r="N156" s="57"/>
      <c r="O156" s="57"/>
      <c r="P156" s="57"/>
      <c r="Q156" s="57"/>
    </row>
    <row r="157" spans="11:17" ht="15.75" customHeight="1">
      <c r="K157" s="57"/>
      <c r="L157" s="57"/>
      <c r="M157" s="57"/>
      <c r="N157" s="57"/>
      <c r="O157" s="57"/>
      <c r="P157" s="57"/>
      <c r="Q157" s="57"/>
    </row>
    <row r="158" spans="11:17" ht="15.75" customHeight="1">
      <c r="K158" s="57"/>
      <c r="L158" s="57"/>
      <c r="M158" s="57"/>
      <c r="N158" s="57"/>
      <c r="O158" s="57"/>
      <c r="P158" s="57"/>
      <c r="Q158" s="57"/>
    </row>
    <row r="159" spans="11:17" ht="15.75" customHeight="1">
      <c r="K159" s="57"/>
      <c r="L159" s="57"/>
      <c r="M159" s="57"/>
      <c r="N159" s="57"/>
      <c r="O159" s="57"/>
      <c r="P159" s="57"/>
      <c r="Q159" s="57"/>
    </row>
    <row r="160" spans="11:17" ht="15.75" customHeight="1">
      <c r="K160" s="57"/>
      <c r="L160" s="57"/>
      <c r="M160" s="57"/>
      <c r="N160" s="57"/>
      <c r="O160" s="57"/>
      <c r="P160" s="57"/>
      <c r="Q160" s="57"/>
    </row>
    <row r="161" spans="11:17" ht="15.75" customHeight="1">
      <c r="K161" s="57"/>
      <c r="L161" s="57"/>
      <c r="M161" s="57"/>
      <c r="N161" s="57"/>
      <c r="O161" s="57"/>
      <c r="P161" s="57"/>
      <c r="Q161" s="57"/>
    </row>
    <row r="162" spans="11:17" ht="15.75" customHeight="1">
      <c r="K162" s="57"/>
      <c r="L162" s="57"/>
      <c r="M162" s="57"/>
      <c r="N162" s="57"/>
      <c r="O162" s="57"/>
      <c r="P162" s="57"/>
      <c r="Q162" s="57"/>
    </row>
    <row r="163" spans="11:17" ht="15.75" customHeight="1">
      <c r="K163" s="57"/>
      <c r="L163" s="57"/>
      <c r="M163" s="57"/>
      <c r="N163" s="57"/>
      <c r="O163" s="57"/>
      <c r="P163" s="57"/>
      <c r="Q163" s="57"/>
    </row>
    <row r="164" spans="11:17" ht="15.75" customHeight="1">
      <c r="K164" s="57"/>
      <c r="L164" s="57"/>
      <c r="M164" s="57"/>
      <c r="N164" s="57"/>
      <c r="O164" s="57"/>
      <c r="P164" s="57"/>
      <c r="Q164" s="57"/>
    </row>
    <row r="165" spans="11:17" ht="15.75" customHeight="1">
      <c r="K165" s="57"/>
      <c r="L165" s="57"/>
      <c r="M165" s="57"/>
      <c r="N165" s="57"/>
      <c r="O165" s="57"/>
      <c r="P165" s="57"/>
      <c r="Q165" s="57"/>
    </row>
    <row r="166" spans="11:17" ht="15.75" customHeight="1">
      <c r="K166" s="57"/>
      <c r="L166" s="57"/>
      <c r="M166" s="57"/>
      <c r="N166" s="57"/>
      <c r="O166" s="57"/>
      <c r="P166" s="57"/>
      <c r="Q166" s="57"/>
    </row>
    <row r="167" spans="11:17" ht="15.75" customHeight="1">
      <c r="K167" s="57"/>
      <c r="L167" s="57"/>
      <c r="M167" s="57"/>
      <c r="N167" s="57"/>
      <c r="O167" s="57"/>
      <c r="P167" s="57"/>
      <c r="Q167" s="57"/>
    </row>
    <row r="168" spans="11:17" ht="15.75" customHeight="1">
      <c r="K168" s="57"/>
      <c r="L168" s="57"/>
      <c r="M168" s="57"/>
      <c r="N168" s="57"/>
      <c r="O168" s="57"/>
      <c r="P168" s="57"/>
      <c r="Q168" s="57"/>
    </row>
    <row r="169" spans="11:17" ht="15.75" customHeight="1">
      <c r="K169" s="57"/>
      <c r="L169" s="57"/>
      <c r="M169" s="57"/>
      <c r="N169" s="57"/>
      <c r="O169" s="57"/>
      <c r="P169" s="57"/>
      <c r="Q169" s="57"/>
    </row>
    <row r="170" spans="11:17" ht="15.75" customHeight="1">
      <c r="K170" s="57"/>
      <c r="L170" s="57"/>
      <c r="M170" s="57"/>
      <c r="N170" s="57"/>
      <c r="O170" s="57"/>
      <c r="P170" s="57"/>
      <c r="Q170" s="57"/>
    </row>
    <row r="171" spans="11:17" ht="15.75" customHeight="1">
      <c r="K171" s="57"/>
      <c r="L171" s="57"/>
      <c r="M171" s="57"/>
      <c r="N171" s="57"/>
      <c r="O171" s="57"/>
      <c r="P171" s="57"/>
      <c r="Q171" s="57"/>
    </row>
    <row r="172" spans="11:17" ht="15.75" customHeight="1">
      <c r="K172" s="57"/>
      <c r="L172" s="57"/>
      <c r="M172" s="57"/>
      <c r="N172" s="57"/>
      <c r="O172" s="57"/>
      <c r="P172" s="57"/>
      <c r="Q172" s="57"/>
    </row>
    <row r="173" spans="11:17" ht="15.75" customHeight="1">
      <c r="K173" s="57"/>
      <c r="L173" s="57"/>
      <c r="M173" s="57"/>
      <c r="N173" s="57"/>
      <c r="O173" s="57"/>
      <c r="P173" s="57"/>
      <c r="Q173" s="57"/>
    </row>
    <row r="174" spans="11:17" ht="15.75" customHeight="1">
      <c r="K174" s="57"/>
      <c r="L174" s="57"/>
      <c r="M174" s="57"/>
      <c r="N174" s="57"/>
      <c r="O174" s="57"/>
      <c r="P174" s="57"/>
      <c r="Q174" s="57"/>
    </row>
    <row r="175" spans="11:17" ht="15.75" customHeight="1">
      <c r="K175" s="57"/>
      <c r="L175" s="57"/>
      <c r="M175" s="57"/>
      <c r="N175" s="57"/>
      <c r="O175" s="57"/>
      <c r="P175" s="57"/>
      <c r="Q175" s="57"/>
    </row>
    <row r="176" spans="11:17" ht="15.75" customHeight="1">
      <c r="K176" s="57"/>
      <c r="L176" s="57"/>
      <c r="M176" s="57"/>
      <c r="N176" s="57"/>
      <c r="O176" s="57"/>
      <c r="P176" s="57"/>
      <c r="Q176" s="57"/>
    </row>
    <row r="177" spans="11:17" ht="15.75" customHeight="1">
      <c r="K177" s="57"/>
      <c r="L177" s="57"/>
      <c r="M177" s="57"/>
      <c r="N177" s="57"/>
      <c r="O177" s="57"/>
      <c r="P177" s="57"/>
      <c r="Q177" s="57"/>
    </row>
    <row r="178" spans="11:17" ht="15.75" customHeight="1">
      <c r="K178" s="57"/>
      <c r="L178" s="57"/>
      <c r="M178" s="57"/>
      <c r="N178" s="57"/>
      <c r="O178" s="57"/>
      <c r="P178" s="57"/>
      <c r="Q178" s="57"/>
    </row>
    <row r="179" spans="11:17" ht="15.75" customHeight="1">
      <c r="K179" s="57"/>
      <c r="L179" s="57"/>
      <c r="M179" s="57"/>
      <c r="N179" s="57"/>
      <c r="O179" s="57"/>
      <c r="P179" s="57"/>
      <c r="Q179" s="57"/>
    </row>
    <row r="180" spans="11:17" ht="15.75" customHeight="1">
      <c r="K180" s="57"/>
      <c r="L180" s="57"/>
      <c r="M180" s="57"/>
      <c r="N180" s="57"/>
      <c r="O180" s="57"/>
      <c r="P180" s="57"/>
      <c r="Q180" s="57"/>
    </row>
    <row r="181" spans="11:17" ht="15.75" customHeight="1">
      <c r="K181" s="57"/>
      <c r="L181" s="57"/>
      <c r="M181" s="57"/>
      <c r="N181" s="57"/>
      <c r="O181" s="57"/>
      <c r="P181" s="57"/>
      <c r="Q181" s="57"/>
    </row>
    <row r="182" spans="11:17" ht="15.75" customHeight="1">
      <c r="K182" s="57"/>
      <c r="L182" s="57"/>
      <c r="M182" s="57"/>
      <c r="N182" s="57"/>
      <c r="O182" s="57"/>
      <c r="P182" s="57"/>
      <c r="Q182" s="57"/>
    </row>
    <row r="183" spans="11:17" ht="15.75" customHeight="1">
      <c r="K183" s="57"/>
      <c r="L183" s="57"/>
      <c r="M183" s="57"/>
      <c r="N183" s="57"/>
      <c r="O183" s="57"/>
      <c r="P183" s="57"/>
      <c r="Q183" s="57"/>
    </row>
    <row r="184" spans="11:17" ht="15.75" customHeight="1">
      <c r="K184" s="57"/>
      <c r="L184" s="57"/>
      <c r="M184" s="57"/>
      <c r="N184" s="57"/>
      <c r="O184" s="57"/>
      <c r="P184" s="57"/>
      <c r="Q184" s="57"/>
    </row>
    <row r="185" spans="11:17" ht="15.75" customHeight="1">
      <c r="K185" s="57"/>
      <c r="L185" s="57"/>
      <c r="M185" s="57"/>
      <c r="N185" s="57"/>
      <c r="O185" s="57"/>
      <c r="P185" s="57"/>
      <c r="Q185" s="57"/>
    </row>
    <row r="186" spans="11:17" ht="15.75" customHeight="1">
      <c r="K186" s="57"/>
      <c r="L186" s="57"/>
      <c r="M186" s="57"/>
      <c r="N186" s="57"/>
      <c r="O186" s="57"/>
      <c r="P186" s="57"/>
      <c r="Q186" s="57"/>
    </row>
    <row r="187" spans="11:17" ht="15.75" customHeight="1">
      <c r="K187" s="57"/>
      <c r="L187" s="57"/>
      <c r="M187" s="57"/>
      <c r="N187" s="57"/>
      <c r="O187" s="57"/>
      <c r="P187" s="57"/>
      <c r="Q187" s="57"/>
    </row>
    <row r="188" spans="11:17" ht="15.75" customHeight="1">
      <c r="K188" s="57"/>
      <c r="L188" s="57"/>
      <c r="M188" s="57"/>
      <c r="N188" s="57"/>
      <c r="O188" s="57"/>
      <c r="P188" s="57"/>
      <c r="Q188" s="57"/>
    </row>
    <row r="189" spans="11:17" ht="15.75" customHeight="1">
      <c r="K189" s="57"/>
      <c r="L189" s="57"/>
      <c r="M189" s="57"/>
      <c r="N189" s="57"/>
      <c r="O189" s="57"/>
      <c r="P189" s="57"/>
      <c r="Q189" s="57"/>
    </row>
    <row r="190" spans="11:17" ht="15.75" customHeight="1">
      <c r="K190" s="57"/>
      <c r="L190" s="57"/>
      <c r="M190" s="57"/>
      <c r="N190" s="57"/>
      <c r="O190" s="57"/>
      <c r="P190" s="57"/>
      <c r="Q190" s="57"/>
    </row>
    <row r="191" spans="11:17" ht="15.75" customHeight="1">
      <c r="K191" s="57"/>
      <c r="L191" s="57"/>
      <c r="M191" s="57"/>
      <c r="N191" s="57"/>
      <c r="O191" s="57"/>
      <c r="P191" s="57"/>
      <c r="Q191" s="57"/>
    </row>
    <row r="192" spans="11:17" ht="15.75" customHeight="1">
      <c r="K192" s="57"/>
      <c r="L192" s="57"/>
      <c r="M192" s="57"/>
      <c r="N192" s="57"/>
      <c r="O192" s="57"/>
      <c r="P192" s="57"/>
      <c r="Q192" s="57"/>
    </row>
    <row r="193" spans="11:17" ht="15.75" customHeight="1">
      <c r="K193" s="57"/>
      <c r="L193" s="57"/>
      <c r="M193" s="57"/>
      <c r="N193" s="57"/>
      <c r="O193" s="57"/>
      <c r="P193" s="57"/>
      <c r="Q193" s="57"/>
    </row>
    <row r="194" spans="11:17" ht="15.75" customHeight="1">
      <c r="K194" s="57"/>
      <c r="L194" s="57"/>
      <c r="M194" s="57"/>
      <c r="N194" s="57"/>
      <c r="O194" s="57"/>
      <c r="P194" s="57"/>
      <c r="Q194" s="57"/>
    </row>
    <row r="195" spans="11:17" ht="15.75" customHeight="1">
      <c r="K195" s="57"/>
      <c r="L195" s="57"/>
      <c r="M195" s="57"/>
      <c r="N195" s="57"/>
      <c r="O195" s="57"/>
      <c r="P195" s="57"/>
      <c r="Q195" s="57"/>
    </row>
    <row r="196" spans="11:17" ht="15.75" customHeight="1">
      <c r="K196" s="57"/>
      <c r="L196" s="57"/>
      <c r="M196" s="57"/>
      <c r="N196" s="57"/>
      <c r="O196" s="57"/>
      <c r="P196" s="57"/>
      <c r="Q196" s="57"/>
    </row>
    <row r="197" spans="11:17" ht="15.75" customHeight="1">
      <c r="K197" s="57"/>
      <c r="L197" s="57"/>
      <c r="M197" s="57"/>
      <c r="N197" s="57"/>
      <c r="O197" s="57"/>
      <c r="P197" s="57"/>
      <c r="Q197" s="57"/>
    </row>
    <row r="198" spans="11:17" ht="15.75" customHeight="1">
      <c r="K198" s="57"/>
      <c r="L198" s="57"/>
      <c r="M198" s="57"/>
      <c r="N198" s="57"/>
      <c r="O198" s="57"/>
      <c r="P198" s="57"/>
      <c r="Q198" s="57"/>
    </row>
    <row r="199" spans="11:17" ht="15.75" customHeight="1">
      <c r="K199" s="57"/>
      <c r="L199" s="57"/>
      <c r="M199" s="57"/>
      <c r="N199" s="57"/>
      <c r="O199" s="57"/>
      <c r="P199" s="57"/>
      <c r="Q199" s="57"/>
    </row>
    <row r="200" spans="11:17" ht="15.75" customHeight="1">
      <c r="K200" s="57"/>
      <c r="L200" s="57"/>
      <c r="M200" s="57"/>
      <c r="N200" s="57"/>
      <c r="O200" s="57"/>
      <c r="P200" s="57"/>
      <c r="Q200" s="57"/>
    </row>
    <row r="201" spans="11:17" ht="15.75" customHeight="1">
      <c r="K201" s="57"/>
      <c r="L201" s="57"/>
      <c r="M201" s="57"/>
      <c r="N201" s="57"/>
      <c r="O201" s="57"/>
      <c r="P201" s="57"/>
      <c r="Q201" s="57"/>
    </row>
    <row r="202" spans="11:17" ht="15.75" customHeight="1">
      <c r="K202" s="57"/>
      <c r="L202" s="57"/>
      <c r="M202" s="57"/>
      <c r="N202" s="57"/>
      <c r="O202" s="57"/>
      <c r="P202" s="57"/>
      <c r="Q202" s="57"/>
    </row>
    <row r="203" spans="11:17" ht="15.75" customHeight="1">
      <c r="K203" s="57"/>
      <c r="L203" s="57"/>
      <c r="M203" s="57"/>
      <c r="N203" s="57"/>
      <c r="O203" s="57"/>
      <c r="P203" s="57"/>
      <c r="Q203" s="57"/>
    </row>
    <row r="204" spans="11:17" ht="15.75" customHeight="1">
      <c r="K204" s="57"/>
      <c r="L204" s="57"/>
      <c r="M204" s="57"/>
      <c r="N204" s="57"/>
      <c r="O204" s="57"/>
      <c r="P204" s="57"/>
      <c r="Q204" s="57"/>
    </row>
    <row r="205" spans="11:17" ht="15.75" customHeight="1">
      <c r="K205" s="57"/>
      <c r="L205" s="57"/>
      <c r="M205" s="57"/>
      <c r="N205" s="57"/>
      <c r="O205" s="57"/>
      <c r="P205" s="57"/>
      <c r="Q205" s="57"/>
    </row>
    <row r="206" spans="11:17" ht="15.75" customHeight="1">
      <c r="K206" s="57"/>
      <c r="L206" s="57"/>
      <c r="M206" s="57"/>
      <c r="N206" s="57"/>
      <c r="O206" s="57"/>
      <c r="P206" s="57"/>
      <c r="Q206" s="57"/>
    </row>
    <row r="207" spans="11:17" ht="15.75" customHeight="1">
      <c r="K207" s="57"/>
      <c r="L207" s="57"/>
      <c r="M207" s="57"/>
      <c r="N207" s="57"/>
      <c r="O207" s="57"/>
      <c r="P207" s="57"/>
      <c r="Q207" s="57"/>
    </row>
    <row r="208" spans="11:17" ht="15.75" customHeight="1">
      <c r="K208" s="57"/>
      <c r="L208" s="57"/>
      <c r="M208" s="57"/>
      <c r="N208" s="57"/>
      <c r="O208" s="57"/>
      <c r="P208" s="57"/>
      <c r="Q208" s="57"/>
    </row>
    <row r="209" spans="11:17" ht="15.75" customHeight="1">
      <c r="K209" s="57"/>
      <c r="L209" s="57"/>
      <c r="M209" s="57"/>
      <c r="N209" s="57"/>
      <c r="O209" s="57"/>
      <c r="P209" s="57"/>
      <c r="Q209" s="57"/>
    </row>
    <row r="210" spans="11:17" ht="15.75" customHeight="1">
      <c r="K210" s="57"/>
      <c r="L210" s="57"/>
      <c r="M210" s="57"/>
      <c r="N210" s="57"/>
      <c r="O210" s="57"/>
      <c r="P210" s="57"/>
      <c r="Q210" s="57"/>
    </row>
    <row r="211" spans="11:17" ht="15.75" customHeight="1">
      <c r="K211" s="57"/>
      <c r="L211" s="57"/>
      <c r="M211" s="57"/>
      <c r="N211" s="57"/>
      <c r="O211" s="57"/>
      <c r="P211" s="57"/>
      <c r="Q211" s="57"/>
    </row>
    <row r="212" spans="11:17" ht="15.75" customHeight="1">
      <c r="K212" s="57"/>
      <c r="L212" s="57"/>
      <c r="M212" s="57"/>
      <c r="N212" s="57"/>
      <c r="O212" s="57"/>
      <c r="P212" s="57"/>
      <c r="Q212" s="57"/>
    </row>
    <row r="213" spans="11:17" ht="15.75" customHeight="1">
      <c r="K213" s="57"/>
      <c r="L213" s="57"/>
      <c r="M213" s="57"/>
      <c r="N213" s="57"/>
      <c r="O213" s="57"/>
      <c r="P213" s="57"/>
      <c r="Q213" s="57"/>
    </row>
    <row r="214" spans="11:17" ht="15.75" customHeight="1">
      <c r="K214" s="57"/>
      <c r="L214" s="57"/>
      <c r="M214" s="57"/>
      <c r="N214" s="57"/>
      <c r="O214" s="57"/>
      <c r="P214" s="57"/>
      <c r="Q214" s="57"/>
    </row>
    <row r="215" spans="11:17" ht="15.75" customHeight="1">
      <c r="K215" s="57"/>
      <c r="L215" s="57"/>
      <c r="M215" s="57"/>
      <c r="N215" s="57"/>
      <c r="O215" s="57"/>
      <c r="P215" s="57"/>
      <c r="Q215" s="57"/>
    </row>
    <row r="216" spans="11:17" ht="15.75" customHeight="1">
      <c r="K216" s="57"/>
      <c r="L216" s="57"/>
      <c r="M216" s="57"/>
      <c r="N216" s="57"/>
      <c r="O216" s="57"/>
      <c r="P216" s="57"/>
      <c r="Q216" s="57"/>
    </row>
    <row r="217" spans="11:17" ht="15.75" customHeight="1">
      <c r="K217" s="57"/>
      <c r="L217" s="57"/>
      <c r="M217" s="57"/>
      <c r="N217" s="57"/>
      <c r="O217" s="57"/>
      <c r="P217" s="57"/>
      <c r="Q217" s="57"/>
    </row>
    <row r="218" spans="11:17" ht="15.75" customHeight="1">
      <c r="K218" s="57"/>
      <c r="L218" s="57"/>
      <c r="M218" s="57"/>
      <c r="N218" s="57"/>
      <c r="O218" s="57"/>
      <c r="P218" s="57"/>
      <c r="Q218" s="57"/>
    </row>
    <row r="219" spans="11:17" ht="15.75" customHeight="1">
      <c r="K219" s="57"/>
      <c r="L219" s="57"/>
      <c r="M219" s="57"/>
      <c r="N219" s="57"/>
      <c r="O219" s="57"/>
      <c r="P219" s="57"/>
      <c r="Q219" s="57"/>
    </row>
    <row r="220" spans="11:17" ht="15.75" customHeight="1">
      <c r="K220" s="57"/>
      <c r="L220" s="57"/>
      <c r="M220" s="57"/>
      <c r="N220" s="57"/>
      <c r="O220" s="57"/>
      <c r="P220" s="57"/>
      <c r="Q220" s="57"/>
    </row>
    <row r="221" spans="11:17" ht="15.75" customHeight="1">
      <c r="K221" s="57"/>
      <c r="L221" s="57"/>
      <c r="M221" s="57"/>
      <c r="N221" s="57"/>
      <c r="O221" s="57"/>
      <c r="P221" s="57"/>
      <c r="Q221" s="57"/>
    </row>
    <row r="222" spans="11:17" ht="15.75" customHeight="1">
      <c r="K222" s="57"/>
      <c r="L222" s="57"/>
      <c r="M222" s="57"/>
      <c r="N222" s="57"/>
      <c r="O222" s="57"/>
      <c r="P222" s="57"/>
      <c r="Q222" s="57"/>
    </row>
    <row r="223" spans="11:17" ht="15.75" customHeight="1">
      <c r="K223" s="57"/>
      <c r="L223" s="57"/>
      <c r="M223" s="57"/>
      <c r="N223" s="57"/>
      <c r="O223" s="57"/>
      <c r="P223" s="57"/>
      <c r="Q223" s="57"/>
    </row>
    <row r="224" spans="11:17" ht="15.75" customHeight="1">
      <c r="K224" s="57"/>
      <c r="L224" s="57"/>
      <c r="M224" s="57"/>
      <c r="N224" s="57"/>
      <c r="O224" s="57"/>
      <c r="P224" s="57"/>
      <c r="Q224" s="57"/>
    </row>
    <row r="225" spans="11:17" ht="15.75" customHeight="1">
      <c r="K225" s="57"/>
      <c r="L225" s="57"/>
      <c r="M225" s="57"/>
      <c r="N225" s="57"/>
      <c r="O225" s="57"/>
      <c r="P225" s="57"/>
      <c r="Q225" s="57"/>
    </row>
    <row r="226" spans="11:17" ht="15.75" customHeight="1">
      <c r="K226" s="57"/>
      <c r="L226" s="57"/>
      <c r="M226" s="57"/>
      <c r="N226" s="57"/>
      <c r="O226" s="57"/>
      <c r="P226" s="57"/>
      <c r="Q226" s="57"/>
    </row>
    <row r="227" spans="11:17" ht="15.75" customHeight="1">
      <c r="K227" s="57"/>
      <c r="L227" s="57"/>
      <c r="M227" s="57"/>
      <c r="N227" s="57"/>
      <c r="O227" s="57"/>
      <c r="P227" s="57"/>
      <c r="Q227" s="57"/>
    </row>
    <row r="228" spans="11:17" ht="15.75" customHeight="1">
      <c r="K228" s="57"/>
      <c r="L228" s="57"/>
      <c r="M228" s="57"/>
      <c r="N228" s="57"/>
      <c r="O228" s="57"/>
      <c r="P228" s="57"/>
      <c r="Q228" s="57"/>
    </row>
    <row r="229" spans="11:17" ht="15.75" customHeight="1">
      <c r="K229" s="57"/>
      <c r="L229" s="57"/>
      <c r="M229" s="57"/>
      <c r="N229" s="57"/>
      <c r="O229" s="57"/>
      <c r="P229" s="57"/>
      <c r="Q229" s="57"/>
    </row>
    <row r="230" spans="11:17" ht="15.75" customHeight="1">
      <c r="K230" s="57"/>
      <c r="L230" s="57"/>
      <c r="M230" s="57"/>
      <c r="N230" s="57"/>
      <c r="O230" s="57"/>
      <c r="P230" s="57"/>
      <c r="Q230" s="57"/>
    </row>
    <row r="231" spans="11:17" ht="15.75" customHeight="1">
      <c r="K231" s="57"/>
      <c r="L231" s="57"/>
      <c r="M231" s="57"/>
      <c r="N231" s="57"/>
      <c r="O231" s="57"/>
      <c r="P231" s="57"/>
      <c r="Q231" s="57"/>
    </row>
    <row r="232" spans="11:17" ht="15.75" customHeight="1">
      <c r="K232" s="57"/>
      <c r="L232" s="57"/>
      <c r="M232" s="57"/>
      <c r="N232" s="57"/>
      <c r="O232" s="57"/>
      <c r="P232" s="57"/>
      <c r="Q232" s="57"/>
    </row>
    <row r="233" spans="11:17" ht="15.75" customHeight="1">
      <c r="K233" s="57"/>
      <c r="L233" s="57"/>
      <c r="M233" s="57"/>
      <c r="N233" s="57"/>
      <c r="O233" s="57"/>
      <c r="P233" s="57"/>
      <c r="Q233" s="57"/>
    </row>
    <row r="234" spans="11:17" ht="15.75" customHeight="1">
      <c r="K234" s="57"/>
      <c r="L234" s="57"/>
      <c r="M234" s="57"/>
      <c r="N234" s="57"/>
      <c r="O234" s="57"/>
      <c r="P234" s="57"/>
      <c r="Q234" s="57"/>
    </row>
    <row r="235" spans="11:17" ht="15.75" customHeight="1">
      <c r="K235" s="57"/>
      <c r="L235" s="57"/>
      <c r="M235" s="57"/>
      <c r="N235" s="57"/>
      <c r="O235" s="57"/>
      <c r="P235" s="57"/>
      <c r="Q235" s="57"/>
    </row>
    <row r="236" spans="11:17" ht="15.75" customHeight="1">
      <c r="K236" s="57"/>
      <c r="L236" s="57"/>
      <c r="M236" s="57"/>
      <c r="N236" s="57"/>
      <c r="O236" s="57"/>
      <c r="P236" s="57"/>
      <c r="Q236" s="57"/>
    </row>
    <row r="237" spans="11:17" ht="15.75" customHeight="1">
      <c r="K237" s="57"/>
      <c r="L237" s="57"/>
      <c r="M237" s="57"/>
      <c r="N237" s="57"/>
      <c r="O237" s="57"/>
      <c r="P237" s="57"/>
      <c r="Q237" s="57"/>
    </row>
    <row r="238" spans="11:17" ht="15.75" customHeight="1">
      <c r="K238" s="57"/>
      <c r="L238" s="57"/>
      <c r="M238" s="57"/>
      <c r="N238" s="57"/>
      <c r="O238" s="57"/>
      <c r="P238" s="57"/>
      <c r="Q238" s="57"/>
    </row>
    <row r="239" spans="11:17" ht="15.75" customHeight="1">
      <c r="K239" s="57"/>
      <c r="L239" s="57"/>
      <c r="M239" s="57"/>
      <c r="N239" s="57"/>
      <c r="O239" s="57"/>
      <c r="P239" s="57"/>
      <c r="Q239" s="57"/>
    </row>
    <row r="240" spans="11:17" ht="15.75" customHeight="1">
      <c r="K240" s="57"/>
      <c r="L240" s="57"/>
      <c r="M240" s="57"/>
      <c r="N240" s="57"/>
      <c r="O240" s="57"/>
      <c r="P240" s="57"/>
      <c r="Q240" s="57"/>
    </row>
    <row r="241" spans="11:17" ht="15.75" customHeight="1">
      <c r="K241" s="57"/>
      <c r="L241" s="57"/>
      <c r="M241" s="57"/>
      <c r="N241" s="57"/>
      <c r="O241" s="57"/>
      <c r="P241" s="57"/>
      <c r="Q241" s="57"/>
    </row>
    <row r="242" spans="11:17" ht="15.75" customHeight="1">
      <c r="K242" s="57"/>
      <c r="L242" s="57"/>
      <c r="M242" s="57"/>
      <c r="N242" s="57"/>
      <c r="O242" s="57"/>
      <c r="P242" s="57"/>
      <c r="Q242" s="57"/>
    </row>
    <row r="243" spans="11:17" ht="15.75" customHeight="1">
      <c r="K243" s="57"/>
      <c r="L243" s="57"/>
      <c r="M243" s="57"/>
      <c r="N243" s="57"/>
      <c r="O243" s="57"/>
      <c r="P243" s="57"/>
      <c r="Q243" s="57"/>
    </row>
    <row r="244" spans="11:17" ht="15.75" customHeight="1">
      <c r="K244" s="57"/>
      <c r="L244" s="57"/>
      <c r="M244" s="57"/>
      <c r="N244" s="57"/>
      <c r="O244" s="57"/>
      <c r="P244" s="57"/>
      <c r="Q244" s="57"/>
    </row>
    <row r="245" spans="11:17" ht="15.75" customHeight="1">
      <c r="K245" s="57"/>
      <c r="L245" s="57"/>
      <c r="M245" s="57"/>
      <c r="N245" s="57"/>
      <c r="O245" s="57"/>
      <c r="P245" s="57"/>
      <c r="Q245" s="57"/>
    </row>
    <row r="246" spans="11:17" ht="15.75" customHeight="1">
      <c r="K246" s="57"/>
      <c r="L246" s="57"/>
      <c r="M246" s="57"/>
      <c r="N246" s="57"/>
      <c r="O246" s="57"/>
      <c r="P246" s="57"/>
      <c r="Q246" s="57"/>
    </row>
    <row r="247" spans="11:17" ht="15.75" customHeight="1">
      <c r="K247" s="57"/>
      <c r="L247" s="57"/>
      <c r="M247" s="57"/>
      <c r="N247" s="57"/>
      <c r="O247" s="57"/>
      <c r="P247" s="57"/>
      <c r="Q247" s="57"/>
    </row>
    <row r="248" spans="11:17" ht="15.75" customHeight="1">
      <c r="K248" s="57"/>
      <c r="L248" s="57"/>
      <c r="M248" s="57"/>
      <c r="N248" s="57"/>
      <c r="O248" s="57"/>
      <c r="P248" s="57"/>
      <c r="Q248" s="57"/>
    </row>
    <row r="249" spans="11:17" ht="15.75" customHeight="1">
      <c r="K249" s="57"/>
      <c r="L249" s="57"/>
      <c r="M249" s="57"/>
      <c r="N249" s="57"/>
      <c r="O249" s="57"/>
      <c r="P249" s="57"/>
      <c r="Q249" s="57"/>
    </row>
    <row r="250" spans="11:17" ht="15.75" customHeight="1">
      <c r="K250" s="57"/>
      <c r="L250" s="57"/>
      <c r="M250" s="57"/>
      <c r="N250" s="57"/>
      <c r="O250" s="57"/>
      <c r="P250" s="57"/>
      <c r="Q250" s="57"/>
    </row>
    <row r="251" spans="11:17" ht="15.75" customHeight="1">
      <c r="K251" s="57"/>
      <c r="L251" s="57"/>
      <c r="M251" s="57"/>
      <c r="N251" s="57"/>
      <c r="O251" s="57"/>
      <c r="P251" s="57"/>
      <c r="Q251" s="57"/>
    </row>
    <row r="252" spans="11:17" ht="15.75" customHeight="1">
      <c r="K252" s="57"/>
      <c r="L252" s="57"/>
      <c r="M252" s="57"/>
      <c r="N252" s="57"/>
      <c r="O252" s="57"/>
      <c r="P252" s="57"/>
      <c r="Q252" s="57"/>
    </row>
    <row r="253" spans="11:17" ht="15.75" customHeight="1">
      <c r="K253" s="57"/>
      <c r="L253" s="57"/>
      <c r="M253" s="57"/>
      <c r="N253" s="57"/>
      <c r="O253" s="57"/>
      <c r="P253" s="57"/>
      <c r="Q253" s="57"/>
    </row>
    <row r="254" spans="11:17" ht="15.75" customHeight="1">
      <c r="K254" s="57"/>
      <c r="L254" s="57"/>
      <c r="M254" s="57"/>
      <c r="N254" s="57"/>
      <c r="O254" s="57"/>
      <c r="P254" s="57"/>
      <c r="Q254" s="57"/>
    </row>
    <row r="255" spans="11:17" ht="15.75" customHeight="1">
      <c r="K255" s="57"/>
      <c r="L255" s="57"/>
      <c r="M255" s="57"/>
      <c r="N255" s="57"/>
      <c r="O255" s="57"/>
      <c r="P255" s="57"/>
      <c r="Q255" s="57"/>
    </row>
    <row r="256" spans="11:17" ht="15.75" customHeight="1">
      <c r="K256" s="57"/>
      <c r="L256" s="57"/>
      <c r="M256" s="57"/>
      <c r="N256" s="57"/>
      <c r="O256" s="57"/>
      <c r="P256" s="57"/>
      <c r="Q256" s="57"/>
    </row>
    <row r="257" spans="11:17" ht="15.75" customHeight="1">
      <c r="K257" s="57"/>
      <c r="L257" s="57"/>
      <c r="M257" s="57"/>
      <c r="N257" s="57"/>
      <c r="O257" s="57"/>
      <c r="P257" s="57"/>
      <c r="Q257" s="57"/>
    </row>
    <row r="258" spans="11:17" ht="15.75" customHeight="1">
      <c r="K258" s="57"/>
      <c r="L258" s="57"/>
      <c r="M258" s="57"/>
      <c r="N258" s="57"/>
      <c r="O258" s="57"/>
      <c r="P258" s="57"/>
      <c r="Q258" s="57"/>
    </row>
    <row r="259" spans="11:17" ht="15.75" customHeight="1">
      <c r="K259" s="57"/>
      <c r="L259" s="57"/>
      <c r="M259" s="57"/>
      <c r="N259" s="57"/>
      <c r="O259" s="57"/>
      <c r="P259" s="57"/>
      <c r="Q259" s="57"/>
    </row>
    <row r="260" spans="11:17" ht="15.75" customHeight="1">
      <c r="K260" s="57"/>
      <c r="L260" s="57"/>
      <c r="M260" s="57"/>
      <c r="N260" s="57"/>
      <c r="O260" s="57"/>
      <c r="P260" s="57"/>
      <c r="Q260" s="57"/>
    </row>
    <row r="261" spans="11:17" ht="15.75" customHeight="1">
      <c r="K261" s="57"/>
      <c r="L261" s="57"/>
      <c r="M261" s="57"/>
      <c r="N261" s="57"/>
      <c r="O261" s="57"/>
      <c r="P261" s="57"/>
      <c r="Q261" s="57"/>
    </row>
    <row r="262" spans="11:17" ht="15.75" customHeight="1">
      <c r="K262" s="57"/>
      <c r="L262" s="57"/>
      <c r="M262" s="57"/>
      <c r="N262" s="57"/>
      <c r="O262" s="57"/>
      <c r="P262" s="57"/>
      <c r="Q262" s="57"/>
    </row>
    <row r="263" spans="11:17" ht="15.75" customHeight="1">
      <c r="K263" s="57"/>
      <c r="L263" s="57"/>
      <c r="M263" s="57"/>
      <c r="N263" s="57"/>
      <c r="O263" s="57"/>
      <c r="P263" s="57"/>
      <c r="Q263" s="57"/>
    </row>
    <row r="264" spans="11:17" ht="15.75" customHeight="1">
      <c r="K264" s="57"/>
      <c r="L264" s="57"/>
      <c r="M264" s="57"/>
      <c r="N264" s="57"/>
      <c r="O264" s="57"/>
      <c r="P264" s="57"/>
      <c r="Q264" s="57"/>
    </row>
    <row r="265" spans="11:17" ht="15.75" customHeight="1">
      <c r="K265" s="57"/>
      <c r="L265" s="57"/>
      <c r="M265" s="57"/>
      <c r="N265" s="57"/>
      <c r="O265" s="57"/>
      <c r="P265" s="57"/>
      <c r="Q265" s="57"/>
    </row>
    <row r="266" spans="11:17" ht="15.75" customHeight="1">
      <c r="K266" s="57"/>
      <c r="L266" s="57"/>
      <c r="M266" s="57"/>
      <c r="N266" s="57"/>
      <c r="O266" s="57"/>
      <c r="P266" s="57"/>
      <c r="Q266" s="57"/>
    </row>
    <row r="267" spans="11:17" ht="15.75" customHeight="1">
      <c r="K267" s="57"/>
      <c r="L267" s="57"/>
      <c r="M267" s="57"/>
      <c r="N267" s="57"/>
      <c r="O267" s="57"/>
      <c r="P267" s="57"/>
      <c r="Q267" s="57"/>
    </row>
    <row r="268" spans="11:17" ht="15.75" customHeight="1">
      <c r="K268" s="57"/>
      <c r="L268" s="57"/>
      <c r="M268" s="57"/>
      <c r="N268" s="57"/>
      <c r="O268" s="57"/>
      <c r="P268" s="57"/>
      <c r="Q268" s="57"/>
    </row>
    <row r="269" spans="11:17" ht="15.75" customHeight="1">
      <c r="K269" s="57"/>
      <c r="L269" s="57"/>
      <c r="M269" s="57"/>
      <c r="N269" s="57"/>
      <c r="O269" s="57"/>
      <c r="P269" s="57"/>
      <c r="Q269" s="57"/>
    </row>
    <row r="270" spans="11:17" ht="15.75" customHeight="1">
      <c r="K270" s="57"/>
      <c r="L270" s="57"/>
      <c r="M270" s="57"/>
      <c r="N270" s="57"/>
      <c r="O270" s="57"/>
      <c r="P270" s="57"/>
      <c r="Q270" s="57"/>
    </row>
    <row r="271" spans="11:17" ht="15.75" customHeight="1">
      <c r="K271" s="57"/>
      <c r="L271" s="57"/>
      <c r="M271" s="57"/>
      <c r="N271" s="57"/>
      <c r="O271" s="57"/>
      <c r="P271" s="57"/>
      <c r="Q271" s="57"/>
    </row>
    <row r="272" spans="11:17" ht="15.75" customHeight="1">
      <c r="K272" s="57"/>
      <c r="L272" s="57"/>
      <c r="M272" s="57"/>
      <c r="N272" s="57"/>
      <c r="O272" s="57"/>
      <c r="P272" s="57"/>
      <c r="Q272" s="57"/>
    </row>
    <row r="273" spans="11:17" ht="15.75" customHeight="1">
      <c r="K273" s="57"/>
      <c r="L273" s="57"/>
      <c r="M273" s="57"/>
      <c r="N273" s="57"/>
      <c r="O273" s="57"/>
      <c r="P273" s="57"/>
      <c r="Q273" s="57"/>
    </row>
    <row r="274" spans="11:17" ht="15.75" customHeight="1">
      <c r="K274" s="57"/>
      <c r="L274" s="57"/>
      <c r="M274" s="57"/>
      <c r="N274" s="57"/>
      <c r="O274" s="57"/>
      <c r="P274" s="57"/>
      <c r="Q274" s="57"/>
    </row>
    <row r="275" spans="11:17" ht="15.75" customHeight="1">
      <c r="K275" s="57"/>
      <c r="L275" s="57"/>
      <c r="M275" s="57"/>
      <c r="N275" s="57"/>
      <c r="O275" s="57"/>
      <c r="P275" s="57"/>
      <c r="Q275" s="57"/>
    </row>
    <row r="276" spans="11:17" ht="15.75" customHeight="1">
      <c r="K276" s="57"/>
      <c r="L276" s="57"/>
      <c r="M276" s="57"/>
      <c r="N276" s="57"/>
      <c r="O276" s="57"/>
      <c r="P276" s="57"/>
      <c r="Q276" s="57"/>
    </row>
    <row r="277" spans="11:17" ht="15.75" customHeight="1">
      <c r="K277" s="57"/>
      <c r="L277" s="57"/>
      <c r="M277" s="57"/>
      <c r="N277" s="57"/>
      <c r="O277" s="57"/>
      <c r="P277" s="57"/>
      <c r="Q277" s="57"/>
    </row>
    <row r="278" spans="11:17" ht="15.75" customHeight="1">
      <c r="K278" s="57"/>
      <c r="L278" s="57"/>
      <c r="M278" s="57"/>
      <c r="N278" s="57"/>
      <c r="O278" s="57"/>
      <c r="P278" s="57"/>
      <c r="Q278" s="57"/>
    </row>
    <row r="279" spans="11:17" ht="15.75" customHeight="1">
      <c r="K279" s="57"/>
      <c r="L279" s="57"/>
      <c r="M279" s="57"/>
      <c r="N279" s="57"/>
      <c r="O279" s="57"/>
      <c r="P279" s="57"/>
      <c r="Q279" s="57"/>
    </row>
    <row r="280" spans="11:17" ht="15.75" customHeight="1">
      <c r="K280" s="57"/>
      <c r="L280" s="57"/>
      <c r="M280" s="57"/>
      <c r="N280" s="57"/>
      <c r="O280" s="57"/>
      <c r="P280" s="57"/>
      <c r="Q280" s="57"/>
    </row>
    <row r="281" spans="11:17" ht="15.75" customHeight="1">
      <c r="K281" s="57"/>
      <c r="L281" s="57"/>
      <c r="M281" s="57"/>
      <c r="N281" s="57"/>
      <c r="O281" s="57"/>
      <c r="P281" s="57"/>
      <c r="Q281" s="57"/>
    </row>
    <row r="282" spans="11:17" ht="15.75" customHeight="1">
      <c r="K282" s="57"/>
      <c r="L282" s="57"/>
      <c r="M282" s="57"/>
      <c r="N282" s="57"/>
      <c r="O282" s="57"/>
      <c r="P282" s="57"/>
      <c r="Q282" s="57"/>
    </row>
    <row r="283" spans="11:17" ht="15.75" customHeight="1">
      <c r="K283" s="57"/>
      <c r="L283" s="57"/>
      <c r="M283" s="57"/>
      <c r="N283" s="57"/>
      <c r="O283" s="57"/>
      <c r="P283" s="57"/>
      <c r="Q283" s="57"/>
    </row>
    <row r="284" spans="11:17" ht="15.75" customHeight="1">
      <c r="K284" s="57"/>
      <c r="L284" s="57"/>
      <c r="M284" s="57"/>
      <c r="N284" s="57"/>
      <c r="O284" s="57"/>
      <c r="P284" s="57"/>
      <c r="Q284" s="57"/>
    </row>
    <row r="285" spans="11:17" ht="15.75" customHeight="1">
      <c r="K285" s="57"/>
      <c r="L285" s="57"/>
      <c r="M285" s="57"/>
      <c r="N285" s="57"/>
      <c r="O285" s="57"/>
      <c r="P285" s="57"/>
      <c r="Q285" s="57"/>
    </row>
    <row r="286" spans="11:17" ht="15.75" customHeight="1">
      <c r="K286" s="57"/>
      <c r="L286" s="57"/>
      <c r="M286" s="57"/>
      <c r="N286" s="57"/>
      <c r="O286" s="57"/>
      <c r="P286" s="57"/>
      <c r="Q286" s="57"/>
    </row>
    <row r="287" spans="11:17" ht="15.75" customHeight="1">
      <c r="K287" s="57"/>
      <c r="L287" s="57"/>
      <c r="M287" s="57"/>
      <c r="N287" s="57"/>
      <c r="O287" s="57"/>
      <c r="P287" s="57"/>
      <c r="Q287" s="57"/>
    </row>
    <row r="288" spans="11:17" ht="15.75" customHeight="1">
      <c r="K288" s="57"/>
      <c r="L288" s="57"/>
      <c r="M288" s="57"/>
      <c r="N288" s="57"/>
      <c r="O288" s="57"/>
      <c r="P288" s="57"/>
      <c r="Q288" s="57"/>
    </row>
    <row r="289" spans="11:17" ht="15.75" customHeight="1">
      <c r="K289" s="57"/>
      <c r="L289" s="57"/>
      <c r="M289" s="57"/>
      <c r="N289" s="57"/>
      <c r="O289" s="57"/>
      <c r="P289" s="57"/>
      <c r="Q289" s="57"/>
    </row>
    <row r="290" spans="11:17" ht="15.75" customHeight="1">
      <c r="K290" s="57"/>
      <c r="L290" s="57"/>
      <c r="M290" s="57"/>
      <c r="N290" s="57"/>
      <c r="O290" s="57"/>
      <c r="P290" s="57"/>
      <c r="Q290" s="57"/>
    </row>
    <row r="291" spans="11:17" ht="15.75" customHeight="1">
      <c r="K291" s="57"/>
      <c r="L291" s="57"/>
      <c r="M291" s="57"/>
      <c r="N291" s="57"/>
      <c r="O291" s="57"/>
      <c r="P291" s="57"/>
      <c r="Q291" s="57"/>
    </row>
    <row r="292" spans="11:17" ht="15.75" customHeight="1">
      <c r="K292" s="57"/>
      <c r="L292" s="57"/>
      <c r="M292" s="57"/>
      <c r="N292" s="57"/>
      <c r="O292" s="57"/>
      <c r="P292" s="57"/>
      <c r="Q292" s="57"/>
    </row>
    <row r="293" spans="11:17" ht="15.75" customHeight="1">
      <c r="K293" s="57"/>
      <c r="L293" s="57"/>
      <c r="M293" s="57"/>
      <c r="N293" s="57"/>
      <c r="O293" s="57"/>
      <c r="P293" s="57"/>
      <c r="Q293" s="57"/>
    </row>
    <row r="294" spans="11:17" ht="15.75" customHeight="1">
      <c r="K294" s="57"/>
      <c r="L294" s="57"/>
      <c r="M294" s="57"/>
      <c r="N294" s="57"/>
      <c r="O294" s="57"/>
      <c r="P294" s="57"/>
      <c r="Q294" s="57"/>
    </row>
    <row r="295" spans="11:17" ht="15.75" customHeight="1">
      <c r="K295" s="57"/>
      <c r="L295" s="57"/>
      <c r="M295" s="57"/>
      <c r="N295" s="57"/>
      <c r="O295" s="57"/>
      <c r="P295" s="57"/>
      <c r="Q295" s="57"/>
    </row>
    <row r="296" spans="11:17" ht="15.75" customHeight="1">
      <c r="K296" s="57"/>
      <c r="L296" s="57"/>
      <c r="M296" s="57"/>
      <c r="N296" s="57"/>
      <c r="O296" s="57"/>
      <c r="P296" s="57"/>
      <c r="Q296" s="57"/>
    </row>
    <row r="297" spans="11:17" ht="15.75" customHeight="1">
      <c r="K297" s="57"/>
      <c r="L297" s="57"/>
      <c r="M297" s="57"/>
      <c r="N297" s="57"/>
      <c r="O297" s="57"/>
      <c r="P297" s="57"/>
      <c r="Q297" s="57"/>
    </row>
    <row r="298" spans="11:17" ht="15.75" customHeight="1">
      <c r="K298" s="57"/>
      <c r="L298" s="57"/>
      <c r="M298" s="57"/>
      <c r="N298" s="57"/>
      <c r="O298" s="57"/>
      <c r="P298" s="57"/>
      <c r="Q298" s="57"/>
    </row>
    <row r="299" spans="11:17" ht="15.75" customHeight="1">
      <c r="K299" s="57"/>
      <c r="L299" s="57"/>
      <c r="M299" s="57"/>
      <c r="N299" s="57"/>
      <c r="O299" s="57"/>
      <c r="P299" s="57"/>
      <c r="Q299" s="57"/>
    </row>
    <row r="300" spans="11:17" ht="15.75" customHeight="1">
      <c r="K300" s="57"/>
      <c r="L300" s="57"/>
      <c r="M300" s="57"/>
      <c r="N300" s="57"/>
      <c r="O300" s="57"/>
      <c r="P300" s="57"/>
      <c r="Q300" s="57"/>
    </row>
    <row r="301" spans="11:17" ht="15.75" customHeight="1">
      <c r="K301" s="57"/>
      <c r="L301" s="57"/>
      <c r="M301" s="57"/>
      <c r="N301" s="57"/>
      <c r="O301" s="57"/>
      <c r="P301" s="57"/>
      <c r="Q301" s="57"/>
    </row>
    <row r="302" spans="11:17" ht="15.75" customHeight="1">
      <c r="K302" s="57"/>
      <c r="L302" s="57"/>
      <c r="M302" s="57"/>
      <c r="N302" s="57"/>
      <c r="O302" s="57"/>
      <c r="P302" s="57"/>
      <c r="Q302" s="57"/>
    </row>
    <row r="303" spans="11:17" ht="15.75" customHeight="1">
      <c r="K303" s="57"/>
      <c r="L303" s="57"/>
      <c r="M303" s="57"/>
      <c r="N303" s="57"/>
      <c r="O303" s="57"/>
      <c r="P303" s="57"/>
      <c r="Q303" s="57"/>
    </row>
    <row r="304" spans="11:17" ht="15.75" customHeight="1">
      <c r="K304" s="57"/>
      <c r="L304" s="57"/>
      <c r="M304" s="57"/>
      <c r="N304" s="57"/>
      <c r="O304" s="57"/>
      <c r="P304" s="57"/>
      <c r="Q304" s="57"/>
    </row>
    <row r="305" spans="11:17" ht="15.75" customHeight="1">
      <c r="K305" s="57"/>
      <c r="L305" s="57"/>
      <c r="M305" s="57"/>
      <c r="N305" s="57"/>
      <c r="O305" s="57"/>
      <c r="P305" s="57"/>
      <c r="Q305" s="57"/>
    </row>
    <row r="306" spans="11:17" ht="15.75" customHeight="1">
      <c r="K306" s="57"/>
      <c r="L306" s="57"/>
      <c r="M306" s="57"/>
      <c r="N306" s="57"/>
      <c r="O306" s="57"/>
      <c r="P306" s="57"/>
      <c r="Q306" s="57"/>
    </row>
    <row r="307" spans="11:17" ht="15.75" customHeight="1">
      <c r="K307" s="57"/>
      <c r="L307" s="57"/>
      <c r="M307" s="57"/>
      <c r="N307" s="57"/>
      <c r="O307" s="57"/>
      <c r="P307" s="57"/>
      <c r="Q307" s="57"/>
    </row>
    <row r="308" spans="11:17" ht="15.75" customHeight="1">
      <c r="K308" s="57"/>
      <c r="L308" s="57"/>
      <c r="M308" s="57"/>
      <c r="N308" s="57"/>
      <c r="O308" s="57"/>
      <c r="P308" s="57"/>
      <c r="Q308" s="57"/>
    </row>
    <row r="309" spans="11:17" ht="15.75" customHeight="1">
      <c r="K309" s="57"/>
      <c r="L309" s="57"/>
      <c r="M309" s="57"/>
      <c r="N309" s="57"/>
      <c r="O309" s="57"/>
      <c r="P309" s="57"/>
      <c r="Q309" s="57"/>
    </row>
    <row r="310" spans="11:17" ht="15.75" customHeight="1">
      <c r="K310" s="57"/>
      <c r="L310" s="57"/>
      <c r="M310" s="57"/>
      <c r="N310" s="57"/>
      <c r="O310" s="57"/>
      <c r="P310" s="57"/>
      <c r="Q310" s="57"/>
    </row>
    <row r="311" spans="11:17" ht="15.75" customHeight="1">
      <c r="K311" s="57"/>
      <c r="L311" s="57"/>
      <c r="M311" s="57"/>
      <c r="N311" s="57"/>
      <c r="O311" s="57"/>
      <c r="P311" s="57"/>
      <c r="Q311" s="57"/>
    </row>
    <row r="312" spans="11:17" ht="15.75" customHeight="1">
      <c r="K312" s="57"/>
      <c r="L312" s="57"/>
      <c r="M312" s="57"/>
      <c r="N312" s="57"/>
      <c r="O312" s="57"/>
      <c r="P312" s="57"/>
      <c r="Q312" s="57"/>
    </row>
    <row r="313" spans="11:17" ht="15.75" customHeight="1">
      <c r="K313" s="57"/>
      <c r="L313" s="57"/>
      <c r="M313" s="57"/>
      <c r="N313" s="57"/>
      <c r="O313" s="57"/>
      <c r="P313" s="57"/>
      <c r="Q313" s="57"/>
    </row>
    <row r="314" spans="11:17" ht="15.75" customHeight="1">
      <c r="K314" s="57"/>
      <c r="L314" s="57"/>
      <c r="M314" s="57"/>
      <c r="N314" s="57"/>
      <c r="O314" s="57"/>
      <c r="P314" s="57"/>
      <c r="Q314" s="57"/>
    </row>
    <row r="315" spans="11:17" ht="15.75" customHeight="1">
      <c r="K315" s="57"/>
      <c r="L315" s="57"/>
      <c r="M315" s="57"/>
      <c r="N315" s="57"/>
      <c r="O315" s="57"/>
      <c r="P315" s="57"/>
      <c r="Q315" s="57"/>
    </row>
    <row r="316" spans="11:17" ht="15.75" customHeight="1">
      <c r="K316" s="57"/>
      <c r="L316" s="57"/>
      <c r="M316" s="57"/>
      <c r="N316" s="57"/>
      <c r="O316" s="57"/>
      <c r="P316" s="57"/>
      <c r="Q316" s="57"/>
    </row>
    <row r="317" spans="11:17" ht="15.75" customHeight="1">
      <c r="K317" s="57"/>
      <c r="L317" s="57"/>
      <c r="M317" s="57"/>
      <c r="N317" s="57"/>
      <c r="O317" s="57"/>
      <c r="P317" s="57"/>
      <c r="Q317" s="57"/>
    </row>
    <row r="318" spans="11:17" ht="15.75" customHeight="1">
      <c r="K318" s="57"/>
      <c r="L318" s="57"/>
      <c r="M318" s="57"/>
      <c r="N318" s="57"/>
      <c r="O318" s="57"/>
      <c r="P318" s="57"/>
      <c r="Q318" s="57"/>
    </row>
    <row r="319" spans="11:17" ht="15.75" customHeight="1">
      <c r="K319" s="57"/>
      <c r="L319" s="57"/>
      <c r="M319" s="57"/>
      <c r="N319" s="57"/>
      <c r="O319" s="57"/>
      <c r="P319" s="57"/>
      <c r="Q319" s="57"/>
    </row>
    <row r="320" spans="11:17" ht="15.75" customHeight="1">
      <c r="K320" s="57"/>
      <c r="L320" s="57"/>
      <c r="M320" s="57"/>
      <c r="N320" s="57"/>
      <c r="O320" s="57"/>
      <c r="P320" s="57"/>
      <c r="Q320" s="57"/>
    </row>
    <row r="321" spans="11:17" ht="15.75" customHeight="1">
      <c r="K321" s="57"/>
      <c r="L321" s="57"/>
      <c r="M321" s="57"/>
      <c r="N321" s="57"/>
      <c r="O321" s="57"/>
      <c r="P321" s="57"/>
      <c r="Q321" s="57"/>
    </row>
    <row r="322" spans="11:17" ht="15.75" customHeight="1">
      <c r="K322" s="57"/>
      <c r="L322" s="57"/>
      <c r="M322" s="57"/>
      <c r="N322" s="57"/>
      <c r="O322" s="57"/>
      <c r="P322" s="57"/>
      <c r="Q322" s="57"/>
    </row>
    <row r="323" spans="11:17" ht="15.75" customHeight="1">
      <c r="K323" s="57"/>
      <c r="L323" s="57"/>
      <c r="M323" s="57"/>
      <c r="N323" s="57"/>
      <c r="O323" s="57"/>
      <c r="P323" s="57"/>
      <c r="Q323" s="57"/>
    </row>
    <row r="324" spans="11:17" ht="15.75" customHeight="1">
      <c r="K324" s="57"/>
      <c r="L324" s="57"/>
      <c r="M324" s="57"/>
      <c r="N324" s="57"/>
      <c r="O324" s="57"/>
      <c r="P324" s="57"/>
      <c r="Q324" s="57"/>
    </row>
    <row r="325" spans="11:17" ht="15.75" customHeight="1">
      <c r="K325" s="57"/>
      <c r="L325" s="57"/>
      <c r="M325" s="57"/>
      <c r="N325" s="57"/>
      <c r="O325" s="57"/>
      <c r="P325" s="57"/>
      <c r="Q325" s="57"/>
    </row>
    <row r="326" spans="11:17" ht="15.75" customHeight="1">
      <c r="K326" s="57"/>
      <c r="L326" s="57"/>
      <c r="M326" s="57"/>
      <c r="N326" s="57"/>
      <c r="O326" s="57"/>
      <c r="P326" s="57"/>
      <c r="Q326" s="57"/>
    </row>
    <row r="327" spans="11:17" ht="15.75" customHeight="1">
      <c r="K327" s="57"/>
      <c r="L327" s="57"/>
      <c r="M327" s="57"/>
      <c r="N327" s="57"/>
      <c r="O327" s="57"/>
      <c r="P327" s="57"/>
      <c r="Q327" s="57"/>
    </row>
    <row r="328" spans="11:17" ht="15.75" customHeight="1">
      <c r="K328" s="57"/>
      <c r="L328" s="57"/>
      <c r="M328" s="57"/>
      <c r="N328" s="57"/>
      <c r="O328" s="57"/>
      <c r="P328" s="57"/>
      <c r="Q328" s="57"/>
    </row>
    <row r="329" spans="11:17" ht="15.75" customHeight="1">
      <c r="K329" s="57"/>
      <c r="L329" s="57"/>
      <c r="M329" s="57"/>
      <c r="N329" s="57"/>
      <c r="O329" s="57"/>
      <c r="P329" s="57"/>
      <c r="Q329" s="57"/>
    </row>
    <row r="330" spans="11:17" ht="15.75" customHeight="1">
      <c r="K330" s="57"/>
      <c r="L330" s="57"/>
      <c r="M330" s="57"/>
      <c r="N330" s="57"/>
      <c r="O330" s="57"/>
      <c r="P330" s="57"/>
      <c r="Q330" s="57"/>
    </row>
    <row r="331" spans="11:17" ht="15.75" customHeight="1">
      <c r="K331" s="57"/>
      <c r="L331" s="57"/>
      <c r="M331" s="57"/>
      <c r="N331" s="57"/>
      <c r="O331" s="57"/>
      <c r="P331" s="57"/>
      <c r="Q331" s="57"/>
    </row>
    <row r="332" spans="11:17" ht="15.75" customHeight="1">
      <c r="K332" s="57"/>
      <c r="L332" s="57"/>
      <c r="M332" s="57"/>
      <c r="N332" s="57"/>
      <c r="O332" s="57"/>
      <c r="P332" s="57"/>
      <c r="Q332" s="57"/>
    </row>
    <row r="333" spans="11:17" ht="15.75" customHeight="1">
      <c r="K333" s="57"/>
      <c r="L333" s="57"/>
      <c r="M333" s="57"/>
      <c r="N333" s="57"/>
      <c r="O333" s="57"/>
      <c r="P333" s="57"/>
      <c r="Q333" s="57"/>
    </row>
    <row r="334" spans="11:17" ht="15.75" customHeight="1">
      <c r="K334" s="57"/>
      <c r="L334" s="57"/>
      <c r="M334" s="57"/>
      <c r="N334" s="57"/>
      <c r="O334" s="57"/>
      <c r="P334" s="57"/>
      <c r="Q334" s="57"/>
    </row>
    <row r="335" spans="11:17" ht="15.75" customHeight="1">
      <c r="K335" s="57"/>
      <c r="L335" s="57"/>
      <c r="M335" s="57"/>
      <c r="N335" s="57"/>
      <c r="O335" s="57"/>
      <c r="P335" s="57"/>
      <c r="Q335" s="57"/>
    </row>
    <row r="336" spans="11:17" ht="15.75" customHeight="1">
      <c r="K336" s="57"/>
      <c r="L336" s="57"/>
      <c r="M336" s="57"/>
      <c r="N336" s="57"/>
      <c r="O336" s="57"/>
      <c r="P336" s="57"/>
      <c r="Q336" s="57"/>
    </row>
    <row r="337" spans="11:17" ht="15.75" customHeight="1">
      <c r="K337" s="57"/>
      <c r="L337" s="57"/>
      <c r="M337" s="57"/>
      <c r="N337" s="57"/>
      <c r="O337" s="57"/>
      <c r="P337" s="57"/>
      <c r="Q337" s="57"/>
    </row>
    <row r="338" spans="11:17" ht="15.75" customHeight="1">
      <c r="K338" s="57"/>
      <c r="L338" s="57"/>
      <c r="M338" s="57"/>
      <c r="N338" s="57"/>
      <c r="O338" s="57"/>
      <c r="P338" s="57"/>
      <c r="Q338" s="57"/>
    </row>
    <row r="339" spans="11:17" ht="15.75" customHeight="1">
      <c r="K339" s="57"/>
      <c r="L339" s="57"/>
      <c r="M339" s="57"/>
      <c r="N339" s="57"/>
      <c r="O339" s="57"/>
      <c r="P339" s="57"/>
      <c r="Q339" s="57"/>
    </row>
    <row r="340" spans="11:17" ht="15.75" customHeight="1">
      <c r="K340" s="57"/>
      <c r="L340" s="57"/>
      <c r="M340" s="57"/>
      <c r="N340" s="57"/>
      <c r="O340" s="57"/>
      <c r="P340" s="57"/>
      <c r="Q340" s="57"/>
    </row>
    <row r="341" spans="11:17" ht="15.75" customHeight="1">
      <c r="K341" s="57"/>
      <c r="L341" s="57"/>
      <c r="M341" s="57"/>
      <c r="N341" s="57"/>
      <c r="O341" s="57"/>
      <c r="P341" s="57"/>
      <c r="Q341" s="57"/>
    </row>
    <row r="342" spans="11:17" ht="15.75" customHeight="1">
      <c r="K342" s="57"/>
      <c r="L342" s="57"/>
      <c r="M342" s="57"/>
      <c r="N342" s="57"/>
      <c r="O342" s="57"/>
      <c r="P342" s="57"/>
      <c r="Q342" s="57"/>
    </row>
    <row r="343" spans="11:17" ht="15.75" customHeight="1">
      <c r="K343" s="57"/>
      <c r="L343" s="57"/>
      <c r="M343" s="57"/>
      <c r="N343" s="57"/>
      <c r="O343" s="57"/>
      <c r="P343" s="57"/>
      <c r="Q343" s="57"/>
    </row>
    <row r="344" spans="11:17" ht="15.75" customHeight="1">
      <c r="K344" s="57"/>
      <c r="L344" s="57"/>
      <c r="M344" s="57"/>
      <c r="N344" s="57"/>
      <c r="O344" s="57"/>
      <c r="P344" s="57"/>
      <c r="Q344" s="57"/>
    </row>
    <row r="345" spans="11:17" ht="15.75" customHeight="1">
      <c r="K345" s="57"/>
      <c r="L345" s="57"/>
      <c r="M345" s="57"/>
      <c r="N345" s="57"/>
      <c r="O345" s="57"/>
      <c r="P345" s="57"/>
      <c r="Q345" s="57"/>
    </row>
    <row r="346" spans="11:17" ht="15.75" customHeight="1">
      <c r="K346" s="57"/>
      <c r="L346" s="57"/>
      <c r="M346" s="57"/>
      <c r="N346" s="57"/>
      <c r="O346" s="57"/>
      <c r="P346" s="57"/>
      <c r="Q346" s="57"/>
    </row>
    <row r="347" spans="11:17" ht="15.75" customHeight="1">
      <c r="K347" s="57"/>
      <c r="L347" s="57"/>
      <c r="M347" s="57"/>
      <c r="N347" s="57"/>
      <c r="O347" s="57"/>
      <c r="P347" s="57"/>
      <c r="Q347" s="57"/>
    </row>
    <row r="348" spans="11:17" ht="15.75" customHeight="1">
      <c r="K348" s="57"/>
      <c r="L348" s="57"/>
      <c r="M348" s="57"/>
      <c r="N348" s="57"/>
      <c r="O348" s="57"/>
      <c r="P348" s="57"/>
      <c r="Q348" s="57"/>
    </row>
    <row r="349" spans="11:17" ht="15.75" customHeight="1">
      <c r="K349" s="57"/>
      <c r="L349" s="57"/>
      <c r="M349" s="57"/>
      <c r="N349" s="57"/>
      <c r="O349" s="57"/>
      <c r="P349" s="57"/>
      <c r="Q349" s="57"/>
    </row>
    <row r="350" spans="11:17" ht="15.75" customHeight="1">
      <c r="K350" s="57"/>
      <c r="L350" s="57"/>
      <c r="M350" s="57"/>
      <c r="N350" s="57"/>
      <c r="O350" s="57"/>
      <c r="P350" s="57"/>
      <c r="Q350" s="57"/>
    </row>
    <row r="351" spans="11:17" ht="15.75" customHeight="1">
      <c r="K351" s="57"/>
      <c r="L351" s="57"/>
      <c r="M351" s="57"/>
      <c r="N351" s="57"/>
      <c r="O351" s="57"/>
      <c r="P351" s="57"/>
      <c r="Q351" s="57"/>
    </row>
    <row r="352" spans="11:17" ht="15.75" customHeight="1">
      <c r="K352" s="57"/>
      <c r="L352" s="57"/>
      <c r="M352" s="57"/>
      <c r="N352" s="57"/>
      <c r="O352" s="57"/>
      <c r="P352" s="57"/>
      <c r="Q352" s="57"/>
    </row>
    <row r="353" spans="11:17" ht="15.75" customHeight="1">
      <c r="K353" s="57"/>
      <c r="L353" s="57"/>
      <c r="M353" s="57"/>
      <c r="N353" s="57"/>
      <c r="O353" s="57"/>
      <c r="P353" s="57"/>
      <c r="Q353" s="57"/>
    </row>
    <row r="354" spans="11:17" ht="15.75" customHeight="1">
      <c r="K354" s="57"/>
      <c r="L354" s="57"/>
      <c r="M354" s="57"/>
      <c r="N354" s="57"/>
      <c r="O354" s="57"/>
      <c r="P354" s="57"/>
      <c r="Q354" s="57"/>
    </row>
    <row r="355" spans="11:17" ht="15.75" customHeight="1">
      <c r="K355" s="57"/>
      <c r="L355" s="57"/>
      <c r="M355" s="57"/>
      <c r="N355" s="57"/>
      <c r="O355" s="57"/>
      <c r="P355" s="57"/>
      <c r="Q355" s="57"/>
    </row>
    <row r="356" spans="11:17" ht="15.75" customHeight="1">
      <c r="K356" s="57"/>
      <c r="L356" s="57"/>
      <c r="M356" s="57"/>
      <c r="N356" s="57"/>
      <c r="O356" s="57"/>
      <c r="P356" s="57"/>
      <c r="Q356" s="57"/>
    </row>
    <row r="357" spans="11:17" ht="15.75" customHeight="1">
      <c r="K357" s="57"/>
      <c r="L357" s="57"/>
      <c r="M357" s="57"/>
      <c r="N357" s="57"/>
      <c r="O357" s="57"/>
      <c r="P357" s="57"/>
      <c r="Q357" s="57"/>
    </row>
    <row r="358" spans="11:17" ht="15.75" customHeight="1">
      <c r="K358" s="57"/>
      <c r="L358" s="57"/>
      <c r="M358" s="57"/>
      <c r="N358" s="57"/>
      <c r="O358" s="57"/>
      <c r="P358" s="57"/>
      <c r="Q358" s="57"/>
    </row>
    <row r="359" spans="11:17" ht="15.75" customHeight="1">
      <c r="K359" s="57"/>
      <c r="L359" s="57"/>
      <c r="M359" s="57"/>
      <c r="N359" s="57"/>
      <c r="O359" s="57"/>
      <c r="P359" s="57"/>
      <c r="Q359" s="57"/>
    </row>
    <row r="360" spans="11:17" ht="15.75" customHeight="1">
      <c r="K360" s="57"/>
      <c r="L360" s="57"/>
      <c r="M360" s="57"/>
      <c r="N360" s="57"/>
      <c r="O360" s="57"/>
      <c r="P360" s="57"/>
      <c r="Q360" s="57"/>
    </row>
    <row r="361" spans="11:17" ht="15.75" customHeight="1">
      <c r="K361" s="57"/>
      <c r="L361" s="57"/>
      <c r="M361" s="57"/>
      <c r="N361" s="57"/>
      <c r="O361" s="57"/>
      <c r="P361" s="57"/>
      <c r="Q361" s="57"/>
    </row>
    <row r="362" spans="11:17" ht="15.75" customHeight="1">
      <c r="K362" s="57"/>
      <c r="L362" s="57"/>
      <c r="M362" s="57"/>
      <c r="N362" s="57"/>
      <c r="O362" s="57"/>
      <c r="P362" s="57"/>
      <c r="Q362" s="57"/>
    </row>
    <row r="363" spans="11:17" ht="15.75" customHeight="1">
      <c r="K363" s="57"/>
      <c r="L363" s="57"/>
      <c r="M363" s="57"/>
      <c r="N363" s="57"/>
      <c r="O363" s="57"/>
      <c r="P363" s="57"/>
      <c r="Q363" s="57"/>
    </row>
    <row r="364" spans="11:17" ht="15.75" customHeight="1">
      <c r="K364" s="57"/>
      <c r="L364" s="57"/>
      <c r="M364" s="57"/>
      <c r="N364" s="57"/>
      <c r="O364" s="57"/>
      <c r="P364" s="57"/>
      <c r="Q364" s="57"/>
    </row>
    <row r="365" spans="11:17" ht="15.75" customHeight="1">
      <c r="K365" s="57"/>
      <c r="L365" s="57"/>
      <c r="M365" s="57"/>
      <c r="N365" s="57"/>
      <c r="O365" s="57"/>
      <c r="P365" s="57"/>
      <c r="Q365" s="57"/>
    </row>
    <row r="366" spans="11:17" ht="15.75" customHeight="1">
      <c r="K366" s="57"/>
      <c r="L366" s="57"/>
      <c r="M366" s="57"/>
      <c r="N366" s="57"/>
      <c r="O366" s="57"/>
      <c r="P366" s="57"/>
      <c r="Q366" s="57"/>
    </row>
    <row r="367" spans="11:17" ht="15.75" customHeight="1">
      <c r="K367" s="57"/>
      <c r="L367" s="57"/>
      <c r="M367" s="57"/>
      <c r="N367" s="57"/>
      <c r="O367" s="57"/>
      <c r="P367" s="57"/>
      <c r="Q367" s="57"/>
    </row>
    <row r="368" spans="11:17" ht="15.75" customHeight="1">
      <c r="K368" s="57"/>
      <c r="L368" s="57"/>
      <c r="M368" s="57"/>
      <c r="N368" s="57"/>
      <c r="O368" s="57"/>
      <c r="P368" s="57"/>
      <c r="Q368" s="57"/>
    </row>
    <row r="369" spans="11:17" ht="15.75" customHeight="1">
      <c r="K369" s="57"/>
      <c r="L369" s="57"/>
      <c r="M369" s="57"/>
      <c r="N369" s="57"/>
      <c r="O369" s="57"/>
      <c r="P369" s="57"/>
      <c r="Q369" s="57"/>
    </row>
    <row r="370" spans="11:17" ht="15.75" customHeight="1">
      <c r="K370" s="57"/>
      <c r="L370" s="57"/>
      <c r="M370" s="57"/>
      <c r="N370" s="57"/>
      <c r="O370" s="57"/>
      <c r="P370" s="57"/>
      <c r="Q370" s="57"/>
    </row>
    <row r="371" spans="11:17" ht="15.75" customHeight="1">
      <c r="K371" s="57"/>
      <c r="L371" s="57"/>
      <c r="M371" s="57"/>
      <c r="N371" s="57"/>
      <c r="O371" s="57"/>
      <c r="P371" s="57"/>
      <c r="Q371" s="57"/>
    </row>
    <row r="372" spans="11:17" ht="15.75" customHeight="1">
      <c r="K372" s="57"/>
      <c r="L372" s="57"/>
      <c r="M372" s="57"/>
      <c r="N372" s="57"/>
      <c r="O372" s="57"/>
      <c r="P372" s="57"/>
      <c r="Q372" s="57"/>
    </row>
    <row r="373" spans="11:17" ht="15.75" customHeight="1">
      <c r="K373" s="57"/>
      <c r="L373" s="57"/>
      <c r="M373" s="57"/>
      <c r="N373" s="57"/>
      <c r="O373" s="57"/>
      <c r="P373" s="57"/>
      <c r="Q373" s="57"/>
    </row>
    <row r="374" spans="11:17" ht="15.75" customHeight="1">
      <c r="K374" s="57"/>
      <c r="L374" s="57"/>
      <c r="M374" s="57"/>
      <c r="N374" s="57"/>
      <c r="O374" s="57"/>
      <c r="P374" s="57"/>
      <c r="Q374" s="57"/>
    </row>
    <row r="375" spans="11:17" ht="15.75" customHeight="1">
      <c r="K375" s="57"/>
      <c r="L375" s="57"/>
      <c r="M375" s="57"/>
      <c r="N375" s="57"/>
      <c r="O375" s="57"/>
      <c r="P375" s="57"/>
      <c r="Q375" s="57"/>
    </row>
    <row r="376" spans="11:17" ht="15.75" customHeight="1">
      <c r="K376" s="57"/>
      <c r="L376" s="57"/>
      <c r="M376" s="57"/>
      <c r="N376" s="57"/>
      <c r="O376" s="57"/>
      <c r="P376" s="57"/>
      <c r="Q376" s="57"/>
    </row>
    <row r="377" spans="11:17" ht="15.75" customHeight="1">
      <c r="K377" s="57"/>
      <c r="L377" s="57"/>
      <c r="M377" s="57"/>
      <c r="N377" s="57"/>
      <c r="O377" s="57"/>
      <c r="P377" s="57"/>
      <c r="Q377" s="57"/>
    </row>
    <row r="378" spans="11:17" ht="15.75" customHeight="1">
      <c r="K378" s="57"/>
      <c r="L378" s="57"/>
      <c r="M378" s="57"/>
      <c r="N378" s="57"/>
      <c r="O378" s="57"/>
      <c r="P378" s="57"/>
      <c r="Q378" s="57"/>
    </row>
    <row r="379" spans="11:17" ht="15.75" customHeight="1">
      <c r="K379" s="57"/>
      <c r="L379" s="57"/>
      <c r="M379" s="57"/>
      <c r="N379" s="57"/>
      <c r="O379" s="57"/>
      <c r="P379" s="57"/>
      <c r="Q379" s="57"/>
    </row>
    <row r="380" spans="11:17" ht="15.75" customHeight="1">
      <c r="K380" s="57"/>
      <c r="L380" s="57"/>
      <c r="M380" s="57"/>
      <c r="N380" s="57"/>
      <c r="O380" s="57"/>
      <c r="P380" s="57"/>
      <c r="Q380" s="57"/>
    </row>
    <row r="381" spans="11:17" ht="15.75" customHeight="1">
      <c r="K381" s="57"/>
      <c r="L381" s="57"/>
      <c r="M381" s="57"/>
      <c r="N381" s="57"/>
      <c r="O381" s="57"/>
      <c r="P381" s="57"/>
      <c r="Q381" s="57"/>
    </row>
    <row r="382" spans="11:17" ht="15.75" customHeight="1">
      <c r="K382" s="57"/>
      <c r="L382" s="57"/>
      <c r="M382" s="57"/>
      <c r="N382" s="57"/>
      <c r="O382" s="57"/>
      <c r="P382" s="57"/>
      <c r="Q382" s="57"/>
    </row>
    <row r="383" spans="11:17" ht="15.75" customHeight="1">
      <c r="K383" s="57"/>
      <c r="L383" s="57"/>
      <c r="M383" s="57"/>
      <c r="N383" s="57"/>
      <c r="O383" s="57"/>
      <c r="P383" s="57"/>
      <c r="Q383" s="57"/>
    </row>
    <row r="384" spans="11:17" ht="15.75" customHeight="1">
      <c r="K384" s="57"/>
      <c r="L384" s="57"/>
      <c r="M384" s="57"/>
      <c r="N384" s="57"/>
      <c r="O384" s="57"/>
      <c r="P384" s="57"/>
      <c r="Q384" s="57"/>
    </row>
    <row r="385" spans="11:17" ht="15.75" customHeight="1">
      <c r="K385" s="57"/>
      <c r="L385" s="57"/>
      <c r="M385" s="57"/>
      <c r="N385" s="57"/>
      <c r="O385" s="57"/>
      <c r="P385" s="57"/>
      <c r="Q385" s="57"/>
    </row>
    <row r="386" spans="11:17" ht="15.75" customHeight="1">
      <c r="K386" s="57"/>
      <c r="L386" s="57"/>
      <c r="M386" s="57"/>
      <c r="N386" s="57"/>
      <c r="O386" s="57"/>
      <c r="P386" s="57"/>
      <c r="Q386" s="57"/>
    </row>
    <row r="387" spans="11:17" ht="15.75" customHeight="1">
      <c r="K387" s="57"/>
      <c r="L387" s="57"/>
      <c r="M387" s="57"/>
      <c r="N387" s="57"/>
      <c r="O387" s="57"/>
      <c r="P387" s="57"/>
      <c r="Q387" s="57"/>
    </row>
    <row r="388" spans="11:17" ht="15.75" customHeight="1">
      <c r="K388" s="57"/>
      <c r="L388" s="57"/>
      <c r="M388" s="57"/>
      <c r="N388" s="57"/>
      <c r="O388" s="57"/>
      <c r="P388" s="57"/>
      <c r="Q388" s="57"/>
    </row>
    <row r="389" spans="11:17" ht="15.75" customHeight="1">
      <c r="K389" s="57"/>
      <c r="L389" s="57"/>
      <c r="M389" s="57"/>
      <c r="N389" s="57"/>
      <c r="O389" s="57"/>
      <c r="P389" s="57"/>
      <c r="Q389" s="57"/>
    </row>
    <row r="390" spans="11:17" ht="15.75" customHeight="1">
      <c r="K390" s="57"/>
      <c r="L390" s="57"/>
      <c r="M390" s="57"/>
      <c r="N390" s="57"/>
      <c r="O390" s="57"/>
      <c r="P390" s="57"/>
      <c r="Q390" s="57"/>
    </row>
    <row r="391" spans="11:17" ht="15.75" customHeight="1">
      <c r="K391" s="57"/>
      <c r="L391" s="57"/>
      <c r="M391" s="57"/>
      <c r="N391" s="57"/>
      <c r="O391" s="57"/>
      <c r="P391" s="57"/>
      <c r="Q391" s="57"/>
    </row>
    <row r="392" spans="11:17" ht="15.75" customHeight="1">
      <c r="K392" s="57"/>
      <c r="L392" s="57"/>
      <c r="M392" s="57"/>
      <c r="N392" s="57"/>
      <c r="O392" s="57"/>
      <c r="P392" s="57"/>
      <c r="Q392" s="57"/>
    </row>
    <row r="393" spans="11:17" ht="15.75" customHeight="1">
      <c r="K393" s="57"/>
      <c r="L393" s="57"/>
      <c r="M393" s="57"/>
      <c r="N393" s="57"/>
      <c r="O393" s="57"/>
      <c r="P393" s="57"/>
      <c r="Q393" s="57"/>
    </row>
    <row r="394" spans="11:17" ht="15.75" customHeight="1">
      <c r="K394" s="57"/>
      <c r="L394" s="57"/>
      <c r="M394" s="57"/>
      <c r="N394" s="57"/>
      <c r="O394" s="57"/>
      <c r="P394" s="57"/>
      <c r="Q394" s="57"/>
    </row>
    <row r="395" spans="11:17" ht="15.75" customHeight="1">
      <c r="K395" s="57"/>
      <c r="L395" s="57"/>
      <c r="M395" s="57"/>
      <c r="N395" s="57"/>
      <c r="O395" s="57"/>
      <c r="P395" s="57"/>
      <c r="Q395" s="57"/>
    </row>
    <row r="396" spans="11:17" ht="15.75" customHeight="1">
      <c r="K396" s="57"/>
      <c r="L396" s="57"/>
      <c r="M396" s="57"/>
      <c r="N396" s="57"/>
      <c r="O396" s="57"/>
      <c r="P396" s="57"/>
      <c r="Q396" s="57"/>
    </row>
    <row r="397" spans="11:17" ht="15.75" customHeight="1">
      <c r="K397" s="57"/>
      <c r="L397" s="57"/>
      <c r="M397" s="57"/>
      <c r="N397" s="57"/>
      <c r="O397" s="57"/>
      <c r="P397" s="57"/>
      <c r="Q397" s="57"/>
    </row>
    <row r="398" spans="11:17" ht="15.75" customHeight="1">
      <c r="K398" s="57"/>
      <c r="L398" s="57"/>
      <c r="M398" s="57"/>
      <c r="N398" s="57"/>
      <c r="O398" s="57"/>
      <c r="P398" s="57"/>
      <c r="Q398" s="57"/>
    </row>
    <row r="399" spans="11:17" ht="15.75" customHeight="1">
      <c r="K399" s="57"/>
      <c r="L399" s="57"/>
      <c r="M399" s="57"/>
      <c r="N399" s="57"/>
      <c r="O399" s="57"/>
      <c r="P399" s="57"/>
      <c r="Q399" s="57"/>
    </row>
    <row r="400" spans="11:17" ht="15.75" customHeight="1">
      <c r="K400" s="57"/>
      <c r="L400" s="57"/>
      <c r="M400" s="57"/>
      <c r="N400" s="57"/>
      <c r="O400" s="57"/>
      <c r="P400" s="57"/>
      <c r="Q400" s="57"/>
    </row>
    <row r="401" spans="11:17" ht="15.75" customHeight="1">
      <c r="K401" s="57"/>
      <c r="L401" s="57"/>
      <c r="M401" s="57"/>
      <c r="N401" s="57"/>
      <c r="O401" s="57"/>
      <c r="P401" s="57"/>
      <c r="Q401" s="57"/>
    </row>
    <row r="402" spans="11:17" ht="15.75" customHeight="1">
      <c r="K402" s="57"/>
      <c r="L402" s="57"/>
      <c r="M402" s="57"/>
      <c r="N402" s="57"/>
      <c r="O402" s="57"/>
      <c r="P402" s="57"/>
      <c r="Q402" s="57"/>
    </row>
    <row r="403" spans="11:17" ht="15.75" customHeight="1">
      <c r="K403" s="57"/>
      <c r="L403" s="57"/>
      <c r="M403" s="57"/>
      <c r="N403" s="57"/>
      <c r="O403" s="57"/>
      <c r="P403" s="57"/>
      <c r="Q403" s="57"/>
    </row>
    <row r="404" spans="11:17" ht="15.75" customHeight="1">
      <c r="K404" s="57"/>
      <c r="L404" s="57"/>
      <c r="M404" s="57"/>
      <c r="N404" s="57"/>
      <c r="O404" s="57"/>
      <c r="P404" s="57"/>
      <c r="Q404" s="57"/>
    </row>
    <row r="405" spans="11:17" ht="15.75" customHeight="1">
      <c r="K405" s="57"/>
      <c r="L405" s="57"/>
      <c r="M405" s="57"/>
      <c r="N405" s="57"/>
      <c r="O405" s="57"/>
      <c r="P405" s="57"/>
      <c r="Q405" s="57"/>
    </row>
    <row r="406" spans="11:17" ht="15.75" customHeight="1">
      <c r="K406" s="57"/>
      <c r="L406" s="57"/>
      <c r="M406" s="57"/>
      <c r="N406" s="57"/>
      <c r="O406" s="57"/>
      <c r="P406" s="57"/>
      <c r="Q406" s="57"/>
    </row>
    <row r="407" spans="11:17" ht="15.75" customHeight="1">
      <c r="K407" s="57"/>
      <c r="L407" s="57"/>
      <c r="M407" s="57"/>
      <c r="N407" s="57"/>
      <c r="O407" s="57"/>
      <c r="P407" s="57"/>
      <c r="Q407" s="57"/>
    </row>
    <row r="408" spans="11:17" ht="15.75" customHeight="1">
      <c r="K408" s="57"/>
      <c r="L408" s="57"/>
      <c r="M408" s="57"/>
      <c r="N408" s="57"/>
      <c r="O408" s="57"/>
      <c r="P408" s="57"/>
      <c r="Q408" s="57"/>
    </row>
    <row r="409" spans="11:17" ht="15.75" customHeight="1">
      <c r="K409" s="57"/>
      <c r="L409" s="57"/>
      <c r="M409" s="57"/>
      <c r="N409" s="57"/>
      <c r="O409" s="57"/>
      <c r="P409" s="57"/>
      <c r="Q409" s="57"/>
    </row>
    <row r="410" spans="11:17" ht="15.75" customHeight="1">
      <c r="K410" s="57"/>
      <c r="L410" s="57"/>
      <c r="M410" s="57"/>
      <c r="N410" s="57"/>
      <c r="O410" s="57"/>
      <c r="P410" s="57"/>
      <c r="Q410" s="57"/>
    </row>
    <row r="411" spans="11:17" ht="15.75" customHeight="1">
      <c r="K411" s="57"/>
      <c r="L411" s="57"/>
      <c r="M411" s="57"/>
      <c r="N411" s="57"/>
      <c r="O411" s="57"/>
      <c r="P411" s="57"/>
      <c r="Q411" s="57"/>
    </row>
    <row r="412" spans="11:17" ht="15.75" customHeight="1">
      <c r="K412" s="57"/>
      <c r="L412" s="57"/>
      <c r="M412" s="57"/>
      <c r="N412" s="57"/>
      <c r="O412" s="57"/>
      <c r="P412" s="57"/>
      <c r="Q412" s="57"/>
    </row>
    <row r="413" spans="11:17" ht="15.75" customHeight="1">
      <c r="K413" s="57"/>
      <c r="L413" s="57"/>
      <c r="M413" s="57"/>
      <c r="N413" s="57"/>
      <c r="O413" s="57"/>
      <c r="P413" s="57"/>
      <c r="Q413" s="57"/>
    </row>
    <row r="414" spans="11:17" ht="15.75" customHeight="1">
      <c r="K414" s="57"/>
      <c r="L414" s="57"/>
      <c r="M414" s="57"/>
      <c r="N414" s="57"/>
      <c r="O414" s="57"/>
      <c r="P414" s="57"/>
      <c r="Q414" s="57"/>
    </row>
    <row r="415" spans="11:17" ht="15.75" customHeight="1">
      <c r="K415" s="57"/>
      <c r="L415" s="57"/>
      <c r="M415" s="57"/>
      <c r="N415" s="57"/>
      <c r="O415" s="57"/>
      <c r="P415" s="57"/>
      <c r="Q415" s="57"/>
    </row>
    <row r="416" spans="11:17" ht="15.75" customHeight="1">
      <c r="K416" s="57"/>
      <c r="L416" s="57"/>
      <c r="M416" s="57"/>
      <c r="N416" s="57"/>
      <c r="O416" s="57"/>
      <c r="P416" s="57"/>
      <c r="Q416" s="57"/>
    </row>
    <row r="417" spans="11:17" ht="15.75" customHeight="1">
      <c r="K417" s="57"/>
      <c r="L417" s="57"/>
      <c r="M417" s="57"/>
      <c r="N417" s="57"/>
      <c r="O417" s="57"/>
      <c r="P417" s="57"/>
      <c r="Q417" s="57"/>
    </row>
    <row r="418" spans="11:17" ht="15.75" customHeight="1">
      <c r="K418" s="57"/>
      <c r="L418" s="57"/>
      <c r="M418" s="57"/>
      <c r="N418" s="57"/>
      <c r="O418" s="57"/>
      <c r="P418" s="57"/>
      <c r="Q418" s="57"/>
    </row>
    <row r="419" spans="11:17" ht="15.75" customHeight="1">
      <c r="K419" s="57"/>
      <c r="L419" s="57"/>
      <c r="M419" s="57"/>
      <c r="N419" s="57"/>
      <c r="O419" s="57"/>
      <c r="P419" s="57"/>
      <c r="Q419" s="57"/>
    </row>
    <row r="420" spans="11:17" ht="15.75" customHeight="1">
      <c r="K420" s="57"/>
      <c r="L420" s="57"/>
      <c r="M420" s="57"/>
      <c r="N420" s="57"/>
      <c r="O420" s="57"/>
      <c r="P420" s="57"/>
      <c r="Q420" s="57"/>
    </row>
    <row r="421" spans="11:17" ht="15.75" customHeight="1">
      <c r="K421" s="57"/>
      <c r="L421" s="57"/>
      <c r="M421" s="57"/>
      <c r="N421" s="57"/>
      <c r="O421" s="57"/>
      <c r="P421" s="57"/>
      <c r="Q421" s="57"/>
    </row>
    <row r="422" spans="11:17" ht="15.75" customHeight="1">
      <c r="K422" s="57"/>
      <c r="L422" s="57"/>
      <c r="M422" s="57"/>
      <c r="N422" s="57"/>
      <c r="O422" s="57"/>
      <c r="P422" s="57"/>
      <c r="Q422" s="57"/>
    </row>
    <row r="423" spans="11:17" ht="15.75" customHeight="1">
      <c r="K423" s="57"/>
      <c r="L423" s="57"/>
      <c r="M423" s="57"/>
      <c r="N423" s="57"/>
      <c r="O423" s="57"/>
      <c r="P423" s="57"/>
      <c r="Q423" s="57"/>
    </row>
    <row r="424" spans="11:17" ht="15.75" customHeight="1">
      <c r="K424" s="57"/>
      <c r="L424" s="57"/>
      <c r="M424" s="57"/>
      <c r="N424" s="57"/>
      <c r="O424" s="57"/>
      <c r="P424" s="57"/>
      <c r="Q424" s="57"/>
    </row>
    <row r="425" spans="11:17" ht="15.75" customHeight="1">
      <c r="K425" s="57"/>
      <c r="L425" s="57"/>
      <c r="M425" s="57"/>
      <c r="N425" s="57"/>
      <c r="O425" s="57"/>
      <c r="P425" s="57"/>
      <c r="Q425" s="57"/>
    </row>
    <row r="426" spans="11:17" ht="15.75" customHeight="1">
      <c r="K426" s="57"/>
      <c r="L426" s="57"/>
      <c r="M426" s="57"/>
      <c r="N426" s="57"/>
      <c r="O426" s="57"/>
      <c r="P426" s="57"/>
      <c r="Q426" s="57"/>
    </row>
    <row r="427" spans="11:17" ht="15.75" customHeight="1">
      <c r="K427" s="57"/>
      <c r="L427" s="57"/>
      <c r="M427" s="57"/>
      <c r="N427" s="57"/>
      <c r="O427" s="57"/>
      <c r="P427" s="57"/>
      <c r="Q427" s="57"/>
    </row>
    <row r="428" spans="11:17" ht="15.75" customHeight="1">
      <c r="K428" s="57"/>
      <c r="L428" s="57"/>
      <c r="M428" s="57"/>
      <c r="N428" s="57"/>
      <c r="O428" s="57"/>
      <c r="P428" s="57"/>
      <c r="Q428" s="57"/>
    </row>
    <row r="429" spans="11:17" ht="15.75" customHeight="1">
      <c r="K429" s="57"/>
      <c r="L429" s="57"/>
      <c r="M429" s="57"/>
      <c r="N429" s="57"/>
      <c r="O429" s="57"/>
      <c r="P429" s="57"/>
      <c r="Q429" s="57"/>
    </row>
    <row r="430" spans="11:17" ht="15.75" customHeight="1">
      <c r="K430" s="57"/>
      <c r="L430" s="57"/>
      <c r="M430" s="57"/>
      <c r="N430" s="57"/>
      <c r="O430" s="57"/>
      <c r="P430" s="57"/>
      <c r="Q430" s="57"/>
    </row>
    <row r="431" spans="11:17" ht="15.75" customHeight="1">
      <c r="K431" s="57"/>
      <c r="L431" s="57"/>
      <c r="M431" s="57"/>
      <c r="N431" s="57"/>
      <c r="O431" s="57"/>
      <c r="P431" s="57"/>
      <c r="Q431" s="57"/>
    </row>
    <row r="432" spans="11:17" ht="15.75" customHeight="1">
      <c r="K432" s="57"/>
      <c r="L432" s="57"/>
      <c r="M432" s="57"/>
      <c r="N432" s="57"/>
      <c r="O432" s="57"/>
      <c r="P432" s="57"/>
      <c r="Q432" s="57"/>
    </row>
    <row r="433" spans="11:17" ht="15.75" customHeight="1">
      <c r="K433" s="57"/>
      <c r="L433" s="57"/>
      <c r="M433" s="57"/>
      <c r="N433" s="57"/>
      <c r="O433" s="57"/>
      <c r="P433" s="57"/>
      <c r="Q433" s="57"/>
    </row>
    <row r="434" spans="11:17" ht="15.75" customHeight="1">
      <c r="K434" s="57"/>
      <c r="L434" s="57"/>
      <c r="M434" s="57"/>
      <c r="N434" s="57"/>
      <c r="O434" s="57"/>
      <c r="P434" s="57"/>
      <c r="Q434" s="57"/>
    </row>
    <row r="435" spans="11:17" ht="15.75" customHeight="1">
      <c r="K435" s="57"/>
      <c r="L435" s="57"/>
      <c r="M435" s="57"/>
      <c r="N435" s="57"/>
      <c r="O435" s="57"/>
      <c r="P435" s="57"/>
      <c r="Q435" s="57"/>
    </row>
    <row r="436" spans="11:17" ht="15.75" customHeight="1">
      <c r="K436" s="57"/>
      <c r="L436" s="57"/>
      <c r="M436" s="57"/>
      <c r="N436" s="57"/>
      <c r="O436" s="57"/>
      <c r="P436" s="57"/>
      <c r="Q436" s="57"/>
    </row>
    <row r="437" spans="11:17" ht="15.75" customHeight="1">
      <c r="K437" s="57"/>
      <c r="L437" s="57"/>
      <c r="M437" s="57"/>
      <c r="N437" s="57"/>
      <c r="O437" s="57"/>
      <c r="P437" s="57"/>
      <c r="Q437" s="57"/>
    </row>
    <row r="438" spans="11:17" ht="15.75" customHeight="1">
      <c r="K438" s="57"/>
      <c r="L438" s="57"/>
      <c r="M438" s="57"/>
      <c r="N438" s="57"/>
      <c r="O438" s="57"/>
      <c r="P438" s="57"/>
      <c r="Q438" s="57"/>
    </row>
    <row r="439" spans="11:17" ht="15.75" customHeight="1">
      <c r="K439" s="57"/>
      <c r="L439" s="57"/>
      <c r="M439" s="57"/>
      <c r="N439" s="57"/>
      <c r="O439" s="57"/>
      <c r="P439" s="57"/>
      <c r="Q439" s="57"/>
    </row>
    <row r="440" spans="11:17" ht="15.75" customHeight="1">
      <c r="K440" s="57"/>
      <c r="L440" s="57"/>
      <c r="M440" s="57"/>
      <c r="N440" s="57"/>
      <c r="O440" s="57"/>
      <c r="P440" s="57"/>
      <c r="Q440" s="57"/>
    </row>
    <row r="441" spans="11:17" ht="15.75" customHeight="1">
      <c r="K441" s="57"/>
      <c r="L441" s="57"/>
      <c r="M441" s="57"/>
      <c r="N441" s="57"/>
      <c r="O441" s="57"/>
      <c r="P441" s="57"/>
      <c r="Q441" s="57"/>
    </row>
    <row r="442" spans="11:17" ht="15.75" customHeight="1">
      <c r="K442" s="57"/>
      <c r="L442" s="57"/>
      <c r="M442" s="57"/>
      <c r="N442" s="57"/>
      <c r="O442" s="57"/>
      <c r="P442" s="57"/>
      <c r="Q442" s="57"/>
    </row>
    <row r="443" spans="11:17" ht="15.75" customHeight="1">
      <c r="K443" s="57"/>
      <c r="L443" s="57"/>
      <c r="M443" s="57"/>
      <c r="N443" s="57"/>
      <c r="O443" s="57"/>
      <c r="P443" s="57"/>
      <c r="Q443" s="57"/>
    </row>
    <row r="444" spans="11:17" ht="15.75" customHeight="1">
      <c r="K444" s="57"/>
      <c r="L444" s="57"/>
      <c r="M444" s="57"/>
      <c r="N444" s="57"/>
      <c r="O444" s="57"/>
      <c r="P444" s="57"/>
      <c r="Q444" s="57"/>
    </row>
    <row r="445" spans="11:17" ht="15.75" customHeight="1">
      <c r="K445" s="57"/>
      <c r="L445" s="57"/>
      <c r="M445" s="57"/>
      <c r="N445" s="57"/>
      <c r="O445" s="57"/>
      <c r="P445" s="57"/>
      <c r="Q445" s="57"/>
    </row>
    <row r="446" spans="11:17" ht="15.75" customHeight="1">
      <c r="K446" s="57"/>
      <c r="L446" s="57"/>
      <c r="M446" s="57"/>
      <c r="N446" s="57"/>
      <c r="O446" s="57"/>
      <c r="P446" s="57"/>
      <c r="Q446" s="57"/>
    </row>
    <row r="447" spans="11:17" ht="15.75" customHeight="1">
      <c r="K447" s="57"/>
      <c r="L447" s="57"/>
      <c r="M447" s="57"/>
      <c r="N447" s="57"/>
      <c r="O447" s="57"/>
      <c r="P447" s="57"/>
      <c r="Q447" s="57"/>
    </row>
    <row r="448" spans="11:17" ht="15.75" customHeight="1">
      <c r="K448" s="57"/>
      <c r="L448" s="57"/>
      <c r="M448" s="57"/>
      <c r="N448" s="57"/>
      <c r="O448" s="57"/>
      <c r="P448" s="57"/>
      <c r="Q448" s="57"/>
    </row>
    <row r="449" spans="11:17" ht="15.75" customHeight="1">
      <c r="K449" s="57"/>
      <c r="L449" s="57"/>
      <c r="M449" s="57"/>
      <c r="N449" s="57"/>
      <c r="O449" s="57"/>
      <c r="P449" s="57"/>
      <c r="Q449" s="57"/>
    </row>
    <row r="450" spans="11:17" ht="15.75" customHeight="1">
      <c r="K450" s="57"/>
      <c r="L450" s="57"/>
      <c r="M450" s="57"/>
      <c r="N450" s="57"/>
      <c r="O450" s="57"/>
      <c r="P450" s="57"/>
      <c r="Q450" s="57"/>
    </row>
    <row r="451" spans="11:17" ht="15.75" customHeight="1">
      <c r="K451" s="57"/>
      <c r="L451" s="57"/>
      <c r="M451" s="57"/>
      <c r="N451" s="57"/>
      <c r="O451" s="57"/>
      <c r="P451" s="57"/>
      <c r="Q451" s="57"/>
    </row>
    <row r="452" spans="11:17" ht="15.75" customHeight="1">
      <c r="K452" s="57"/>
      <c r="L452" s="57"/>
      <c r="M452" s="57"/>
      <c r="N452" s="57"/>
      <c r="O452" s="57"/>
      <c r="P452" s="57"/>
      <c r="Q452" s="57"/>
    </row>
    <row r="453" spans="11:17" ht="15.75" customHeight="1">
      <c r="K453" s="57"/>
      <c r="L453" s="57"/>
      <c r="M453" s="57"/>
      <c r="N453" s="57"/>
      <c r="O453" s="57"/>
      <c r="P453" s="57"/>
      <c r="Q453" s="57"/>
    </row>
    <row r="454" spans="11:17" ht="15.75" customHeight="1">
      <c r="K454" s="57"/>
      <c r="L454" s="57"/>
      <c r="M454" s="57"/>
      <c r="N454" s="57"/>
      <c r="O454" s="57"/>
      <c r="P454" s="57"/>
      <c r="Q454" s="57"/>
    </row>
    <row r="455" spans="11:17" ht="15.75" customHeight="1">
      <c r="K455" s="57"/>
      <c r="L455" s="57"/>
      <c r="M455" s="57"/>
      <c r="N455" s="57"/>
      <c r="O455" s="57"/>
      <c r="P455" s="57"/>
      <c r="Q455" s="57"/>
    </row>
    <row r="456" spans="11:17" ht="15.75" customHeight="1">
      <c r="K456" s="57"/>
      <c r="L456" s="57"/>
      <c r="M456" s="57"/>
      <c r="N456" s="57"/>
      <c r="O456" s="57"/>
      <c r="P456" s="57"/>
      <c r="Q456" s="57"/>
    </row>
    <row r="457" spans="11:17" ht="15.75" customHeight="1">
      <c r="K457" s="57"/>
      <c r="L457" s="57"/>
      <c r="M457" s="57"/>
      <c r="N457" s="57"/>
      <c r="O457" s="57"/>
      <c r="P457" s="57"/>
      <c r="Q457" s="57"/>
    </row>
    <row r="458" spans="11:17" ht="15.75" customHeight="1">
      <c r="K458" s="57"/>
      <c r="L458" s="57"/>
      <c r="M458" s="57"/>
      <c r="N458" s="57"/>
      <c r="O458" s="57"/>
      <c r="P458" s="57"/>
      <c r="Q458" s="57"/>
    </row>
    <row r="459" spans="11:17" ht="15.75" customHeight="1">
      <c r="K459" s="57"/>
      <c r="L459" s="57"/>
      <c r="M459" s="57"/>
      <c r="N459" s="57"/>
      <c r="O459" s="57"/>
      <c r="P459" s="57"/>
      <c r="Q459" s="57"/>
    </row>
    <row r="460" spans="11:17" ht="15.75" customHeight="1">
      <c r="K460" s="57"/>
      <c r="L460" s="57"/>
      <c r="M460" s="57"/>
      <c r="N460" s="57"/>
      <c r="O460" s="57"/>
      <c r="P460" s="57"/>
      <c r="Q460" s="57"/>
    </row>
    <row r="461" spans="11:17" ht="15.75" customHeight="1">
      <c r="K461" s="57"/>
      <c r="L461" s="57"/>
      <c r="M461" s="57"/>
      <c r="N461" s="57"/>
      <c r="O461" s="57"/>
      <c r="P461" s="57"/>
      <c r="Q461" s="57"/>
    </row>
    <row r="462" spans="11:17" ht="15.75" customHeight="1">
      <c r="K462" s="57"/>
      <c r="L462" s="57"/>
      <c r="M462" s="57"/>
      <c r="N462" s="57"/>
      <c r="O462" s="57"/>
      <c r="P462" s="57"/>
      <c r="Q462" s="57"/>
    </row>
    <row r="463" spans="11:17" ht="15.75" customHeight="1">
      <c r="K463" s="57"/>
      <c r="L463" s="57"/>
      <c r="M463" s="57"/>
      <c r="N463" s="57"/>
      <c r="O463" s="57"/>
      <c r="P463" s="57"/>
      <c r="Q463" s="57"/>
    </row>
    <row r="464" spans="11:17" ht="15.75" customHeight="1">
      <c r="K464" s="57"/>
      <c r="L464" s="57"/>
      <c r="M464" s="57"/>
      <c r="N464" s="57"/>
      <c r="O464" s="57"/>
      <c r="P464" s="57"/>
      <c r="Q464" s="57"/>
    </row>
    <row r="465" spans="11:17" ht="15.75" customHeight="1">
      <c r="K465" s="57"/>
      <c r="L465" s="57"/>
      <c r="M465" s="57"/>
      <c r="N465" s="57"/>
      <c r="O465" s="57"/>
      <c r="P465" s="57"/>
      <c r="Q465" s="57"/>
    </row>
    <row r="466" spans="11:17" ht="15.75" customHeight="1">
      <c r="K466" s="57"/>
      <c r="L466" s="57"/>
      <c r="M466" s="57"/>
      <c r="N466" s="57"/>
      <c r="O466" s="57"/>
      <c r="P466" s="57"/>
      <c r="Q466" s="57"/>
    </row>
    <row r="467" spans="11:17" ht="15.75" customHeight="1">
      <c r="K467" s="57"/>
      <c r="L467" s="57"/>
      <c r="M467" s="57"/>
      <c r="N467" s="57"/>
      <c r="O467" s="57"/>
      <c r="P467" s="57"/>
      <c r="Q467" s="57"/>
    </row>
    <row r="468" spans="11:17" ht="15.75" customHeight="1">
      <c r="K468" s="57"/>
      <c r="L468" s="57"/>
      <c r="M468" s="57"/>
      <c r="N468" s="57"/>
      <c r="O468" s="57"/>
      <c r="P468" s="57"/>
      <c r="Q468" s="57"/>
    </row>
    <row r="469" spans="11:17" ht="15.75" customHeight="1">
      <c r="K469" s="57"/>
      <c r="L469" s="57"/>
      <c r="M469" s="57"/>
      <c r="N469" s="57"/>
      <c r="O469" s="57"/>
      <c r="P469" s="57"/>
      <c r="Q469" s="57"/>
    </row>
    <row r="470" spans="11:17" ht="15.75" customHeight="1">
      <c r="K470" s="57"/>
      <c r="L470" s="57"/>
      <c r="M470" s="57"/>
      <c r="N470" s="57"/>
      <c r="O470" s="57"/>
      <c r="P470" s="57"/>
      <c r="Q470" s="57"/>
    </row>
    <row r="471" spans="11:17" ht="15.75" customHeight="1">
      <c r="K471" s="57"/>
      <c r="L471" s="57"/>
      <c r="M471" s="57"/>
      <c r="N471" s="57"/>
      <c r="O471" s="57"/>
      <c r="P471" s="57"/>
      <c r="Q471" s="57"/>
    </row>
    <row r="472" spans="11:17" ht="15.75" customHeight="1">
      <c r="K472" s="57"/>
      <c r="L472" s="57"/>
      <c r="M472" s="57"/>
      <c r="N472" s="57"/>
      <c r="O472" s="57"/>
      <c r="P472" s="57"/>
      <c r="Q472" s="57"/>
    </row>
    <row r="473" spans="11:17" ht="15.75" customHeight="1">
      <c r="K473" s="57"/>
      <c r="L473" s="57"/>
      <c r="M473" s="57"/>
      <c r="N473" s="57"/>
      <c r="O473" s="57"/>
      <c r="P473" s="57"/>
      <c r="Q473" s="57"/>
    </row>
    <row r="474" spans="11:17" ht="15.75" customHeight="1">
      <c r="K474" s="57"/>
      <c r="L474" s="57"/>
      <c r="M474" s="57"/>
      <c r="N474" s="57"/>
      <c r="O474" s="57"/>
      <c r="P474" s="57"/>
      <c r="Q474" s="57"/>
    </row>
    <row r="475" spans="11:17" ht="15.75" customHeight="1">
      <c r="K475" s="57"/>
      <c r="L475" s="57"/>
      <c r="M475" s="57"/>
      <c r="N475" s="57"/>
      <c r="O475" s="57"/>
      <c r="P475" s="57"/>
      <c r="Q475" s="57"/>
    </row>
    <row r="476" spans="11:17" ht="15.75" customHeight="1">
      <c r="K476" s="57"/>
      <c r="L476" s="57"/>
      <c r="M476" s="57"/>
      <c r="N476" s="57"/>
      <c r="O476" s="57"/>
      <c r="P476" s="57"/>
      <c r="Q476" s="57"/>
    </row>
    <row r="477" spans="11:17" ht="15.75" customHeight="1">
      <c r="K477" s="57"/>
      <c r="L477" s="57"/>
      <c r="M477" s="57"/>
      <c r="N477" s="57"/>
      <c r="O477" s="57"/>
      <c r="P477" s="57"/>
      <c r="Q477" s="57"/>
    </row>
    <row r="478" spans="11:17" ht="15.75" customHeight="1">
      <c r="K478" s="57"/>
      <c r="L478" s="57"/>
      <c r="M478" s="57"/>
      <c r="N478" s="57"/>
      <c r="O478" s="57"/>
      <c r="P478" s="57"/>
      <c r="Q478" s="57"/>
    </row>
    <row r="479" spans="11:17" ht="15.75" customHeight="1">
      <c r="K479" s="57"/>
      <c r="L479" s="57"/>
      <c r="M479" s="57"/>
      <c r="N479" s="57"/>
      <c r="O479" s="57"/>
      <c r="P479" s="57"/>
      <c r="Q479" s="57"/>
    </row>
    <row r="480" spans="11:17" ht="15.75" customHeight="1">
      <c r="K480" s="57"/>
      <c r="L480" s="57"/>
      <c r="M480" s="57"/>
      <c r="N480" s="57"/>
      <c r="O480" s="57"/>
      <c r="P480" s="57"/>
      <c r="Q480" s="57"/>
    </row>
    <row r="481" spans="11:17" ht="15.75" customHeight="1">
      <c r="K481" s="57"/>
      <c r="L481" s="57"/>
      <c r="M481" s="57"/>
      <c r="N481" s="57"/>
      <c r="O481" s="57"/>
      <c r="P481" s="57"/>
      <c r="Q481" s="57"/>
    </row>
    <row r="482" spans="11:17" ht="15.75" customHeight="1">
      <c r="K482" s="57"/>
      <c r="L482" s="57"/>
      <c r="M482" s="57"/>
      <c r="N482" s="57"/>
      <c r="O482" s="57"/>
      <c r="P482" s="57"/>
      <c r="Q482" s="57"/>
    </row>
    <row r="483" spans="11:17" ht="15.75" customHeight="1">
      <c r="K483" s="57"/>
      <c r="L483" s="57"/>
      <c r="M483" s="57"/>
      <c r="N483" s="57"/>
      <c r="O483" s="57"/>
      <c r="P483" s="57"/>
      <c r="Q483" s="57"/>
    </row>
    <row r="484" spans="11:17" ht="15.75" customHeight="1">
      <c r="K484" s="57"/>
      <c r="L484" s="57"/>
      <c r="M484" s="57"/>
      <c r="N484" s="57"/>
      <c r="O484" s="57"/>
      <c r="P484" s="57"/>
      <c r="Q484" s="57"/>
    </row>
    <row r="485" spans="11:17" ht="15.75" customHeight="1">
      <c r="K485" s="57"/>
      <c r="L485" s="57"/>
      <c r="M485" s="57"/>
      <c r="N485" s="57"/>
      <c r="O485" s="57"/>
      <c r="P485" s="57"/>
      <c r="Q485" s="57"/>
    </row>
    <row r="486" spans="11:17" ht="15.75" customHeight="1">
      <c r="K486" s="57"/>
      <c r="L486" s="57"/>
      <c r="M486" s="57"/>
      <c r="N486" s="57"/>
      <c r="O486" s="57"/>
      <c r="P486" s="57"/>
      <c r="Q486" s="57"/>
    </row>
    <row r="487" spans="11:17" ht="15.75" customHeight="1">
      <c r="K487" s="57"/>
      <c r="L487" s="57"/>
      <c r="M487" s="57"/>
      <c r="N487" s="57"/>
      <c r="O487" s="57"/>
      <c r="P487" s="57"/>
      <c r="Q487" s="57"/>
    </row>
    <row r="488" spans="11:17" ht="15.75" customHeight="1">
      <c r="K488" s="57"/>
      <c r="L488" s="57"/>
      <c r="M488" s="57"/>
      <c r="N488" s="57"/>
      <c r="O488" s="57"/>
      <c r="P488" s="57"/>
      <c r="Q488" s="57"/>
    </row>
    <row r="489" spans="11:17" ht="15.75" customHeight="1">
      <c r="K489" s="57"/>
      <c r="L489" s="57"/>
      <c r="M489" s="57"/>
      <c r="N489" s="57"/>
      <c r="O489" s="57"/>
      <c r="P489" s="57"/>
      <c r="Q489" s="57"/>
    </row>
    <row r="490" spans="11:17" ht="15.75" customHeight="1">
      <c r="K490" s="57"/>
      <c r="L490" s="57"/>
      <c r="M490" s="57"/>
      <c r="N490" s="57"/>
      <c r="O490" s="57"/>
      <c r="P490" s="57"/>
      <c r="Q490" s="57"/>
    </row>
    <row r="491" spans="11:17" ht="15.75" customHeight="1">
      <c r="K491" s="57"/>
      <c r="L491" s="57"/>
      <c r="M491" s="57"/>
      <c r="N491" s="57"/>
      <c r="O491" s="57"/>
      <c r="P491" s="57"/>
      <c r="Q491" s="57"/>
    </row>
    <row r="492" spans="11:17" ht="15.75" customHeight="1">
      <c r="K492" s="57"/>
      <c r="L492" s="57"/>
      <c r="M492" s="57"/>
      <c r="N492" s="57"/>
      <c r="O492" s="57"/>
      <c r="P492" s="57"/>
      <c r="Q492" s="57"/>
    </row>
    <row r="493" spans="11:17" ht="15.75" customHeight="1">
      <c r="K493" s="57"/>
      <c r="L493" s="57"/>
      <c r="M493" s="57"/>
      <c r="N493" s="57"/>
      <c r="O493" s="57"/>
      <c r="P493" s="57"/>
      <c r="Q493" s="57"/>
    </row>
    <row r="494" spans="11:17" ht="15.75" customHeight="1">
      <c r="K494" s="57"/>
      <c r="L494" s="57"/>
      <c r="M494" s="57"/>
      <c r="N494" s="57"/>
      <c r="O494" s="57"/>
      <c r="P494" s="57"/>
      <c r="Q494" s="57"/>
    </row>
    <row r="495" spans="11:17" ht="15.75" customHeight="1">
      <c r="K495" s="57"/>
      <c r="L495" s="57"/>
      <c r="M495" s="57"/>
      <c r="N495" s="57"/>
      <c r="O495" s="57"/>
      <c r="P495" s="57"/>
      <c r="Q495" s="57"/>
    </row>
    <row r="496" spans="11:17" ht="15.75" customHeight="1">
      <c r="K496" s="57"/>
      <c r="L496" s="57"/>
      <c r="M496" s="57"/>
      <c r="N496" s="57"/>
      <c r="O496" s="57"/>
      <c r="P496" s="57"/>
      <c r="Q496" s="57"/>
    </row>
    <row r="497" spans="11:17" ht="15.75" customHeight="1">
      <c r="K497" s="57"/>
      <c r="L497" s="57"/>
      <c r="M497" s="57"/>
      <c r="N497" s="57"/>
      <c r="O497" s="57"/>
      <c r="P497" s="57"/>
      <c r="Q497" s="57"/>
    </row>
    <row r="498" spans="11:17" ht="15.75" customHeight="1">
      <c r="K498" s="57"/>
      <c r="L498" s="57"/>
      <c r="M498" s="57"/>
      <c r="N498" s="57"/>
      <c r="O498" s="57"/>
      <c r="P498" s="57"/>
      <c r="Q498" s="57"/>
    </row>
    <row r="499" spans="11:17" ht="15.75" customHeight="1">
      <c r="K499" s="57"/>
      <c r="L499" s="57"/>
      <c r="M499" s="57"/>
      <c r="N499" s="57"/>
      <c r="O499" s="57"/>
      <c r="P499" s="57"/>
      <c r="Q499" s="57"/>
    </row>
    <row r="500" spans="11:17" ht="15.75" customHeight="1">
      <c r="K500" s="57"/>
      <c r="L500" s="57"/>
      <c r="M500" s="57"/>
      <c r="N500" s="57"/>
      <c r="O500" s="57"/>
      <c r="P500" s="57"/>
      <c r="Q500" s="57"/>
    </row>
    <row r="501" spans="11:17" ht="15.75" customHeight="1">
      <c r="K501" s="57"/>
      <c r="L501" s="57"/>
      <c r="M501" s="57"/>
      <c r="N501" s="57"/>
      <c r="O501" s="57"/>
      <c r="P501" s="57"/>
      <c r="Q501" s="57"/>
    </row>
    <row r="502" spans="11:17" ht="15.75" customHeight="1">
      <c r="K502" s="57"/>
      <c r="L502" s="57"/>
      <c r="M502" s="57"/>
      <c r="N502" s="57"/>
      <c r="O502" s="57"/>
      <c r="P502" s="57"/>
      <c r="Q502" s="57"/>
    </row>
    <row r="503" spans="11:17" ht="15.75" customHeight="1">
      <c r="K503" s="57"/>
      <c r="L503" s="57"/>
      <c r="M503" s="57"/>
      <c r="N503" s="57"/>
      <c r="O503" s="57"/>
      <c r="P503" s="57"/>
      <c r="Q503" s="57"/>
    </row>
    <row r="504" spans="11:17" ht="15.75" customHeight="1">
      <c r="K504" s="57"/>
      <c r="L504" s="57"/>
      <c r="M504" s="57"/>
      <c r="N504" s="57"/>
      <c r="O504" s="57"/>
      <c r="P504" s="57"/>
      <c r="Q504" s="57"/>
    </row>
    <row r="505" spans="11:17" ht="15.75" customHeight="1">
      <c r="K505" s="57"/>
      <c r="L505" s="57"/>
      <c r="M505" s="57"/>
      <c r="N505" s="57"/>
      <c r="O505" s="57"/>
      <c r="P505" s="57"/>
      <c r="Q505" s="57"/>
    </row>
    <row r="506" spans="11:17" ht="15.75" customHeight="1">
      <c r="K506" s="57"/>
      <c r="L506" s="57"/>
      <c r="M506" s="57"/>
      <c r="N506" s="57"/>
      <c r="O506" s="57"/>
      <c r="P506" s="57"/>
      <c r="Q506" s="57"/>
    </row>
    <row r="507" spans="11:17" ht="15.75" customHeight="1">
      <c r="K507" s="57"/>
      <c r="L507" s="57"/>
      <c r="M507" s="57"/>
      <c r="N507" s="57"/>
      <c r="O507" s="57"/>
      <c r="P507" s="57"/>
      <c r="Q507" s="57"/>
    </row>
    <row r="508" spans="11:17" ht="15.75" customHeight="1">
      <c r="K508" s="57"/>
      <c r="L508" s="57"/>
      <c r="M508" s="57"/>
      <c r="N508" s="57"/>
      <c r="O508" s="57"/>
      <c r="P508" s="57"/>
      <c r="Q508" s="57"/>
    </row>
    <row r="509" spans="11:17" ht="15.75" customHeight="1">
      <c r="K509" s="57"/>
      <c r="L509" s="57"/>
      <c r="M509" s="57"/>
      <c r="N509" s="57"/>
      <c r="O509" s="57"/>
      <c r="P509" s="57"/>
      <c r="Q509" s="57"/>
    </row>
    <row r="510" spans="11:17" ht="15.75" customHeight="1">
      <c r="K510" s="57"/>
      <c r="L510" s="57"/>
      <c r="M510" s="57"/>
      <c r="N510" s="57"/>
      <c r="O510" s="57"/>
      <c r="P510" s="57"/>
      <c r="Q510" s="57"/>
    </row>
    <row r="511" spans="11:17" ht="15.75" customHeight="1">
      <c r="K511" s="57"/>
      <c r="L511" s="57"/>
      <c r="M511" s="57"/>
      <c r="N511" s="57"/>
      <c r="O511" s="57"/>
      <c r="P511" s="57"/>
      <c r="Q511" s="57"/>
    </row>
    <row r="512" spans="11:17" ht="15.75" customHeight="1">
      <c r="K512" s="57"/>
      <c r="L512" s="57"/>
      <c r="M512" s="57"/>
      <c r="N512" s="57"/>
      <c r="O512" s="57"/>
      <c r="P512" s="57"/>
      <c r="Q512" s="57"/>
    </row>
    <row r="513" spans="11:17" ht="15.75" customHeight="1">
      <c r="K513" s="57"/>
      <c r="L513" s="57"/>
      <c r="M513" s="57"/>
      <c r="N513" s="57"/>
      <c r="O513" s="57"/>
      <c r="P513" s="57"/>
      <c r="Q513" s="57"/>
    </row>
    <row r="514" spans="11:17" ht="15.75" customHeight="1">
      <c r="K514" s="57"/>
      <c r="L514" s="57"/>
      <c r="M514" s="57"/>
      <c r="N514" s="57"/>
      <c r="O514" s="57"/>
      <c r="P514" s="57"/>
      <c r="Q514" s="57"/>
    </row>
    <row r="515" spans="11:17" ht="15.75" customHeight="1">
      <c r="K515" s="57"/>
      <c r="L515" s="57"/>
      <c r="M515" s="57"/>
      <c r="N515" s="57"/>
      <c r="O515" s="57"/>
      <c r="P515" s="57"/>
      <c r="Q515" s="57"/>
    </row>
    <row r="516" spans="11:17" ht="15.75" customHeight="1">
      <c r="K516" s="57"/>
      <c r="L516" s="57"/>
      <c r="M516" s="57"/>
      <c r="N516" s="57"/>
      <c r="O516" s="57"/>
      <c r="P516" s="57"/>
      <c r="Q516" s="57"/>
    </row>
    <row r="517" spans="11:17" ht="15.75" customHeight="1">
      <c r="K517" s="57"/>
      <c r="L517" s="57"/>
      <c r="M517" s="57"/>
      <c r="N517" s="57"/>
      <c r="O517" s="57"/>
      <c r="P517" s="57"/>
      <c r="Q517" s="57"/>
    </row>
    <row r="518" spans="11:17" ht="15.75" customHeight="1">
      <c r="K518" s="57"/>
      <c r="L518" s="57"/>
      <c r="M518" s="57"/>
      <c r="N518" s="57"/>
      <c r="O518" s="57"/>
      <c r="P518" s="57"/>
      <c r="Q518" s="57"/>
    </row>
    <row r="519" spans="11:17" ht="15.75" customHeight="1">
      <c r="K519" s="57"/>
      <c r="L519" s="57"/>
      <c r="M519" s="57"/>
      <c r="N519" s="57"/>
      <c r="O519" s="57"/>
      <c r="P519" s="57"/>
      <c r="Q519" s="57"/>
    </row>
    <row r="520" spans="11:17" ht="15.75" customHeight="1">
      <c r="K520" s="57"/>
      <c r="L520" s="57"/>
      <c r="M520" s="57"/>
      <c r="N520" s="57"/>
      <c r="O520" s="57"/>
      <c r="P520" s="57"/>
      <c r="Q520" s="57"/>
    </row>
    <row r="521" spans="11:17" ht="15.75" customHeight="1">
      <c r="K521" s="57"/>
      <c r="L521" s="57"/>
      <c r="M521" s="57"/>
      <c r="N521" s="57"/>
      <c r="O521" s="57"/>
      <c r="P521" s="57"/>
      <c r="Q521" s="57"/>
    </row>
    <row r="522" spans="11:17" ht="15.75" customHeight="1">
      <c r="K522" s="57"/>
      <c r="L522" s="57"/>
      <c r="M522" s="57"/>
      <c r="N522" s="57"/>
      <c r="O522" s="57"/>
      <c r="P522" s="57"/>
      <c r="Q522" s="57"/>
    </row>
    <row r="523" spans="11:17" ht="15.75" customHeight="1">
      <c r="K523" s="57"/>
      <c r="L523" s="57"/>
      <c r="M523" s="57"/>
      <c r="N523" s="57"/>
      <c r="O523" s="57"/>
      <c r="P523" s="57"/>
      <c r="Q523" s="57"/>
    </row>
    <row r="524" spans="11:17" ht="15.75" customHeight="1">
      <c r="K524" s="57"/>
      <c r="L524" s="57"/>
      <c r="M524" s="57"/>
      <c r="N524" s="57"/>
      <c r="O524" s="57"/>
      <c r="P524" s="57"/>
      <c r="Q524" s="57"/>
    </row>
    <row r="525" spans="11:17" ht="15.75" customHeight="1">
      <c r="K525" s="57"/>
      <c r="L525" s="57"/>
      <c r="M525" s="57"/>
      <c r="N525" s="57"/>
      <c r="O525" s="57"/>
      <c r="P525" s="57"/>
      <c r="Q525" s="57"/>
    </row>
    <row r="526" spans="11:17" ht="15.75" customHeight="1">
      <c r="K526" s="57"/>
      <c r="L526" s="57"/>
      <c r="M526" s="57"/>
      <c r="N526" s="57"/>
      <c r="O526" s="57"/>
      <c r="P526" s="57"/>
      <c r="Q526" s="57"/>
    </row>
    <row r="527" spans="11:17" ht="15.75" customHeight="1">
      <c r="K527" s="57"/>
      <c r="L527" s="57"/>
      <c r="M527" s="57"/>
      <c r="N527" s="57"/>
      <c r="O527" s="57"/>
      <c r="P527" s="57"/>
      <c r="Q527" s="57"/>
    </row>
    <row r="528" spans="11:17" ht="15.75" customHeight="1">
      <c r="K528" s="57"/>
      <c r="L528" s="57"/>
      <c r="M528" s="57"/>
      <c r="N528" s="57"/>
      <c r="O528" s="57"/>
      <c r="P528" s="57"/>
      <c r="Q528" s="57"/>
    </row>
    <row r="529" spans="11:17" ht="15.75" customHeight="1">
      <c r="K529" s="57"/>
      <c r="L529" s="57"/>
      <c r="M529" s="57"/>
      <c r="N529" s="57"/>
      <c r="O529" s="57"/>
      <c r="P529" s="57"/>
      <c r="Q529" s="57"/>
    </row>
    <row r="530" spans="11:17" ht="15.75" customHeight="1">
      <c r="K530" s="57"/>
      <c r="L530" s="57"/>
      <c r="M530" s="57"/>
      <c r="N530" s="57"/>
      <c r="O530" s="57"/>
      <c r="P530" s="57"/>
      <c r="Q530" s="57"/>
    </row>
    <row r="531" spans="11:17" ht="15.75" customHeight="1">
      <c r="K531" s="57"/>
      <c r="L531" s="57"/>
      <c r="M531" s="57"/>
      <c r="N531" s="57"/>
      <c r="O531" s="57"/>
      <c r="P531" s="57"/>
      <c r="Q531" s="57"/>
    </row>
    <row r="532" spans="11:17" ht="15.75" customHeight="1">
      <c r="K532" s="57"/>
      <c r="L532" s="57"/>
      <c r="M532" s="57"/>
      <c r="N532" s="57"/>
      <c r="O532" s="57"/>
      <c r="P532" s="57"/>
      <c r="Q532" s="57"/>
    </row>
    <row r="533" spans="11:17" ht="15.75" customHeight="1">
      <c r="K533" s="57"/>
      <c r="L533" s="57"/>
      <c r="M533" s="57"/>
      <c r="N533" s="57"/>
      <c r="O533" s="57"/>
      <c r="P533" s="57"/>
      <c r="Q533" s="57"/>
    </row>
    <row r="534" spans="11:17" ht="15.75" customHeight="1">
      <c r="K534" s="57"/>
      <c r="L534" s="57"/>
      <c r="M534" s="57"/>
      <c r="N534" s="57"/>
      <c r="O534" s="57"/>
      <c r="P534" s="57"/>
      <c r="Q534" s="57"/>
    </row>
    <row r="535" spans="11:17" ht="15.75" customHeight="1">
      <c r="K535" s="57"/>
      <c r="L535" s="57"/>
      <c r="M535" s="57"/>
      <c r="N535" s="57"/>
      <c r="O535" s="57"/>
      <c r="P535" s="57"/>
      <c r="Q535" s="57"/>
    </row>
    <row r="536" spans="11:17" ht="15.75" customHeight="1">
      <c r="K536" s="57"/>
      <c r="L536" s="57"/>
      <c r="M536" s="57"/>
      <c r="N536" s="57"/>
      <c r="O536" s="57"/>
      <c r="P536" s="57"/>
      <c r="Q536" s="57"/>
    </row>
    <row r="537" spans="11:17" ht="15.75" customHeight="1">
      <c r="K537" s="57"/>
      <c r="L537" s="57"/>
      <c r="M537" s="57"/>
      <c r="N537" s="57"/>
      <c r="O537" s="57"/>
      <c r="P537" s="57"/>
      <c r="Q537" s="57"/>
    </row>
    <row r="538" spans="11:17" ht="15.75" customHeight="1">
      <c r="K538" s="57"/>
      <c r="L538" s="57"/>
      <c r="M538" s="57"/>
      <c r="N538" s="57"/>
      <c r="O538" s="57"/>
      <c r="P538" s="57"/>
      <c r="Q538" s="57"/>
    </row>
    <row r="539" spans="11:17" ht="15.75" customHeight="1">
      <c r="K539" s="57"/>
      <c r="L539" s="57"/>
      <c r="M539" s="57"/>
      <c r="N539" s="57"/>
      <c r="O539" s="57"/>
      <c r="P539" s="57"/>
      <c r="Q539" s="57"/>
    </row>
    <row r="540" spans="11:17" ht="15.75" customHeight="1">
      <c r="K540" s="57"/>
      <c r="L540" s="57"/>
      <c r="M540" s="57"/>
      <c r="N540" s="57"/>
      <c r="O540" s="57"/>
      <c r="P540" s="57"/>
      <c r="Q540" s="57"/>
    </row>
    <row r="541" spans="11:17" ht="15.75" customHeight="1">
      <c r="K541" s="57"/>
      <c r="L541" s="57"/>
      <c r="M541" s="57"/>
      <c r="N541" s="57"/>
      <c r="O541" s="57"/>
      <c r="P541" s="57"/>
      <c r="Q541" s="57"/>
    </row>
    <row r="542" spans="11:17" ht="15.75" customHeight="1">
      <c r="K542" s="57"/>
      <c r="L542" s="57"/>
      <c r="M542" s="57"/>
      <c r="N542" s="57"/>
      <c r="O542" s="57"/>
      <c r="P542" s="57"/>
      <c r="Q542" s="57"/>
    </row>
    <row r="543" spans="11:17" ht="15.75" customHeight="1">
      <c r="K543" s="57"/>
      <c r="L543" s="57"/>
      <c r="M543" s="57"/>
      <c r="N543" s="57"/>
      <c r="O543" s="57"/>
      <c r="P543" s="57"/>
      <c r="Q543" s="57"/>
    </row>
    <row r="544" spans="11:17" ht="15.75" customHeight="1">
      <c r="K544" s="57"/>
      <c r="L544" s="57"/>
      <c r="M544" s="57"/>
      <c r="N544" s="57"/>
      <c r="O544" s="57"/>
      <c r="P544" s="57"/>
      <c r="Q544" s="57"/>
    </row>
    <row r="545" spans="11:17" ht="15.75" customHeight="1">
      <c r="K545" s="57"/>
      <c r="L545" s="57"/>
      <c r="M545" s="57"/>
      <c r="N545" s="57"/>
      <c r="O545" s="57"/>
      <c r="P545" s="57"/>
      <c r="Q545" s="57"/>
    </row>
    <row r="546" spans="11:17" ht="15.75" customHeight="1">
      <c r="K546" s="57"/>
      <c r="L546" s="57"/>
      <c r="M546" s="57"/>
      <c r="N546" s="57"/>
      <c r="O546" s="57"/>
      <c r="P546" s="57"/>
      <c r="Q546" s="57"/>
    </row>
    <row r="547" spans="11:17" ht="15.75" customHeight="1">
      <c r="K547" s="57"/>
      <c r="L547" s="57"/>
      <c r="M547" s="57"/>
      <c r="N547" s="57"/>
      <c r="O547" s="57"/>
      <c r="P547" s="57"/>
      <c r="Q547" s="57"/>
    </row>
    <row r="548" spans="11:17" ht="15.75" customHeight="1">
      <c r="K548" s="57"/>
      <c r="L548" s="57"/>
      <c r="M548" s="57"/>
      <c r="N548" s="57"/>
      <c r="O548" s="57"/>
      <c r="P548" s="57"/>
      <c r="Q548" s="57"/>
    </row>
    <row r="549" spans="11:17" ht="15.75" customHeight="1">
      <c r="K549" s="57"/>
      <c r="L549" s="57"/>
      <c r="M549" s="57"/>
      <c r="N549" s="57"/>
      <c r="O549" s="57"/>
      <c r="P549" s="57"/>
      <c r="Q549" s="57"/>
    </row>
    <row r="550" spans="11:17" ht="15.75" customHeight="1">
      <c r="K550" s="57"/>
      <c r="L550" s="57"/>
      <c r="M550" s="57"/>
      <c r="N550" s="57"/>
      <c r="O550" s="57"/>
      <c r="P550" s="57"/>
      <c r="Q550" s="57"/>
    </row>
    <row r="551" spans="11:17" ht="15.75" customHeight="1">
      <c r="K551" s="57"/>
      <c r="L551" s="57"/>
      <c r="M551" s="57"/>
      <c r="N551" s="57"/>
      <c r="O551" s="57"/>
      <c r="P551" s="57"/>
      <c r="Q551" s="57"/>
    </row>
    <row r="552" spans="11:17" ht="15.75" customHeight="1">
      <c r="K552" s="57"/>
      <c r="L552" s="57"/>
      <c r="M552" s="57"/>
      <c r="N552" s="57"/>
      <c r="O552" s="57"/>
      <c r="P552" s="57"/>
      <c r="Q552" s="57"/>
    </row>
    <row r="553" spans="11:17" ht="15.75" customHeight="1">
      <c r="K553" s="57"/>
      <c r="L553" s="57"/>
      <c r="M553" s="57"/>
      <c r="N553" s="57"/>
      <c r="O553" s="57"/>
      <c r="P553" s="57"/>
      <c r="Q553" s="57"/>
    </row>
    <row r="554" spans="11:17" ht="15.75" customHeight="1">
      <c r="K554" s="57"/>
      <c r="L554" s="57"/>
      <c r="M554" s="57"/>
      <c r="N554" s="57"/>
      <c r="O554" s="57"/>
      <c r="P554" s="57"/>
      <c r="Q554" s="57"/>
    </row>
    <row r="555" spans="11:17" ht="15.75" customHeight="1">
      <c r="K555" s="57"/>
      <c r="L555" s="57"/>
      <c r="M555" s="57"/>
      <c r="N555" s="57"/>
      <c r="O555" s="57"/>
      <c r="P555" s="57"/>
      <c r="Q555" s="57"/>
    </row>
    <row r="556" spans="11:17" ht="15.75" customHeight="1">
      <c r="K556" s="57"/>
      <c r="L556" s="57"/>
      <c r="M556" s="57"/>
      <c r="N556" s="57"/>
      <c r="O556" s="57"/>
      <c r="P556" s="57"/>
      <c r="Q556" s="57"/>
    </row>
    <row r="557" spans="11:17" ht="15.75" customHeight="1">
      <c r="K557" s="57"/>
      <c r="L557" s="57"/>
      <c r="M557" s="57"/>
      <c r="N557" s="57"/>
      <c r="O557" s="57"/>
      <c r="P557" s="57"/>
      <c r="Q557" s="57"/>
    </row>
    <row r="558" spans="11:17" ht="15.75" customHeight="1">
      <c r="K558" s="57"/>
      <c r="L558" s="57"/>
      <c r="M558" s="57"/>
      <c r="N558" s="57"/>
      <c r="O558" s="57"/>
      <c r="P558" s="57"/>
      <c r="Q558" s="57"/>
    </row>
    <row r="559" spans="11:17" ht="15.75" customHeight="1">
      <c r="K559" s="57"/>
      <c r="L559" s="57"/>
      <c r="M559" s="57"/>
      <c r="N559" s="57"/>
      <c r="O559" s="57"/>
      <c r="P559" s="57"/>
      <c r="Q559" s="57"/>
    </row>
    <row r="560" spans="11:17" ht="15.75" customHeight="1">
      <c r="K560" s="57"/>
      <c r="L560" s="57"/>
      <c r="M560" s="57"/>
      <c r="N560" s="57"/>
      <c r="O560" s="57"/>
      <c r="P560" s="57"/>
      <c r="Q560" s="57"/>
    </row>
    <row r="561" spans="11:17" ht="15.75" customHeight="1">
      <c r="K561" s="57"/>
      <c r="L561" s="57"/>
      <c r="M561" s="57"/>
      <c r="N561" s="57"/>
      <c r="O561" s="57"/>
      <c r="P561" s="57"/>
      <c r="Q561" s="57"/>
    </row>
    <row r="562" spans="11:17" ht="15.75" customHeight="1">
      <c r="K562" s="57"/>
      <c r="L562" s="57"/>
      <c r="M562" s="57"/>
      <c r="N562" s="57"/>
      <c r="O562" s="57"/>
      <c r="P562" s="57"/>
      <c r="Q562" s="57"/>
    </row>
    <row r="563" spans="11:17" ht="15.75" customHeight="1">
      <c r="K563" s="57"/>
      <c r="L563" s="57"/>
      <c r="M563" s="57"/>
      <c r="N563" s="57"/>
      <c r="O563" s="57"/>
      <c r="P563" s="57"/>
      <c r="Q563" s="57"/>
    </row>
    <row r="564" spans="11:17" ht="15.75" customHeight="1">
      <c r="K564" s="57"/>
      <c r="L564" s="57"/>
      <c r="M564" s="57"/>
      <c r="N564" s="57"/>
      <c r="O564" s="57"/>
      <c r="P564" s="57"/>
      <c r="Q564" s="57"/>
    </row>
    <row r="565" spans="11:17" ht="15.75" customHeight="1">
      <c r="K565" s="57"/>
      <c r="L565" s="57"/>
      <c r="M565" s="57"/>
      <c r="N565" s="57"/>
      <c r="O565" s="57"/>
      <c r="P565" s="57"/>
      <c r="Q565" s="57"/>
    </row>
    <row r="566" spans="11:17" ht="15.75" customHeight="1">
      <c r="K566" s="57"/>
      <c r="L566" s="57"/>
      <c r="M566" s="57"/>
      <c r="N566" s="57"/>
      <c r="O566" s="57"/>
      <c r="P566" s="57"/>
      <c r="Q566" s="57"/>
    </row>
    <row r="567" spans="11:17" ht="15.75" customHeight="1">
      <c r="K567" s="57"/>
      <c r="L567" s="57"/>
      <c r="M567" s="57"/>
      <c r="N567" s="57"/>
      <c r="O567" s="57"/>
      <c r="P567" s="57"/>
      <c r="Q567" s="57"/>
    </row>
    <row r="568" spans="11:17" ht="15.75" customHeight="1">
      <c r="K568" s="57"/>
      <c r="L568" s="57"/>
      <c r="M568" s="57"/>
      <c r="N568" s="57"/>
      <c r="O568" s="57"/>
      <c r="P568" s="57"/>
      <c r="Q568" s="57"/>
    </row>
    <row r="569" spans="11:17" ht="15.75" customHeight="1">
      <c r="K569" s="57"/>
      <c r="L569" s="57"/>
      <c r="M569" s="57"/>
      <c r="N569" s="57"/>
      <c r="O569" s="57"/>
      <c r="P569" s="57"/>
      <c r="Q569" s="57"/>
    </row>
    <row r="570" spans="11:17" ht="15.75" customHeight="1">
      <c r="K570" s="57"/>
      <c r="L570" s="57"/>
      <c r="M570" s="57"/>
      <c r="N570" s="57"/>
      <c r="O570" s="57"/>
      <c r="P570" s="57"/>
      <c r="Q570" s="57"/>
    </row>
    <row r="571" spans="11:17" ht="15.75" customHeight="1">
      <c r="K571" s="57"/>
      <c r="L571" s="57"/>
      <c r="M571" s="57"/>
      <c r="N571" s="57"/>
      <c r="O571" s="57"/>
      <c r="P571" s="57"/>
      <c r="Q571" s="57"/>
    </row>
    <row r="572" spans="11:17" ht="15.75" customHeight="1">
      <c r="K572" s="57"/>
      <c r="L572" s="57"/>
      <c r="M572" s="57"/>
      <c r="N572" s="57"/>
      <c r="O572" s="57"/>
      <c r="P572" s="57"/>
      <c r="Q572" s="57"/>
    </row>
    <row r="573" spans="11:17" ht="15.75" customHeight="1">
      <c r="K573" s="57"/>
      <c r="L573" s="57"/>
      <c r="M573" s="57"/>
      <c r="N573" s="57"/>
      <c r="O573" s="57"/>
      <c r="P573" s="57"/>
      <c r="Q573" s="57"/>
    </row>
    <row r="574" spans="11:17" ht="15.75" customHeight="1">
      <c r="K574" s="57"/>
      <c r="L574" s="57"/>
      <c r="M574" s="57"/>
      <c r="N574" s="57"/>
      <c r="O574" s="57"/>
      <c r="P574" s="57"/>
      <c r="Q574" s="57"/>
    </row>
    <row r="575" spans="11:17" ht="15.75" customHeight="1">
      <c r="K575" s="57"/>
      <c r="L575" s="57"/>
      <c r="M575" s="57"/>
      <c r="N575" s="57"/>
      <c r="O575" s="57"/>
      <c r="P575" s="57"/>
      <c r="Q575" s="57"/>
    </row>
    <row r="576" spans="11:17" ht="15.75" customHeight="1">
      <c r="K576" s="57"/>
      <c r="L576" s="57"/>
      <c r="M576" s="57"/>
      <c r="N576" s="57"/>
      <c r="O576" s="57"/>
      <c r="P576" s="57"/>
      <c r="Q576" s="57"/>
    </row>
    <row r="577" spans="11:17" ht="15.75" customHeight="1">
      <c r="K577" s="57"/>
      <c r="L577" s="57"/>
      <c r="M577" s="57"/>
      <c r="N577" s="57"/>
      <c r="O577" s="57"/>
      <c r="P577" s="57"/>
      <c r="Q577" s="57"/>
    </row>
    <row r="578" spans="11:17" ht="15.75" customHeight="1">
      <c r="K578" s="57"/>
      <c r="L578" s="57"/>
      <c r="M578" s="57"/>
      <c r="N578" s="57"/>
      <c r="O578" s="57"/>
      <c r="P578" s="57"/>
      <c r="Q578" s="57"/>
    </row>
    <row r="579" spans="11:17" ht="15.75" customHeight="1">
      <c r="K579" s="57"/>
      <c r="L579" s="57"/>
      <c r="M579" s="57"/>
      <c r="N579" s="57"/>
      <c r="O579" s="57"/>
      <c r="P579" s="57"/>
      <c r="Q579" s="57"/>
    </row>
    <row r="580" spans="11:17" ht="15.75" customHeight="1">
      <c r="K580" s="57"/>
      <c r="L580" s="57"/>
      <c r="M580" s="57"/>
      <c r="N580" s="57"/>
      <c r="O580" s="57"/>
      <c r="P580" s="57"/>
      <c r="Q580" s="57"/>
    </row>
    <row r="581" spans="11:17" ht="15.75" customHeight="1">
      <c r="K581" s="57"/>
      <c r="L581" s="57"/>
      <c r="M581" s="57"/>
      <c r="N581" s="57"/>
      <c r="O581" s="57"/>
      <c r="P581" s="57"/>
      <c r="Q581" s="57"/>
    </row>
    <row r="582" spans="11:17" ht="15.75" customHeight="1">
      <c r="K582" s="57"/>
      <c r="L582" s="57"/>
      <c r="M582" s="57"/>
      <c r="N582" s="57"/>
      <c r="O582" s="57"/>
      <c r="P582" s="57"/>
      <c r="Q582" s="57"/>
    </row>
    <row r="583" spans="11:17" ht="15.75" customHeight="1">
      <c r="K583" s="57"/>
      <c r="L583" s="57"/>
      <c r="M583" s="57"/>
      <c r="N583" s="57"/>
      <c r="O583" s="57"/>
      <c r="P583" s="57"/>
      <c r="Q583" s="57"/>
    </row>
    <row r="584" spans="11:17" ht="15.75" customHeight="1">
      <c r="K584" s="57"/>
      <c r="L584" s="57"/>
      <c r="M584" s="57"/>
      <c r="N584" s="57"/>
      <c r="O584" s="57"/>
      <c r="P584" s="57"/>
      <c r="Q584" s="57"/>
    </row>
    <row r="585" spans="11:17" ht="15.75" customHeight="1">
      <c r="K585" s="57"/>
      <c r="L585" s="57"/>
      <c r="M585" s="57"/>
      <c r="N585" s="57"/>
      <c r="O585" s="57"/>
      <c r="P585" s="57"/>
      <c r="Q585" s="57"/>
    </row>
    <row r="586" spans="11:17" ht="15.75" customHeight="1">
      <c r="K586" s="57"/>
      <c r="L586" s="57"/>
      <c r="M586" s="57"/>
      <c r="N586" s="57"/>
      <c r="O586" s="57"/>
      <c r="P586" s="57"/>
      <c r="Q586" s="57"/>
    </row>
    <row r="587" spans="11:17" ht="15.75" customHeight="1">
      <c r="K587" s="57"/>
      <c r="L587" s="57"/>
      <c r="M587" s="57"/>
      <c r="N587" s="57"/>
      <c r="O587" s="57"/>
      <c r="P587" s="57"/>
      <c r="Q587" s="57"/>
    </row>
    <row r="588" spans="11:17" ht="15.75" customHeight="1">
      <c r="K588" s="57"/>
      <c r="L588" s="57"/>
      <c r="M588" s="57"/>
      <c r="N588" s="57"/>
      <c r="O588" s="57"/>
      <c r="P588" s="57"/>
      <c r="Q588" s="57"/>
    </row>
    <row r="589" spans="11:17" ht="15.75" customHeight="1">
      <c r="K589" s="57"/>
      <c r="L589" s="57"/>
      <c r="M589" s="57"/>
      <c r="N589" s="57"/>
      <c r="O589" s="57"/>
      <c r="P589" s="57"/>
      <c r="Q589" s="57"/>
    </row>
    <row r="590" spans="11:17" ht="15.75" customHeight="1">
      <c r="K590" s="57"/>
      <c r="L590" s="57"/>
      <c r="M590" s="57"/>
      <c r="N590" s="57"/>
      <c r="O590" s="57"/>
      <c r="P590" s="57"/>
      <c r="Q590" s="57"/>
    </row>
    <row r="591" spans="11:17" ht="15.75" customHeight="1">
      <c r="K591" s="57"/>
      <c r="L591" s="57"/>
      <c r="M591" s="57"/>
      <c r="N591" s="57"/>
      <c r="O591" s="57"/>
      <c r="P591" s="57"/>
      <c r="Q591" s="57"/>
    </row>
    <row r="592" spans="11:17" ht="15.75" customHeight="1">
      <c r="K592" s="57"/>
      <c r="L592" s="57"/>
      <c r="M592" s="57"/>
      <c r="N592" s="57"/>
      <c r="O592" s="57"/>
      <c r="P592" s="57"/>
      <c r="Q592" s="57"/>
    </row>
    <row r="593" spans="11:17" ht="15.75" customHeight="1">
      <c r="K593" s="57"/>
      <c r="L593" s="57"/>
      <c r="M593" s="57"/>
      <c r="N593" s="57"/>
      <c r="O593" s="57"/>
      <c r="P593" s="57"/>
      <c r="Q593" s="57"/>
    </row>
    <row r="594" spans="11:17" ht="15.75" customHeight="1">
      <c r="K594" s="57"/>
      <c r="L594" s="57"/>
      <c r="M594" s="57"/>
      <c r="N594" s="57"/>
      <c r="O594" s="57"/>
      <c r="P594" s="57"/>
      <c r="Q594" s="57"/>
    </row>
    <row r="595" spans="11:17" ht="15.75" customHeight="1">
      <c r="K595" s="57"/>
      <c r="L595" s="57"/>
      <c r="M595" s="57"/>
      <c r="N595" s="57"/>
      <c r="O595" s="57"/>
      <c r="P595" s="57"/>
      <c r="Q595" s="57"/>
    </row>
    <row r="596" spans="11:17" ht="15.75" customHeight="1">
      <c r="K596" s="57"/>
      <c r="L596" s="57"/>
      <c r="M596" s="57"/>
      <c r="N596" s="57"/>
      <c r="O596" s="57"/>
      <c r="P596" s="57"/>
      <c r="Q596" s="57"/>
    </row>
    <row r="597" spans="11:17" ht="15.75" customHeight="1">
      <c r="K597" s="57"/>
      <c r="L597" s="57"/>
      <c r="M597" s="57"/>
      <c r="N597" s="57"/>
      <c r="O597" s="57"/>
      <c r="P597" s="57"/>
      <c r="Q597" s="57"/>
    </row>
    <row r="598" spans="11:17" ht="15.75" customHeight="1">
      <c r="K598" s="57"/>
      <c r="L598" s="57"/>
      <c r="M598" s="57"/>
      <c r="N598" s="57"/>
      <c r="O598" s="57"/>
      <c r="P598" s="57"/>
      <c r="Q598" s="57"/>
    </row>
    <row r="599" spans="11:17" ht="15.75" customHeight="1">
      <c r="K599" s="57"/>
      <c r="L599" s="57"/>
      <c r="M599" s="57"/>
      <c r="N599" s="57"/>
      <c r="O599" s="57"/>
      <c r="P599" s="57"/>
      <c r="Q599" s="57"/>
    </row>
    <row r="600" spans="11:17" ht="15.75" customHeight="1">
      <c r="K600" s="57"/>
      <c r="L600" s="57"/>
      <c r="M600" s="57"/>
      <c r="N600" s="57"/>
      <c r="O600" s="57"/>
      <c r="P600" s="57"/>
      <c r="Q600" s="57"/>
    </row>
    <row r="601" spans="11:17" ht="15.75" customHeight="1">
      <c r="K601" s="57"/>
      <c r="L601" s="57"/>
      <c r="M601" s="57"/>
      <c r="N601" s="57"/>
      <c r="O601" s="57"/>
      <c r="P601" s="57"/>
      <c r="Q601" s="57"/>
    </row>
    <row r="602" spans="11:17" ht="15.75" customHeight="1">
      <c r="K602" s="57"/>
      <c r="L602" s="57"/>
      <c r="M602" s="57"/>
      <c r="N602" s="57"/>
      <c r="O602" s="57"/>
      <c r="P602" s="57"/>
      <c r="Q602" s="57"/>
    </row>
    <row r="603" spans="11:17" ht="15.75" customHeight="1">
      <c r="K603" s="57"/>
      <c r="L603" s="57"/>
      <c r="M603" s="57"/>
      <c r="N603" s="57"/>
      <c r="O603" s="57"/>
      <c r="P603" s="57"/>
      <c r="Q603" s="57"/>
    </row>
    <row r="604" spans="11:17" ht="15.75" customHeight="1">
      <c r="K604" s="57"/>
      <c r="L604" s="57"/>
      <c r="M604" s="57"/>
      <c r="N604" s="57"/>
      <c r="O604" s="57"/>
      <c r="P604" s="57"/>
      <c r="Q604" s="57"/>
    </row>
    <row r="605" spans="11:17" ht="15.75" customHeight="1">
      <c r="K605" s="57"/>
      <c r="L605" s="57"/>
      <c r="M605" s="57"/>
      <c r="N605" s="57"/>
      <c r="O605" s="57"/>
      <c r="P605" s="57"/>
      <c r="Q605" s="57"/>
    </row>
    <row r="606" spans="11:17" ht="15.75" customHeight="1">
      <c r="K606" s="57"/>
      <c r="L606" s="57"/>
      <c r="M606" s="57"/>
      <c r="N606" s="57"/>
      <c r="O606" s="57"/>
      <c r="P606" s="57"/>
      <c r="Q606" s="57"/>
    </row>
    <row r="607" spans="11:17" ht="15.75" customHeight="1">
      <c r="K607" s="57"/>
      <c r="L607" s="57"/>
      <c r="M607" s="57"/>
      <c r="N607" s="57"/>
      <c r="O607" s="57"/>
      <c r="P607" s="57"/>
      <c r="Q607" s="57"/>
    </row>
    <row r="608" spans="11:17" ht="15.75" customHeight="1">
      <c r="K608" s="57"/>
      <c r="L608" s="57"/>
      <c r="M608" s="57"/>
      <c r="N608" s="57"/>
      <c r="O608" s="57"/>
      <c r="P608" s="57"/>
      <c r="Q608" s="57"/>
    </row>
    <row r="609" spans="11:17" ht="15.75" customHeight="1">
      <c r="K609" s="57"/>
      <c r="L609" s="57"/>
      <c r="M609" s="57"/>
      <c r="N609" s="57"/>
      <c r="O609" s="57"/>
      <c r="P609" s="57"/>
      <c r="Q609" s="57"/>
    </row>
    <row r="610" spans="11:17" ht="15.75" customHeight="1">
      <c r="K610" s="57"/>
      <c r="L610" s="57"/>
      <c r="M610" s="57"/>
      <c r="N610" s="57"/>
      <c r="O610" s="57"/>
      <c r="P610" s="57"/>
      <c r="Q610" s="57"/>
    </row>
    <row r="611" spans="11:17" ht="15.75" customHeight="1">
      <c r="K611" s="57"/>
      <c r="L611" s="57"/>
      <c r="M611" s="57"/>
      <c r="N611" s="57"/>
      <c r="O611" s="57"/>
      <c r="P611" s="57"/>
      <c r="Q611" s="57"/>
    </row>
    <row r="612" spans="11:17" ht="15.75" customHeight="1">
      <c r="K612" s="57"/>
      <c r="L612" s="57"/>
      <c r="M612" s="57"/>
      <c r="N612" s="57"/>
      <c r="O612" s="57"/>
      <c r="P612" s="57"/>
      <c r="Q612" s="57"/>
    </row>
    <row r="613" spans="11:17" ht="15.75" customHeight="1">
      <c r="K613" s="57"/>
      <c r="L613" s="57"/>
      <c r="M613" s="57"/>
      <c r="N613" s="57"/>
      <c r="O613" s="57"/>
      <c r="P613" s="57"/>
      <c r="Q613" s="57"/>
    </row>
    <row r="614" spans="11:17" ht="15.75" customHeight="1">
      <c r="K614" s="57"/>
      <c r="L614" s="57"/>
      <c r="M614" s="57"/>
      <c r="N614" s="57"/>
      <c r="O614" s="57"/>
      <c r="P614" s="57"/>
      <c r="Q614" s="57"/>
    </row>
    <row r="615" spans="11:17" ht="15.75" customHeight="1">
      <c r="K615" s="57"/>
      <c r="L615" s="57"/>
      <c r="M615" s="57"/>
      <c r="N615" s="57"/>
      <c r="O615" s="57"/>
      <c r="P615" s="57"/>
      <c r="Q615" s="57"/>
    </row>
    <row r="616" spans="11:17" ht="15.75" customHeight="1">
      <c r="K616" s="57"/>
      <c r="L616" s="57"/>
      <c r="M616" s="57"/>
      <c r="N616" s="57"/>
      <c r="O616" s="57"/>
      <c r="P616" s="57"/>
      <c r="Q616" s="57"/>
    </row>
    <row r="617" spans="11:17" ht="15.75" customHeight="1">
      <c r="K617" s="57"/>
      <c r="L617" s="57"/>
      <c r="M617" s="57"/>
      <c r="N617" s="57"/>
      <c r="O617" s="57"/>
      <c r="P617" s="57"/>
      <c r="Q617" s="57"/>
    </row>
    <row r="618" spans="11:17" ht="15.75" customHeight="1">
      <c r="K618" s="57"/>
      <c r="L618" s="57"/>
      <c r="M618" s="57"/>
      <c r="N618" s="57"/>
      <c r="O618" s="57"/>
      <c r="P618" s="57"/>
      <c r="Q618" s="57"/>
    </row>
    <row r="619" spans="11:17" ht="15.75" customHeight="1">
      <c r="K619" s="57"/>
      <c r="L619" s="57"/>
      <c r="M619" s="57"/>
      <c r="N619" s="57"/>
      <c r="O619" s="57"/>
      <c r="P619" s="57"/>
      <c r="Q619" s="57"/>
    </row>
    <row r="620" spans="11:17" ht="15.75" customHeight="1">
      <c r="K620" s="57"/>
      <c r="L620" s="57"/>
      <c r="M620" s="57"/>
      <c r="N620" s="57"/>
      <c r="O620" s="57"/>
      <c r="P620" s="57"/>
      <c r="Q620" s="57"/>
    </row>
    <row r="621" spans="11:17" ht="15.75" customHeight="1">
      <c r="K621" s="57"/>
      <c r="L621" s="57"/>
      <c r="M621" s="57"/>
      <c r="N621" s="57"/>
      <c r="O621" s="57"/>
      <c r="P621" s="57"/>
      <c r="Q621" s="57"/>
    </row>
    <row r="622" spans="11:17" ht="15.75" customHeight="1">
      <c r="K622" s="57"/>
      <c r="L622" s="57"/>
      <c r="M622" s="57"/>
      <c r="N622" s="57"/>
      <c r="O622" s="57"/>
      <c r="P622" s="57"/>
      <c r="Q622" s="57"/>
    </row>
    <row r="623" spans="11:17" ht="15.75" customHeight="1">
      <c r="K623" s="57"/>
      <c r="L623" s="57"/>
      <c r="M623" s="57"/>
      <c r="N623" s="57"/>
      <c r="O623" s="57"/>
      <c r="P623" s="57"/>
      <c r="Q623" s="57"/>
    </row>
    <row r="624" spans="11:17" ht="15.75" customHeight="1">
      <c r="K624" s="57"/>
      <c r="L624" s="57"/>
      <c r="M624" s="57"/>
      <c r="N624" s="57"/>
      <c r="O624" s="57"/>
      <c r="P624" s="57"/>
      <c r="Q624" s="57"/>
    </row>
    <row r="625" spans="11:17" ht="15.75" customHeight="1">
      <c r="K625" s="57"/>
      <c r="L625" s="57"/>
      <c r="M625" s="57"/>
      <c r="N625" s="57"/>
      <c r="O625" s="57"/>
      <c r="P625" s="57"/>
      <c r="Q625" s="57"/>
    </row>
    <row r="626" spans="11:17" ht="15.75" customHeight="1">
      <c r="K626" s="57"/>
      <c r="L626" s="57"/>
      <c r="M626" s="57"/>
      <c r="N626" s="57"/>
      <c r="O626" s="57"/>
      <c r="P626" s="57"/>
      <c r="Q626" s="57"/>
    </row>
    <row r="627" spans="11:17" ht="15.75" customHeight="1">
      <c r="K627" s="57"/>
      <c r="L627" s="57"/>
      <c r="M627" s="57"/>
      <c r="N627" s="57"/>
      <c r="O627" s="57"/>
      <c r="P627" s="57"/>
      <c r="Q627" s="57"/>
    </row>
    <row r="628" spans="11:17" ht="15.75" customHeight="1">
      <c r="K628" s="57"/>
      <c r="L628" s="57"/>
      <c r="M628" s="57"/>
      <c r="N628" s="57"/>
      <c r="O628" s="57"/>
      <c r="P628" s="57"/>
      <c r="Q628" s="57"/>
    </row>
    <row r="629" spans="11:17" ht="15.75" customHeight="1">
      <c r="K629" s="57"/>
      <c r="L629" s="57"/>
      <c r="M629" s="57"/>
      <c r="N629" s="57"/>
      <c r="O629" s="57"/>
      <c r="P629" s="57"/>
      <c r="Q629" s="57"/>
    </row>
    <row r="630" spans="11:17" ht="15.75" customHeight="1">
      <c r="K630" s="57"/>
      <c r="L630" s="57"/>
      <c r="M630" s="57"/>
      <c r="N630" s="57"/>
      <c r="O630" s="57"/>
      <c r="P630" s="57"/>
      <c r="Q630" s="57"/>
    </row>
    <row r="631" spans="11:17" ht="15.75" customHeight="1">
      <c r="K631" s="57"/>
      <c r="L631" s="57"/>
      <c r="M631" s="57"/>
      <c r="N631" s="57"/>
      <c r="O631" s="57"/>
      <c r="P631" s="57"/>
      <c r="Q631" s="57"/>
    </row>
    <row r="632" spans="11:17" ht="15.75" customHeight="1">
      <c r="K632" s="57"/>
      <c r="L632" s="57"/>
      <c r="M632" s="57"/>
      <c r="N632" s="57"/>
      <c r="O632" s="57"/>
      <c r="P632" s="57"/>
      <c r="Q632" s="57"/>
    </row>
    <row r="633" spans="11:17" ht="15.75" customHeight="1">
      <c r="K633" s="57"/>
      <c r="L633" s="57"/>
      <c r="M633" s="57"/>
      <c r="N633" s="57"/>
      <c r="O633" s="57"/>
      <c r="P633" s="57"/>
      <c r="Q633" s="57"/>
    </row>
    <row r="634" spans="11:17" ht="15.75" customHeight="1">
      <c r="K634" s="57"/>
      <c r="L634" s="57"/>
      <c r="M634" s="57"/>
      <c r="N634" s="57"/>
      <c r="O634" s="57"/>
      <c r="P634" s="57"/>
      <c r="Q634" s="57"/>
    </row>
    <row r="635" spans="11:17" ht="15.75" customHeight="1">
      <c r="K635" s="57"/>
      <c r="L635" s="57"/>
      <c r="M635" s="57"/>
      <c r="N635" s="57"/>
      <c r="O635" s="57"/>
      <c r="P635" s="57"/>
      <c r="Q635" s="57"/>
    </row>
    <row r="636" spans="11:17" ht="15.75" customHeight="1">
      <c r="K636" s="57"/>
      <c r="L636" s="57"/>
      <c r="M636" s="57"/>
      <c r="N636" s="57"/>
      <c r="O636" s="57"/>
      <c r="P636" s="57"/>
      <c r="Q636" s="57"/>
    </row>
    <row r="637" spans="11:17" ht="15.75" customHeight="1">
      <c r="K637" s="57"/>
      <c r="L637" s="57"/>
      <c r="M637" s="57"/>
      <c r="N637" s="57"/>
      <c r="O637" s="57"/>
      <c r="P637" s="57"/>
      <c r="Q637" s="57"/>
    </row>
    <row r="638" spans="11:17" ht="15.75" customHeight="1">
      <c r="K638" s="57"/>
      <c r="L638" s="57"/>
      <c r="M638" s="57"/>
      <c r="N638" s="57"/>
      <c r="O638" s="57"/>
      <c r="P638" s="57"/>
      <c r="Q638" s="57"/>
    </row>
    <row r="639" spans="11:17" ht="15.75" customHeight="1">
      <c r="K639" s="57"/>
      <c r="L639" s="57"/>
      <c r="M639" s="57"/>
      <c r="N639" s="57"/>
      <c r="O639" s="57"/>
      <c r="P639" s="57"/>
      <c r="Q639" s="57"/>
    </row>
    <row r="640" spans="11:17" ht="15.75" customHeight="1">
      <c r="K640" s="57"/>
      <c r="L640" s="57"/>
      <c r="M640" s="57"/>
      <c r="N640" s="57"/>
      <c r="O640" s="57"/>
      <c r="P640" s="57"/>
      <c r="Q640" s="57"/>
    </row>
    <row r="641" spans="11:17" ht="15.75" customHeight="1">
      <c r="K641" s="57"/>
      <c r="L641" s="57"/>
      <c r="M641" s="57"/>
      <c r="N641" s="57"/>
      <c r="O641" s="57"/>
      <c r="P641" s="57"/>
      <c r="Q641" s="57"/>
    </row>
    <row r="642" spans="11:17" ht="15.75" customHeight="1">
      <c r="K642" s="57"/>
      <c r="L642" s="57"/>
      <c r="M642" s="57"/>
      <c r="N642" s="57"/>
      <c r="O642" s="57"/>
      <c r="P642" s="57"/>
      <c r="Q642" s="57"/>
    </row>
    <row r="643" spans="11:17" ht="15.75" customHeight="1">
      <c r="K643" s="57"/>
      <c r="L643" s="57"/>
      <c r="M643" s="57"/>
      <c r="N643" s="57"/>
      <c r="O643" s="57"/>
      <c r="P643" s="57"/>
      <c r="Q643" s="57"/>
    </row>
    <row r="644" spans="11:17" ht="15.75" customHeight="1">
      <c r="K644" s="57"/>
      <c r="L644" s="57"/>
      <c r="M644" s="57"/>
      <c r="N644" s="57"/>
      <c r="O644" s="57"/>
      <c r="P644" s="57"/>
      <c r="Q644" s="57"/>
    </row>
    <row r="645" spans="11:17" ht="15.75" customHeight="1">
      <c r="K645" s="57"/>
      <c r="L645" s="57"/>
      <c r="M645" s="57"/>
      <c r="N645" s="57"/>
      <c r="O645" s="57"/>
      <c r="P645" s="57"/>
      <c r="Q645" s="57"/>
    </row>
    <row r="646" spans="11:17" ht="15.75" customHeight="1">
      <c r="K646" s="57"/>
      <c r="L646" s="57"/>
      <c r="M646" s="57"/>
      <c r="N646" s="57"/>
      <c r="O646" s="57"/>
      <c r="P646" s="57"/>
      <c r="Q646" s="57"/>
    </row>
    <row r="647" spans="11:17" ht="15.75" customHeight="1">
      <c r="K647" s="57"/>
      <c r="L647" s="57"/>
      <c r="M647" s="57"/>
      <c r="N647" s="57"/>
      <c r="O647" s="57"/>
      <c r="P647" s="57"/>
      <c r="Q647" s="57"/>
    </row>
    <row r="648" spans="11:17" ht="15.75" customHeight="1">
      <c r="K648" s="57"/>
      <c r="L648" s="57"/>
      <c r="M648" s="57"/>
      <c r="N648" s="57"/>
      <c r="O648" s="57"/>
      <c r="P648" s="57"/>
      <c r="Q648" s="57"/>
    </row>
    <row r="649" spans="11:17" ht="15.75" customHeight="1">
      <c r="K649" s="57"/>
      <c r="L649" s="57"/>
      <c r="M649" s="57"/>
      <c r="N649" s="57"/>
      <c r="O649" s="57"/>
      <c r="P649" s="57"/>
      <c r="Q649" s="57"/>
    </row>
    <row r="650" spans="11:17" ht="15.75" customHeight="1">
      <c r="K650" s="57"/>
      <c r="L650" s="57"/>
      <c r="M650" s="57"/>
      <c r="N650" s="57"/>
      <c r="O650" s="57"/>
      <c r="P650" s="57"/>
      <c r="Q650" s="57"/>
    </row>
    <row r="651" spans="11:17" ht="15.75" customHeight="1">
      <c r="K651" s="57"/>
      <c r="L651" s="57"/>
      <c r="M651" s="57"/>
      <c r="N651" s="57"/>
      <c r="O651" s="57"/>
      <c r="P651" s="57"/>
      <c r="Q651" s="57"/>
    </row>
    <row r="652" spans="11:17" ht="15.75" customHeight="1">
      <c r="K652" s="57"/>
      <c r="L652" s="57"/>
      <c r="M652" s="57"/>
      <c r="N652" s="57"/>
      <c r="O652" s="57"/>
      <c r="P652" s="57"/>
      <c r="Q652" s="57"/>
    </row>
    <row r="653" spans="11:17" ht="15.75" customHeight="1">
      <c r="K653" s="57"/>
      <c r="L653" s="57"/>
      <c r="M653" s="57"/>
      <c r="N653" s="57"/>
      <c r="O653" s="57"/>
      <c r="P653" s="57"/>
      <c r="Q653" s="57"/>
    </row>
    <row r="654" spans="11:17" ht="15.75" customHeight="1">
      <c r="K654" s="57"/>
      <c r="L654" s="57"/>
      <c r="M654" s="57"/>
      <c r="N654" s="57"/>
      <c r="O654" s="57"/>
      <c r="P654" s="57"/>
      <c r="Q654" s="57"/>
    </row>
    <row r="655" spans="11:17" ht="15.75" customHeight="1">
      <c r="K655" s="57"/>
      <c r="L655" s="57"/>
      <c r="M655" s="57"/>
      <c r="N655" s="57"/>
      <c r="O655" s="57"/>
      <c r="P655" s="57"/>
      <c r="Q655" s="57"/>
    </row>
    <row r="656" spans="11:17" ht="15.75" customHeight="1">
      <c r="K656" s="57"/>
      <c r="L656" s="57"/>
      <c r="M656" s="57"/>
      <c r="N656" s="57"/>
      <c r="O656" s="57"/>
      <c r="P656" s="57"/>
      <c r="Q656" s="57"/>
    </row>
    <row r="657" spans="11:17" ht="15.75" customHeight="1">
      <c r="K657" s="57"/>
      <c r="L657" s="57"/>
      <c r="M657" s="57"/>
      <c r="N657" s="57"/>
      <c r="O657" s="57"/>
      <c r="P657" s="57"/>
      <c r="Q657" s="57"/>
    </row>
    <row r="658" spans="11:17" ht="15.75" customHeight="1">
      <c r="K658" s="57"/>
      <c r="L658" s="57"/>
      <c r="M658" s="57"/>
      <c r="N658" s="57"/>
      <c r="O658" s="57"/>
      <c r="P658" s="57"/>
      <c r="Q658" s="57"/>
    </row>
    <row r="659" spans="11:17" ht="15.75" customHeight="1">
      <c r="K659" s="57"/>
      <c r="L659" s="57"/>
      <c r="M659" s="57"/>
      <c r="N659" s="57"/>
      <c r="O659" s="57"/>
      <c r="P659" s="57"/>
      <c r="Q659" s="57"/>
    </row>
    <row r="660" spans="11:17" ht="15.75" customHeight="1">
      <c r="K660" s="57"/>
      <c r="L660" s="57"/>
      <c r="M660" s="57"/>
      <c r="N660" s="57"/>
      <c r="O660" s="57"/>
      <c r="P660" s="57"/>
      <c r="Q660" s="57"/>
    </row>
    <row r="661" spans="11:17" ht="15.75" customHeight="1">
      <c r="K661" s="57"/>
      <c r="L661" s="57"/>
      <c r="M661" s="57"/>
      <c r="N661" s="57"/>
      <c r="O661" s="57"/>
      <c r="P661" s="57"/>
      <c r="Q661" s="57"/>
    </row>
    <row r="662" spans="11:17" ht="15.75" customHeight="1">
      <c r="K662" s="57"/>
      <c r="L662" s="57"/>
      <c r="M662" s="57"/>
      <c r="N662" s="57"/>
      <c r="O662" s="57"/>
      <c r="P662" s="57"/>
      <c r="Q662" s="57"/>
    </row>
    <row r="663" spans="11:17" ht="15.75" customHeight="1">
      <c r="K663" s="57"/>
      <c r="L663" s="57"/>
      <c r="M663" s="57"/>
      <c r="N663" s="57"/>
      <c r="O663" s="57"/>
      <c r="P663" s="57"/>
      <c r="Q663" s="57"/>
    </row>
    <row r="664" spans="11:17" ht="15.75" customHeight="1">
      <c r="K664" s="57"/>
      <c r="L664" s="57"/>
      <c r="M664" s="57"/>
      <c r="N664" s="57"/>
      <c r="O664" s="57"/>
      <c r="P664" s="57"/>
      <c r="Q664" s="57"/>
    </row>
    <row r="665" spans="11:17" ht="15.75" customHeight="1">
      <c r="K665" s="57"/>
      <c r="L665" s="57"/>
      <c r="M665" s="57"/>
      <c r="N665" s="57"/>
      <c r="O665" s="57"/>
      <c r="P665" s="57"/>
      <c r="Q665" s="57"/>
    </row>
    <row r="666" spans="11:17" ht="15.75" customHeight="1">
      <c r="K666" s="57"/>
      <c r="L666" s="57"/>
      <c r="M666" s="57"/>
      <c r="N666" s="57"/>
      <c r="O666" s="57"/>
      <c r="P666" s="57"/>
      <c r="Q666" s="57"/>
    </row>
    <row r="667" spans="11:17" ht="15.75" customHeight="1">
      <c r="K667" s="57"/>
      <c r="L667" s="57"/>
      <c r="M667" s="57"/>
      <c r="N667" s="57"/>
      <c r="O667" s="57"/>
      <c r="P667" s="57"/>
      <c r="Q667" s="57"/>
    </row>
    <row r="668" spans="11:17" ht="15.75" customHeight="1">
      <c r="K668" s="57"/>
      <c r="L668" s="57"/>
      <c r="M668" s="57"/>
      <c r="N668" s="57"/>
      <c r="O668" s="57"/>
      <c r="P668" s="57"/>
      <c r="Q668" s="57"/>
    </row>
    <row r="669" spans="11:17" ht="15.75" customHeight="1">
      <c r="K669" s="57"/>
      <c r="L669" s="57"/>
      <c r="M669" s="57"/>
      <c r="N669" s="57"/>
      <c r="O669" s="57"/>
      <c r="P669" s="57"/>
      <c r="Q669" s="57"/>
    </row>
    <row r="670" spans="11:17" ht="15.75" customHeight="1">
      <c r="K670" s="57"/>
      <c r="L670" s="57"/>
      <c r="M670" s="57"/>
      <c r="N670" s="57"/>
      <c r="O670" s="57"/>
      <c r="P670" s="57"/>
      <c r="Q670" s="57"/>
    </row>
    <row r="671" spans="11:17" ht="15.75" customHeight="1">
      <c r="K671" s="57"/>
      <c r="L671" s="57"/>
      <c r="M671" s="57"/>
      <c r="N671" s="57"/>
      <c r="O671" s="57"/>
      <c r="P671" s="57"/>
      <c r="Q671" s="57"/>
    </row>
    <row r="672" spans="11:17" ht="15.75" customHeight="1">
      <c r="K672" s="57"/>
      <c r="L672" s="57"/>
      <c r="M672" s="57"/>
      <c r="N672" s="57"/>
      <c r="O672" s="57"/>
      <c r="P672" s="57"/>
      <c r="Q672" s="57"/>
    </row>
    <row r="673" spans="11:17" ht="15.75" customHeight="1">
      <c r="K673" s="57"/>
      <c r="L673" s="57"/>
      <c r="M673" s="57"/>
      <c r="N673" s="57"/>
      <c r="O673" s="57"/>
      <c r="P673" s="57"/>
      <c r="Q673" s="57"/>
    </row>
    <row r="674" spans="11:17" ht="15.75" customHeight="1">
      <c r="K674" s="57"/>
      <c r="L674" s="57"/>
      <c r="M674" s="57"/>
      <c r="N674" s="57"/>
      <c r="O674" s="57"/>
      <c r="P674" s="57"/>
      <c r="Q674" s="57"/>
    </row>
    <row r="675" spans="11:17" ht="15.75" customHeight="1">
      <c r="K675" s="57"/>
      <c r="L675" s="57"/>
      <c r="M675" s="57"/>
      <c r="N675" s="57"/>
      <c r="O675" s="57"/>
      <c r="P675" s="57"/>
      <c r="Q675" s="57"/>
    </row>
    <row r="676" spans="11:17" ht="15.75" customHeight="1">
      <c r="K676" s="57"/>
      <c r="L676" s="57"/>
      <c r="M676" s="57"/>
      <c r="N676" s="57"/>
      <c r="O676" s="57"/>
      <c r="P676" s="57"/>
      <c r="Q676" s="57"/>
    </row>
    <row r="677" spans="11:17" ht="15.75" customHeight="1">
      <c r="K677" s="57"/>
      <c r="L677" s="57"/>
      <c r="M677" s="57"/>
      <c r="N677" s="57"/>
      <c r="O677" s="57"/>
      <c r="P677" s="57"/>
      <c r="Q677" s="57"/>
    </row>
    <row r="678" spans="11:17" ht="15.75" customHeight="1">
      <c r="K678" s="57"/>
      <c r="L678" s="57"/>
      <c r="M678" s="57"/>
      <c r="N678" s="57"/>
      <c r="O678" s="57"/>
      <c r="P678" s="57"/>
      <c r="Q678" s="57"/>
    </row>
    <row r="679" spans="11:17" ht="15.75" customHeight="1">
      <c r="K679" s="57"/>
      <c r="L679" s="57"/>
      <c r="M679" s="57"/>
      <c r="N679" s="57"/>
      <c r="O679" s="57"/>
      <c r="P679" s="57"/>
      <c r="Q679" s="57"/>
    </row>
    <row r="680" spans="11:17" ht="15.75" customHeight="1">
      <c r="K680" s="57"/>
      <c r="L680" s="57"/>
      <c r="M680" s="57"/>
      <c r="N680" s="57"/>
      <c r="O680" s="57"/>
      <c r="P680" s="57"/>
      <c r="Q680" s="57"/>
    </row>
    <row r="681" spans="11:17" ht="15.75" customHeight="1">
      <c r="K681" s="57"/>
      <c r="L681" s="57"/>
      <c r="M681" s="57"/>
      <c r="N681" s="57"/>
      <c r="O681" s="57"/>
      <c r="P681" s="57"/>
      <c r="Q681" s="57"/>
    </row>
    <row r="682" spans="11:17" ht="15.75" customHeight="1">
      <c r="K682" s="57"/>
      <c r="L682" s="57"/>
      <c r="M682" s="57"/>
      <c r="N682" s="57"/>
      <c r="O682" s="57"/>
      <c r="P682" s="57"/>
      <c r="Q682" s="57"/>
    </row>
    <row r="683" spans="11:17" ht="15.75" customHeight="1">
      <c r="K683" s="57"/>
      <c r="L683" s="57"/>
      <c r="M683" s="57"/>
      <c r="N683" s="57"/>
      <c r="O683" s="57"/>
      <c r="P683" s="57"/>
      <c r="Q683" s="57"/>
    </row>
    <row r="684" spans="11:17" ht="15.75" customHeight="1">
      <c r="K684" s="57"/>
      <c r="L684" s="57"/>
      <c r="M684" s="57"/>
      <c r="N684" s="57"/>
      <c r="O684" s="57"/>
      <c r="P684" s="57"/>
      <c r="Q684" s="57"/>
    </row>
    <row r="685" spans="11:17" ht="15.75" customHeight="1">
      <c r="K685" s="57"/>
      <c r="L685" s="57"/>
      <c r="M685" s="57"/>
      <c r="N685" s="57"/>
      <c r="O685" s="57"/>
      <c r="P685" s="57"/>
      <c r="Q685" s="57"/>
    </row>
    <row r="686" spans="11:17" ht="15.75" customHeight="1">
      <c r="K686" s="57"/>
      <c r="L686" s="57"/>
      <c r="M686" s="57"/>
      <c r="N686" s="57"/>
      <c r="O686" s="57"/>
      <c r="P686" s="57"/>
      <c r="Q686" s="57"/>
    </row>
    <row r="687" spans="11:17" ht="15.75" customHeight="1">
      <c r="K687" s="57"/>
      <c r="L687" s="57"/>
      <c r="M687" s="57"/>
      <c r="N687" s="57"/>
      <c r="O687" s="57"/>
      <c r="P687" s="57"/>
      <c r="Q687" s="57"/>
    </row>
    <row r="688" spans="11:17" ht="15.75" customHeight="1">
      <c r="K688" s="57"/>
      <c r="L688" s="57"/>
      <c r="M688" s="57"/>
      <c r="N688" s="57"/>
      <c r="O688" s="57"/>
      <c r="P688" s="57"/>
      <c r="Q688" s="57"/>
    </row>
    <row r="689" spans="11:17" ht="15.75" customHeight="1">
      <c r="K689" s="57"/>
      <c r="L689" s="57"/>
      <c r="M689" s="57"/>
      <c r="N689" s="57"/>
      <c r="O689" s="57"/>
      <c r="P689" s="57"/>
      <c r="Q689" s="57"/>
    </row>
    <row r="690" spans="11:17" ht="15.75" customHeight="1">
      <c r="K690" s="57"/>
      <c r="L690" s="57"/>
      <c r="M690" s="57"/>
      <c r="N690" s="57"/>
      <c r="O690" s="57"/>
      <c r="P690" s="57"/>
      <c r="Q690" s="57"/>
    </row>
    <row r="691" spans="11:17" ht="15.75" customHeight="1">
      <c r="K691" s="57"/>
      <c r="L691" s="57"/>
      <c r="M691" s="57"/>
      <c r="N691" s="57"/>
      <c r="O691" s="57"/>
      <c r="P691" s="57"/>
      <c r="Q691" s="57"/>
    </row>
    <row r="692" spans="11:17" ht="15.75" customHeight="1">
      <c r="K692" s="57"/>
      <c r="L692" s="57"/>
      <c r="M692" s="57"/>
      <c r="N692" s="57"/>
      <c r="O692" s="57"/>
      <c r="P692" s="57"/>
      <c r="Q692" s="57"/>
    </row>
    <row r="693" spans="11:17" ht="15.75" customHeight="1">
      <c r="K693" s="57"/>
      <c r="L693" s="57"/>
      <c r="M693" s="57"/>
      <c r="N693" s="57"/>
      <c r="O693" s="57"/>
      <c r="P693" s="57"/>
      <c r="Q693" s="57"/>
    </row>
    <row r="694" spans="11:17" ht="15.75" customHeight="1">
      <c r="K694" s="57"/>
      <c r="L694" s="57"/>
      <c r="M694" s="57"/>
      <c r="N694" s="57"/>
      <c r="O694" s="57"/>
      <c r="P694" s="57"/>
      <c r="Q694" s="57"/>
    </row>
    <row r="695" spans="11:17" ht="15.75" customHeight="1">
      <c r="K695" s="57"/>
      <c r="L695" s="57"/>
      <c r="M695" s="57"/>
      <c r="N695" s="57"/>
      <c r="O695" s="57"/>
      <c r="P695" s="57"/>
      <c r="Q695" s="57"/>
    </row>
    <row r="696" spans="11:17" ht="15.75" customHeight="1">
      <c r="K696" s="57"/>
      <c r="L696" s="57"/>
      <c r="M696" s="57"/>
      <c r="N696" s="57"/>
      <c r="O696" s="57"/>
      <c r="P696" s="57"/>
      <c r="Q696" s="57"/>
    </row>
    <row r="697" spans="11:17" ht="15.75" customHeight="1">
      <c r="K697" s="57"/>
      <c r="L697" s="57"/>
      <c r="M697" s="57"/>
      <c r="N697" s="57"/>
      <c r="O697" s="57"/>
      <c r="P697" s="57"/>
      <c r="Q697" s="57"/>
    </row>
    <row r="698" spans="11:17" ht="15.75" customHeight="1">
      <c r="K698" s="57"/>
      <c r="L698" s="57"/>
      <c r="M698" s="57"/>
      <c r="N698" s="57"/>
      <c r="O698" s="57"/>
      <c r="P698" s="57"/>
      <c r="Q698" s="57"/>
    </row>
    <row r="699" spans="11:17" ht="15.75" customHeight="1">
      <c r="K699" s="57"/>
      <c r="L699" s="57"/>
      <c r="M699" s="57"/>
      <c r="N699" s="57"/>
      <c r="O699" s="57"/>
      <c r="P699" s="57"/>
      <c r="Q699" s="57"/>
    </row>
    <row r="700" spans="11:17" ht="15.75" customHeight="1">
      <c r="K700" s="57"/>
      <c r="L700" s="57"/>
      <c r="M700" s="57"/>
      <c r="N700" s="57"/>
      <c r="O700" s="57"/>
      <c r="P700" s="57"/>
      <c r="Q700" s="57"/>
    </row>
    <row r="701" spans="11:17" ht="15.75" customHeight="1">
      <c r="K701" s="57"/>
      <c r="L701" s="57"/>
      <c r="M701" s="57"/>
      <c r="N701" s="57"/>
      <c r="O701" s="57"/>
      <c r="P701" s="57"/>
      <c r="Q701" s="57"/>
    </row>
    <row r="702" spans="11:17" ht="15.75" customHeight="1">
      <c r="K702" s="57"/>
      <c r="L702" s="57"/>
      <c r="M702" s="57"/>
      <c r="N702" s="57"/>
      <c r="O702" s="57"/>
      <c r="P702" s="57"/>
      <c r="Q702" s="57"/>
    </row>
    <row r="703" spans="11:17" ht="15.75" customHeight="1">
      <c r="K703" s="57"/>
      <c r="L703" s="57"/>
      <c r="M703" s="57"/>
      <c r="N703" s="57"/>
      <c r="O703" s="57"/>
      <c r="P703" s="57"/>
      <c r="Q703" s="57"/>
    </row>
    <row r="704" spans="11:17" ht="15.75" customHeight="1">
      <c r="K704" s="57"/>
      <c r="L704" s="57"/>
      <c r="M704" s="57"/>
      <c r="N704" s="57"/>
      <c r="O704" s="57"/>
      <c r="P704" s="57"/>
      <c r="Q704" s="57"/>
    </row>
    <row r="705" spans="11:17" ht="15.75" customHeight="1">
      <c r="K705" s="57"/>
      <c r="L705" s="57"/>
      <c r="M705" s="57"/>
      <c r="N705" s="57"/>
      <c r="O705" s="57"/>
      <c r="P705" s="57"/>
      <c r="Q705" s="57"/>
    </row>
    <row r="706" spans="11:17" ht="15.75" customHeight="1">
      <c r="K706" s="57"/>
      <c r="L706" s="57"/>
      <c r="M706" s="57"/>
      <c r="N706" s="57"/>
      <c r="O706" s="57"/>
      <c r="P706" s="57"/>
      <c r="Q706" s="57"/>
    </row>
    <row r="707" spans="11:17" ht="15.75" customHeight="1">
      <c r="K707" s="57"/>
      <c r="L707" s="57"/>
      <c r="M707" s="57"/>
      <c r="N707" s="57"/>
      <c r="O707" s="57"/>
      <c r="P707" s="57"/>
      <c r="Q707" s="57"/>
    </row>
    <row r="708" spans="11:17" ht="15.75" customHeight="1">
      <c r="K708" s="57"/>
      <c r="L708" s="57"/>
      <c r="M708" s="57"/>
      <c r="N708" s="57"/>
      <c r="O708" s="57"/>
      <c r="P708" s="57"/>
      <c r="Q708" s="57"/>
    </row>
    <row r="709" spans="11:17" ht="15.75" customHeight="1">
      <c r="K709" s="57"/>
      <c r="L709" s="57"/>
      <c r="M709" s="57"/>
      <c r="N709" s="57"/>
      <c r="O709" s="57"/>
      <c r="P709" s="57"/>
      <c r="Q709" s="57"/>
    </row>
    <row r="710" spans="11:17" ht="15.75" customHeight="1">
      <c r="K710" s="57"/>
      <c r="L710" s="57"/>
      <c r="M710" s="57"/>
      <c r="N710" s="57"/>
      <c r="O710" s="57"/>
      <c r="P710" s="57"/>
      <c r="Q710" s="57"/>
    </row>
    <row r="711" spans="11:17" ht="15.75" customHeight="1">
      <c r="K711" s="57"/>
      <c r="L711" s="57"/>
      <c r="M711" s="57"/>
      <c r="N711" s="57"/>
      <c r="O711" s="57"/>
      <c r="P711" s="57"/>
      <c r="Q711" s="57"/>
    </row>
    <row r="712" spans="11:17" ht="15.75" customHeight="1">
      <c r="K712" s="57"/>
      <c r="L712" s="57"/>
      <c r="M712" s="57"/>
      <c r="N712" s="57"/>
      <c r="O712" s="57"/>
      <c r="P712" s="57"/>
      <c r="Q712" s="57"/>
    </row>
    <row r="713" spans="11:17" ht="15.75" customHeight="1">
      <c r="K713" s="57"/>
      <c r="L713" s="57"/>
      <c r="M713" s="57"/>
      <c r="N713" s="57"/>
      <c r="O713" s="57"/>
      <c r="P713" s="57"/>
      <c r="Q713" s="57"/>
    </row>
    <row r="714" spans="11:17" ht="15.75" customHeight="1">
      <c r="K714" s="57"/>
      <c r="L714" s="57"/>
      <c r="M714" s="57"/>
      <c r="N714" s="57"/>
      <c r="O714" s="57"/>
      <c r="P714" s="57"/>
      <c r="Q714" s="57"/>
    </row>
    <row r="715" spans="11:17" ht="15.75" customHeight="1">
      <c r="K715" s="57"/>
      <c r="L715" s="57"/>
      <c r="M715" s="57"/>
      <c r="N715" s="57"/>
      <c r="O715" s="57"/>
      <c r="P715" s="57"/>
      <c r="Q715" s="57"/>
    </row>
    <row r="716" spans="11:17" ht="15.75" customHeight="1">
      <c r="K716" s="57"/>
      <c r="L716" s="57"/>
      <c r="M716" s="57"/>
      <c r="N716" s="57"/>
      <c r="O716" s="57"/>
      <c r="P716" s="57"/>
      <c r="Q716" s="57"/>
    </row>
    <row r="717" spans="11:17" ht="15.75" customHeight="1">
      <c r="K717" s="57"/>
      <c r="L717" s="57"/>
      <c r="M717" s="57"/>
      <c r="N717" s="57"/>
      <c r="O717" s="57"/>
      <c r="P717" s="57"/>
      <c r="Q717" s="57"/>
    </row>
    <row r="718" spans="11:17" ht="15.75" customHeight="1">
      <c r="K718" s="57"/>
      <c r="L718" s="57"/>
      <c r="M718" s="57"/>
      <c r="N718" s="57"/>
      <c r="O718" s="57"/>
      <c r="P718" s="57"/>
      <c r="Q718" s="57"/>
    </row>
    <row r="719" spans="11:17" ht="15.75" customHeight="1">
      <c r="K719" s="57"/>
      <c r="L719" s="57"/>
      <c r="M719" s="57"/>
      <c r="N719" s="57"/>
      <c r="O719" s="57"/>
      <c r="P719" s="57"/>
      <c r="Q719" s="57"/>
    </row>
    <row r="720" spans="11:17" ht="15.75" customHeight="1">
      <c r="K720" s="57"/>
      <c r="L720" s="57"/>
      <c r="M720" s="57"/>
      <c r="N720" s="57"/>
      <c r="O720" s="57"/>
      <c r="P720" s="57"/>
      <c r="Q720" s="57"/>
    </row>
    <row r="721" spans="11:17" ht="15.75" customHeight="1">
      <c r="K721" s="57"/>
      <c r="L721" s="57"/>
      <c r="M721" s="57"/>
      <c r="N721" s="57"/>
      <c r="O721" s="57"/>
      <c r="P721" s="57"/>
      <c r="Q721" s="57"/>
    </row>
    <row r="722" spans="11:17" ht="15.75" customHeight="1">
      <c r="K722" s="57"/>
      <c r="L722" s="57"/>
      <c r="M722" s="57"/>
      <c r="N722" s="57"/>
      <c r="O722" s="57"/>
      <c r="P722" s="57"/>
      <c r="Q722" s="57"/>
    </row>
    <row r="723" spans="11:17" ht="15.75" customHeight="1">
      <c r="K723" s="57"/>
      <c r="L723" s="57"/>
      <c r="M723" s="57"/>
      <c r="N723" s="57"/>
      <c r="O723" s="57"/>
      <c r="P723" s="57"/>
      <c r="Q723" s="57"/>
    </row>
    <row r="724" spans="11:17" ht="15.75" customHeight="1">
      <c r="K724" s="57"/>
      <c r="L724" s="57"/>
      <c r="M724" s="57"/>
      <c r="N724" s="57"/>
      <c r="O724" s="57"/>
      <c r="P724" s="57"/>
      <c r="Q724" s="57"/>
    </row>
    <row r="725" spans="11:17" ht="15.75" customHeight="1">
      <c r="K725" s="57"/>
      <c r="L725" s="57"/>
      <c r="M725" s="57"/>
      <c r="N725" s="57"/>
      <c r="O725" s="57"/>
      <c r="P725" s="57"/>
      <c r="Q725" s="57"/>
    </row>
    <row r="726" spans="11:17" ht="15.75" customHeight="1">
      <c r="K726" s="57"/>
      <c r="L726" s="57"/>
      <c r="M726" s="57"/>
      <c r="N726" s="57"/>
      <c r="O726" s="57"/>
      <c r="P726" s="57"/>
      <c r="Q726" s="57"/>
    </row>
    <row r="727" spans="11:17" ht="15.75" customHeight="1">
      <c r="K727" s="57"/>
      <c r="L727" s="57"/>
      <c r="M727" s="57"/>
      <c r="N727" s="57"/>
      <c r="O727" s="57"/>
      <c r="P727" s="57"/>
      <c r="Q727" s="57"/>
    </row>
    <row r="728" spans="11:17" ht="15.75" customHeight="1">
      <c r="K728" s="57"/>
      <c r="L728" s="57"/>
      <c r="M728" s="57"/>
      <c r="N728" s="57"/>
      <c r="O728" s="57"/>
      <c r="P728" s="57"/>
      <c r="Q728" s="57"/>
    </row>
    <row r="729" spans="11:17" ht="15.75" customHeight="1">
      <c r="K729" s="57"/>
      <c r="L729" s="57"/>
      <c r="M729" s="57"/>
      <c r="N729" s="57"/>
      <c r="O729" s="57"/>
      <c r="P729" s="57"/>
      <c r="Q729" s="57"/>
    </row>
    <row r="730" spans="11:17" ht="15.75" customHeight="1">
      <c r="K730" s="57"/>
      <c r="L730" s="57"/>
      <c r="M730" s="57"/>
      <c r="N730" s="57"/>
      <c r="O730" s="57"/>
      <c r="P730" s="57"/>
      <c r="Q730" s="57"/>
    </row>
    <row r="731" spans="11:17" ht="15.75" customHeight="1">
      <c r="K731" s="57"/>
      <c r="L731" s="57"/>
      <c r="M731" s="57"/>
      <c r="N731" s="57"/>
      <c r="O731" s="57"/>
      <c r="P731" s="57"/>
      <c r="Q731" s="57"/>
    </row>
    <row r="732" spans="11:17" ht="15.75" customHeight="1">
      <c r="K732" s="57"/>
      <c r="L732" s="57"/>
      <c r="M732" s="57"/>
      <c r="N732" s="57"/>
      <c r="O732" s="57"/>
      <c r="P732" s="57"/>
      <c r="Q732" s="57"/>
    </row>
    <row r="733" spans="11:17" ht="15.75" customHeight="1">
      <c r="K733" s="57"/>
      <c r="L733" s="57"/>
      <c r="M733" s="57"/>
      <c r="N733" s="57"/>
      <c r="O733" s="57"/>
      <c r="P733" s="57"/>
      <c r="Q733" s="57"/>
    </row>
    <row r="734" spans="11:17" ht="15.75" customHeight="1">
      <c r="K734" s="57"/>
      <c r="L734" s="57"/>
      <c r="M734" s="57"/>
      <c r="N734" s="57"/>
      <c r="O734" s="57"/>
      <c r="P734" s="57"/>
      <c r="Q734" s="57"/>
    </row>
    <row r="735" spans="11:17" ht="15.75" customHeight="1">
      <c r="K735" s="57"/>
      <c r="L735" s="57"/>
      <c r="M735" s="57"/>
      <c r="N735" s="57"/>
      <c r="O735" s="57"/>
      <c r="P735" s="57"/>
      <c r="Q735" s="57"/>
    </row>
    <row r="736" spans="11:17" ht="15.75" customHeight="1">
      <c r="K736" s="57"/>
      <c r="L736" s="57"/>
      <c r="M736" s="57"/>
      <c r="N736" s="57"/>
      <c r="O736" s="57"/>
      <c r="P736" s="57"/>
      <c r="Q736" s="57"/>
    </row>
    <row r="737" spans="11:17" ht="15.75" customHeight="1">
      <c r="K737" s="57"/>
      <c r="L737" s="57"/>
      <c r="M737" s="57"/>
      <c r="N737" s="57"/>
      <c r="O737" s="57"/>
      <c r="P737" s="57"/>
      <c r="Q737" s="57"/>
    </row>
    <row r="738" spans="11:17" ht="15.75" customHeight="1">
      <c r="K738" s="57"/>
      <c r="L738" s="57"/>
      <c r="M738" s="57"/>
      <c r="N738" s="57"/>
      <c r="O738" s="57"/>
      <c r="P738" s="57"/>
      <c r="Q738" s="57"/>
    </row>
    <row r="739" spans="11:17" ht="15.75" customHeight="1">
      <c r="K739" s="57"/>
      <c r="L739" s="57"/>
      <c r="M739" s="57"/>
      <c r="N739" s="57"/>
      <c r="O739" s="57"/>
      <c r="P739" s="57"/>
      <c r="Q739" s="57"/>
    </row>
    <row r="740" spans="11:17" ht="15.75" customHeight="1">
      <c r="K740" s="57"/>
      <c r="L740" s="57"/>
      <c r="M740" s="57"/>
      <c r="N740" s="57"/>
      <c r="O740" s="57"/>
      <c r="P740" s="57"/>
      <c r="Q740" s="57"/>
    </row>
    <row r="741" spans="11:17" ht="15.75" customHeight="1">
      <c r="K741" s="57"/>
      <c r="L741" s="57"/>
      <c r="M741" s="57"/>
      <c r="N741" s="57"/>
      <c r="O741" s="57"/>
      <c r="P741" s="57"/>
      <c r="Q741" s="57"/>
    </row>
    <row r="742" spans="11:17" ht="15.75" customHeight="1">
      <c r="K742" s="57"/>
      <c r="L742" s="57"/>
      <c r="M742" s="57"/>
      <c r="N742" s="57"/>
      <c r="O742" s="57"/>
      <c r="P742" s="57"/>
      <c r="Q742" s="57"/>
    </row>
    <row r="743" spans="11:17" ht="15.75" customHeight="1">
      <c r="K743" s="57"/>
      <c r="L743" s="57"/>
      <c r="M743" s="57"/>
      <c r="N743" s="57"/>
      <c r="O743" s="57"/>
      <c r="P743" s="57"/>
      <c r="Q743" s="57"/>
    </row>
    <row r="744" spans="11:17" ht="15.75" customHeight="1">
      <c r="K744" s="57"/>
      <c r="L744" s="57"/>
      <c r="M744" s="57"/>
      <c r="N744" s="57"/>
      <c r="O744" s="57"/>
      <c r="P744" s="57"/>
      <c r="Q744" s="57"/>
    </row>
    <row r="745" spans="11:17" ht="15.75" customHeight="1">
      <c r="K745" s="57"/>
      <c r="L745" s="57"/>
      <c r="M745" s="57"/>
      <c r="N745" s="57"/>
      <c r="O745" s="57"/>
      <c r="P745" s="57"/>
      <c r="Q745" s="57"/>
    </row>
    <row r="746" spans="11:17" ht="15.75" customHeight="1">
      <c r="K746" s="57"/>
      <c r="L746" s="57"/>
      <c r="M746" s="57"/>
      <c r="N746" s="57"/>
      <c r="O746" s="57"/>
      <c r="P746" s="57"/>
      <c r="Q746" s="57"/>
    </row>
    <row r="747" spans="11:17" ht="15.75" customHeight="1">
      <c r="K747" s="57"/>
      <c r="L747" s="57"/>
      <c r="M747" s="57"/>
      <c r="N747" s="57"/>
      <c r="O747" s="57"/>
      <c r="P747" s="57"/>
      <c r="Q747" s="57"/>
    </row>
    <row r="748" spans="11:17" ht="15.75" customHeight="1">
      <c r="K748" s="57"/>
      <c r="L748" s="57"/>
      <c r="M748" s="57"/>
      <c r="N748" s="57"/>
      <c r="O748" s="57"/>
      <c r="P748" s="57"/>
      <c r="Q748" s="57"/>
    </row>
    <row r="749" spans="11:17" ht="15.75" customHeight="1">
      <c r="K749" s="57"/>
      <c r="L749" s="57"/>
      <c r="M749" s="57"/>
      <c r="N749" s="57"/>
      <c r="O749" s="57"/>
      <c r="P749" s="57"/>
      <c r="Q749" s="57"/>
    </row>
    <row r="750" spans="11:17" ht="15.75" customHeight="1">
      <c r="K750" s="57"/>
      <c r="L750" s="57"/>
      <c r="M750" s="57"/>
      <c r="N750" s="57"/>
      <c r="O750" s="57"/>
      <c r="P750" s="57"/>
      <c r="Q750" s="57"/>
    </row>
    <row r="751" spans="11:17" ht="15.75" customHeight="1">
      <c r="K751" s="57"/>
      <c r="L751" s="57"/>
      <c r="M751" s="57"/>
      <c r="N751" s="57"/>
      <c r="O751" s="57"/>
      <c r="P751" s="57"/>
      <c r="Q751" s="57"/>
    </row>
    <row r="752" spans="11:17" ht="15.75" customHeight="1">
      <c r="K752" s="57"/>
      <c r="L752" s="57"/>
      <c r="M752" s="57"/>
      <c r="N752" s="57"/>
      <c r="O752" s="57"/>
      <c r="P752" s="57"/>
      <c r="Q752" s="57"/>
    </row>
    <row r="753" spans="11:17" ht="15.75" customHeight="1">
      <c r="K753" s="57"/>
      <c r="L753" s="57"/>
      <c r="M753" s="57"/>
      <c r="N753" s="57"/>
      <c r="O753" s="57"/>
      <c r="P753" s="57"/>
      <c r="Q753" s="57"/>
    </row>
    <row r="754" spans="11:17" ht="15.75" customHeight="1">
      <c r="K754" s="57"/>
      <c r="L754" s="57"/>
      <c r="M754" s="57"/>
      <c r="N754" s="57"/>
      <c r="O754" s="57"/>
      <c r="P754" s="57"/>
      <c r="Q754" s="57"/>
    </row>
    <row r="755" spans="11:17" ht="15.75" customHeight="1">
      <c r="K755" s="57"/>
      <c r="L755" s="57"/>
      <c r="M755" s="57"/>
      <c r="N755" s="57"/>
      <c r="O755" s="57"/>
      <c r="P755" s="57"/>
      <c r="Q755" s="57"/>
    </row>
    <row r="756" spans="11:17" ht="15.75" customHeight="1">
      <c r="K756" s="57"/>
      <c r="L756" s="57"/>
      <c r="M756" s="57"/>
      <c r="N756" s="57"/>
      <c r="O756" s="57"/>
      <c r="P756" s="57"/>
      <c r="Q756" s="57"/>
    </row>
    <row r="757" spans="11:17" ht="15.75" customHeight="1">
      <c r="K757" s="57"/>
      <c r="L757" s="57"/>
      <c r="M757" s="57"/>
      <c r="N757" s="57"/>
      <c r="O757" s="57"/>
      <c r="P757" s="57"/>
      <c r="Q757" s="57"/>
    </row>
    <row r="758" spans="11:17" ht="15.75" customHeight="1">
      <c r="K758" s="57"/>
      <c r="L758" s="57"/>
      <c r="M758" s="57"/>
      <c r="N758" s="57"/>
      <c r="O758" s="57"/>
      <c r="P758" s="57"/>
      <c r="Q758" s="57"/>
    </row>
    <row r="759" spans="11:17" ht="15.75" customHeight="1">
      <c r="K759" s="57"/>
      <c r="L759" s="57"/>
      <c r="M759" s="57"/>
      <c r="N759" s="57"/>
      <c r="O759" s="57"/>
      <c r="P759" s="57"/>
      <c r="Q759" s="57"/>
    </row>
    <row r="760" spans="11:17" ht="15.75" customHeight="1">
      <c r="K760" s="57"/>
      <c r="L760" s="57"/>
      <c r="M760" s="57"/>
      <c r="N760" s="57"/>
      <c r="O760" s="57"/>
      <c r="P760" s="57"/>
      <c r="Q760" s="57"/>
    </row>
    <row r="761" spans="11:17" ht="15.75" customHeight="1">
      <c r="K761" s="57"/>
      <c r="L761" s="57"/>
      <c r="M761" s="57"/>
      <c r="N761" s="57"/>
      <c r="O761" s="57"/>
      <c r="P761" s="57"/>
      <c r="Q761" s="57"/>
    </row>
    <row r="762" spans="11:17" ht="15.75" customHeight="1">
      <c r="K762" s="57"/>
      <c r="L762" s="57"/>
      <c r="M762" s="57"/>
      <c r="N762" s="57"/>
      <c r="O762" s="57"/>
      <c r="P762" s="57"/>
      <c r="Q762" s="57"/>
    </row>
    <row r="763" spans="11:17" ht="15.75" customHeight="1">
      <c r="K763" s="57"/>
      <c r="L763" s="57"/>
      <c r="M763" s="57"/>
      <c r="N763" s="57"/>
      <c r="O763" s="57"/>
      <c r="P763" s="57"/>
      <c r="Q763" s="57"/>
    </row>
    <row r="764" spans="11:17" ht="15.75" customHeight="1">
      <c r="K764" s="57"/>
      <c r="L764" s="57"/>
      <c r="M764" s="57"/>
      <c r="N764" s="57"/>
      <c r="O764" s="57"/>
      <c r="P764" s="57"/>
      <c r="Q764" s="57"/>
    </row>
    <row r="765" spans="11:17" ht="15.75" customHeight="1">
      <c r="K765" s="57"/>
      <c r="L765" s="57"/>
      <c r="M765" s="57"/>
      <c r="N765" s="57"/>
      <c r="O765" s="57"/>
      <c r="P765" s="57"/>
      <c r="Q765" s="57"/>
    </row>
    <row r="766" spans="11:17" ht="15.75" customHeight="1">
      <c r="K766" s="57"/>
      <c r="L766" s="57"/>
      <c r="M766" s="57"/>
      <c r="N766" s="57"/>
      <c r="O766" s="57"/>
      <c r="P766" s="57"/>
      <c r="Q766" s="57"/>
    </row>
    <row r="767" spans="11:17" ht="15.75" customHeight="1">
      <c r="K767" s="57"/>
      <c r="L767" s="57"/>
      <c r="M767" s="57"/>
      <c r="N767" s="57"/>
      <c r="O767" s="57"/>
      <c r="P767" s="57"/>
      <c r="Q767" s="57"/>
    </row>
    <row r="768" spans="11:17" ht="15.75" customHeight="1">
      <c r="K768" s="57"/>
      <c r="L768" s="57"/>
      <c r="M768" s="57"/>
      <c r="N768" s="57"/>
      <c r="O768" s="57"/>
      <c r="P768" s="57"/>
      <c r="Q768" s="57"/>
    </row>
    <row r="769" spans="11:17" ht="15.75" customHeight="1">
      <c r="K769" s="57"/>
      <c r="L769" s="57"/>
      <c r="M769" s="57"/>
      <c r="N769" s="57"/>
      <c r="O769" s="57"/>
      <c r="P769" s="57"/>
      <c r="Q769" s="57"/>
    </row>
    <row r="770" spans="11:17" ht="15.75" customHeight="1">
      <c r="K770" s="57"/>
      <c r="L770" s="57"/>
      <c r="M770" s="57"/>
      <c r="N770" s="57"/>
      <c r="O770" s="57"/>
      <c r="P770" s="57"/>
      <c r="Q770" s="57"/>
    </row>
    <row r="771" spans="11:17" ht="15.75" customHeight="1">
      <c r="K771" s="57"/>
      <c r="L771" s="57"/>
      <c r="M771" s="57"/>
      <c r="N771" s="57"/>
      <c r="O771" s="57"/>
      <c r="P771" s="57"/>
      <c r="Q771" s="57"/>
    </row>
    <row r="772" spans="11:17" ht="15.75" customHeight="1">
      <c r="K772" s="57"/>
      <c r="L772" s="57"/>
      <c r="M772" s="57"/>
      <c r="N772" s="57"/>
      <c r="O772" s="57"/>
      <c r="P772" s="57"/>
      <c r="Q772" s="57"/>
    </row>
    <row r="773" spans="11:17" ht="15.75" customHeight="1">
      <c r="K773" s="57"/>
      <c r="L773" s="57"/>
      <c r="M773" s="57"/>
      <c r="N773" s="57"/>
      <c r="O773" s="57"/>
      <c r="P773" s="57"/>
      <c r="Q773" s="57"/>
    </row>
    <row r="774" spans="11:17" ht="15.75" customHeight="1">
      <c r="K774" s="57"/>
      <c r="L774" s="57"/>
      <c r="M774" s="57"/>
      <c r="N774" s="57"/>
      <c r="O774" s="57"/>
      <c r="P774" s="57"/>
      <c r="Q774" s="57"/>
    </row>
    <row r="775" spans="11:17" ht="15.75" customHeight="1">
      <c r="K775" s="57"/>
      <c r="L775" s="57"/>
      <c r="M775" s="57"/>
      <c r="N775" s="57"/>
      <c r="O775" s="57"/>
      <c r="P775" s="57"/>
      <c r="Q775" s="57"/>
    </row>
    <row r="776" spans="11:17" ht="15.75" customHeight="1">
      <c r="K776" s="57"/>
      <c r="L776" s="57"/>
      <c r="M776" s="57"/>
      <c r="N776" s="57"/>
      <c r="O776" s="57"/>
      <c r="P776" s="57"/>
      <c r="Q776" s="57"/>
    </row>
    <row r="777" spans="11:17" ht="15.75" customHeight="1">
      <c r="K777" s="57"/>
      <c r="L777" s="57"/>
      <c r="M777" s="57"/>
      <c r="N777" s="57"/>
      <c r="O777" s="57"/>
      <c r="P777" s="57"/>
      <c r="Q777" s="57"/>
    </row>
    <row r="778" spans="11:17" ht="15.75" customHeight="1">
      <c r="K778" s="57"/>
      <c r="L778" s="57"/>
      <c r="M778" s="57"/>
      <c r="N778" s="57"/>
      <c r="O778" s="57"/>
      <c r="P778" s="57"/>
      <c r="Q778" s="57"/>
    </row>
    <row r="779" spans="11:17" ht="15.75" customHeight="1">
      <c r="K779" s="57"/>
      <c r="L779" s="57"/>
      <c r="M779" s="57"/>
      <c r="N779" s="57"/>
      <c r="O779" s="57"/>
      <c r="P779" s="57"/>
      <c r="Q779" s="57"/>
    </row>
    <row r="780" spans="11:17" ht="15.75" customHeight="1">
      <c r="K780" s="57"/>
      <c r="L780" s="57"/>
      <c r="M780" s="57"/>
      <c r="N780" s="57"/>
      <c r="O780" s="57"/>
      <c r="P780" s="57"/>
      <c r="Q780" s="57"/>
    </row>
    <row r="781" spans="11:17" ht="15.75" customHeight="1">
      <c r="K781" s="57"/>
      <c r="L781" s="57"/>
      <c r="M781" s="57"/>
      <c r="N781" s="57"/>
      <c r="O781" s="57"/>
      <c r="P781" s="57"/>
      <c r="Q781" s="57"/>
    </row>
    <row r="782" spans="11:17" ht="15.75" customHeight="1">
      <c r="K782" s="57"/>
      <c r="L782" s="57"/>
      <c r="M782" s="57"/>
      <c r="N782" s="57"/>
      <c r="O782" s="57"/>
      <c r="P782" s="57"/>
      <c r="Q782" s="57"/>
    </row>
    <row r="783" spans="11:17" ht="15.75" customHeight="1">
      <c r="K783" s="57"/>
      <c r="L783" s="57"/>
      <c r="M783" s="57"/>
      <c r="N783" s="57"/>
      <c r="O783" s="57"/>
      <c r="P783" s="57"/>
      <c r="Q783" s="57"/>
    </row>
    <row r="784" spans="11:17" ht="15.75" customHeight="1">
      <c r="K784" s="57"/>
      <c r="L784" s="57"/>
      <c r="M784" s="57"/>
      <c r="N784" s="57"/>
      <c r="O784" s="57"/>
      <c r="P784" s="57"/>
      <c r="Q784" s="57"/>
    </row>
    <row r="785" spans="11:17" ht="15.75" customHeight="1">
      <c r="K785" s="57"/>
      <c r="L785" s="57"/>
      <c r="M785" s="57"/>
      <c r="N785" s="57"/>
      <c r="O785" s="57"/>
      <c r="P785" s="57"/>
      <c r="Q785" s="57"/>
    </row>
    <row r="786" spans="11:17" ht="15.75" customHeight="1">
      <c r="K786" s="57"/>
      <c r="L786" s="57"/>
      <c r="M786" s="57"/>
      <c r="N786" s="57"/>
      <c r="O786" s="57"/>
      <c r="P786" s="57"/>
      <c r="Q786" s="57"/>
    </row>
    <row r="787" spans="11:17" ht="15.75" customHeight="1">
      <c r="K787" s="57"/>
      <c r="L787" s="57"/>
      <c r="M787" s="57"/>
      <c r="N787" s="57"/>
      <c r="O787" s="57"/>
      <c r="P787" s="57"/>
      <c r="Q787" s="57"/>
    </row>
    <row r="788" spans="11:17" ht="15.75" customHeight="1">
      <c r="K788" s="57"/>
      <c r="L788" s="57"/>
      <c r="M788" s="57"/>
      <c r="N788" s="57"/>
      <c r="O788" s="57"/>
      <c r="P788" s="57"/>
      <c r="Q788" s="57"/>
    </row>
    <row r="789" spans="11:17" ht="15.75" customHeight="1">
      <c r="K789" s="57"/>
      <c r="L789" s="57"/>
      <c r="M789" s="57"/>
      <c r="N789" s="57"/>
      <c r="O789" s="57"/>
      <c r="P789" s="57"/>
      <c r="Q789" s="57"/>
    </row>
    <row r="790" spans="11:17" ht="15.75" customHeight="1">
      <c r="K790" s="57"/>
      <c r="L790" s="57"/>
      <c r="M790" s="57"/>
      <c r="N790" s="57"/>
      <c r="O790" s="57"/>
      <c r="P790" s="57"/>
      <c r="Q790" s="57"/>
    </row>
    <row r="791" spans="11:17" ht="15.75" customHeight="1">
      <c r="K791" s="57"/>
      <c r="L791" s="57"/>
      <c r="M791" s="57"/>
      <c r="N791" s="57"/>
      <c r="O791" s="57"/>
      <c r="P791" s="57"/>
      <c r="Q791" s="57"/>
    </row>
    <row r="792" spans="11:17" ht="15.75" customHeight="1">
      <c r="K792" s="57"/>
      <c r="L792" s="57"/>
      <c r="M792" s="57"/>
      <c r="N792" s="57"/>
      <c r="O792" s="57"/>
      <c r="P792" s="57"/>
      <c r="Q792" s="57"/>
    </row>
    <row r="793" spans="11:17" ht="15.75" customHeight="1">
      <c r="K793" s="57"/>
      <c r="L793" s="57"/>
      <c r="M793" s="57"/>
      <c r="N793" s="57"/>
      <c r="O793" s="57"/>
      <c r="P793" s="57"/>
      <c r="Q793" s="57"/>
    </row>
    <row r="794" spans="11:17" ht="15.75" customHeight="1">
      <c r="K794" s="57"/>
      <c r="L794" s="57"/>
      <c r="M794" s="57"/>
      <c r="N794" s="57"/>
      <c r="O794" s="57"/>
      <c r="P794" s="57"/>
      <c r="Q794" s="57"/>
    </row>
    <row r="795" spans="11:17" ht="15.75" customHeight="1">
      <c r="K795" s="57"/>
      <c r="L795" s="57"/>
      <c r="M795" s="57"/>
      <c r="N795" s="57"/>
      <c r="O795" s="57"/>
      <c r="P795" s="57"/>
      <c r="Q795" s="57"/>
    </row>
    <row r="796" spans="11:17" ht="15.75" customHeight="1">
      <c r="K796" s="57"/>
      <c r="L796" s="57"/>
      <c r="M796" s="57"/>
      <c r="N796" s="57"/>
      <c r="O796" s="57"/>
      <c r="P796" s="57"/>
      <c r="Q796" s="57"/>
    </row>
    <row r="797" spans="11:17" ht="15.75" customHeight="1">
      <c r="K797" s="57"/>
      <c r="L797" s="57"/>
      <c r="M797" s="57"/>
      <c r="N797" s="57"/>
      <c r="O797" s="57"/>
      <c r="P797" s="57"/>
      <c r="Q797" s="57"/>
    </row>
    <row r="798" spans="11:17" ht="15.75" customHeight="1">
      <c r="K798" s="57"/>
      <c r="L798" s="57"/>
      <c r="M798" s="57"/>
      <c r="N798" s="57"/>
      <c r="O798" s="57"/>
      <c r="P798" s="57"/>
      <c r="Q798" s="57"/>
    </row>
    <row r="799" spans="11:17" ht="15.75" customHeight="1">
      <c r="K799" s="57"/>
      <c r="L799" s="57"/>
      <c r="M799" s="57"/>
      <c r="N799" s="57"/>
      <c r="O799" s="57"/>
      <c r="P799" s="57"/>
      <c r="Q799" s="57"/>
    </row>
    <row r="800" spans="11:17" ht="15.75" customHeight="1">
      <c r="K800" s="57"/>
      <c r="L800" s="57"/>
      <c r="M800" s="57"/>
      <c r="N800" s="57"/>
      <c r="O800" s="57"/>
      <c r="P800" s="57"/>
      <c r="Q800" s="57"/>
    </row>
    <row r="801" spans="11:17" ht="15.75" customHeight="1">
      <c r="K801" s="57"/>
      <c r="L801" s="57"/>
      <c r="M801" s="57"/>
      <c r="N801" s="57"/>
      <c r="O801" s="57"/>
      <c r="P801" s="57"/>
      <c r="Q801" s="57"/>
    </row>
    <row r="802" spans="11:17" ht="15.75" customHeight="1">
      <c r="K802" s="57"/>
      <c r="L802" s="57"/>
      <c r="M802" s="57"/>
      <c r="N802" s="57"/>
      <c r="O802" s="57"/>
      <c r="P802" s="57"/>
      <c r="Q802" s="57"/>
    </row>
    <row r="803" spans="11:17" ht="15.75" customHeight="1">
      <c r="K803" s="57"/>
      <c r="L803" s="57"/>
      <c r="M803" s="57"/>
      <c r="N803" s="57"/>
      <c r="O803" s="57"/>
      <c r="P803" s="57"/>
      <c r="Q803" s="57"/>
    </row>
    <row r="804" spans="11:17" ht="15.75" customHeight="1">
      <c r="K804" s="57"/>
      <c r="L804" s="57"/>
      <c r="M804" s="57"/>
      <c r="N804" s="57"/>
      <c r="O804" s="57"/>
      <c r="P804" s="57"/>
      <c r="Q804" s="57"/>
    </row>
    <row r="805" spans="11:17" ht="15.75" customHeight="1">
      <c r="K805" s="57"/>
      <c r="L805" s="57"/>
      <c r="M805" s="57"/>
      <c r="N805" s="57"/>
      <c r="O805" s="57"/>
      <c r="P805" s="57"/>
      <c r="Q805" s="57"/>
    </row>
    <row r="806" spans="11:17" ht="15.75" customHeight="1">
      <c r="K806" s="57"/>
      <c r="L806" s="57"/>
      <c r="M806" s="57"/>
      <c r="N806" s="57"/>
      <c r="O806" s="57"/>
      <c r="P806" s="57"/>
      <c r="Q806" s="57"/>
    </row>
    <row r="807" spans="11:17" ht="15.75" customHeight="1">
      <c r="K807" s="57"/>
      <c r="L807" s="57"/>
      <c r="M807" s="57"/>
      <c r="N807" s="57"/>
      <c r="O807" s="57"/>
      <c r="P807" s="57"/>
      <c r="Q807" s="57"/>
    </row>
    <row r="808" spans="11:17" ht="15.75" customHeight="1">
      <c r="K808" s="57"/>
      <c r="L808" s="57"/>
      <c r="M808" s="57"/>
      <c r="N808" s="57"/>
      <c r="O808" s="57"/>
      <c r="P808" s="57"/>
      <c r="Q808" s="57"/>
    </row>
    <row r="809" spans="11:17" ht="15.75" customHeight="1">
      <c r="K809" s="57"/>
      <c r="L809" s="57"/>
      <c r="M809" s="57"/>
      <c r="N809" s="57"/>
      <c r="O809" s="57"/>
      <c r="P809" s="57"/>
      <c r="Q809" s="57"/>
    </row>
    <row r="810" spans="11:17" ht="15.75" customHeight="1">
      <c r="K810" s="57"/>
      <c r="L810" s="57"/>
      <c r="M810" s="57"/>
      <c r="N810" s="57"/>
      <c r="O810" s="57"/>
      <c r="P810" s="57"/>
      <c r="Q810" s="57"/>
    </row>
    <row r="811" spans="11:17" ht="15.75" customHeight="1">
      <c r="K811" s="57"/>
      <c r="L811" s="57"/>
      <c r="M811" s="57"/>
      <c r="N811" s="57"/>
      <c r="O811" s="57"/>
      <c r="P811" s="57"/>
      <c r="Q811" s="57"/>
    </row>
    <row r="812" spans="11:17" ht="15.75" customHeight="1">
      <c r="K812" s="57"/>
      <c r="L812" s="57"/>
      <c r="M812" s="57"/>
      <c r="N812" s="57"/>
      <c r="O812" s="57"/>
      <c r="P812" s="57"/>
      <c r="Q812" s="57"/>
    </row>
    <row r="813" spans="11:17" ht="15.75" customHeight="1">
      <c r="K813" s="57"/>
      <c r="L813" s="57"/>
      <c r="M813" s="57"/>
      <c r="N813" s="57"/>
      <c r="O813" s="57"/>
      <c r="P813" s="57"/>
      <c r="Q813" s="57"/>
    </row>
    <row r="814" spans="11:17" ht="15.75" customHeight="1">
      <c r="K814" s="57"/>
      <c r="L814" s="57"/>
      <c r="M814" s="57"/>
      <c r="N814" s="57"/>
      <c r="O814" s="57"/>
      <c r="P814" s="57"/>
      <c r="Q814" s="57"/>
    </row>
    <row r="815" spans="11:17" ht="15.75" customHeight="1">
      <c r="K815" s="57"/>
      <c r="L815" s="57"/>
      <c r="M815" s="57"/>
      <c r="N815" s="57"/>
      <c r="O815" s="57"/>
      <c r="P815" s="57"/>
      <c r="Q815" s="57"/>
    </row>
    <row r="816" spans="11:17" ht="15.75" customHeight="1">
      <c r="K816" s="57"/>
      <c r="L816" s="57"/>
      <c r="M816" s="57"/>
      <c r="N816" s="57"/>
      <c r="O816" s="57"/>
      <c r="P816" s="57"/>
      <c r="Q816" s="57"/>
    </row>
    <row r="817" spans="11:17" ht="15.75" customHeight="1">
      <c r="K817" s="57"/>
      <c r="L817" s="57"/>
      <c r="M817" s="57"/>
      <c r="N817" s="57"/>
      <c r="O817" s="57"/>
      <c r="P817" s="57"/>
      <c r="Q817" s="57"/>
    </row>
    <row r="818" spans="11:17" ht="15.75" customHeight="1">
      <c r="K818" s="57"/>
      <c r="L818" s="57"/>
      <c r="M818" s="57"/>
      <c r="N818" s="57"/>
      <c r="O818" s="57"/>
      <c r="P818" s="57"/>
      <c r="Q818" s="57"/>
    </row>
    <row r="819" spans="11:17" ht="15.75" customHeight="1">
      <c r="K819" s="57"/>
      <c r="L819" s="57"/>
      <c r="M819" s="57"/>
      <c r="N819" s="57"/>
      <c r="O819" s="57"/>
      <c r="P819" s="57"/>
      <c r="Q819" s="57"/>
    </row>
    <row r="820" spans="11:17" ht="15.75" customHeight="1">
      <c r="K820" s="57"/>
      <c r="L820" s="57"/>
      <c r="M820" s="57"/>
      <c r="N820" s="57"/>
      <c r="O820" s="57"/>
      <c r="P820" s="57"/>
      <c r="Q820" s="57"/>
    </row>
    <row r="821" spans="11:17" ht="15.75" customHeight="1">
      <c r="K821" s="57"/>
      <c r="L821" s="57"/>
      <c r="M821" s="57"/>
      <c r="N821" s="57"/>
      <c r="O821" s="57"/>
      <c r="P821" s="57"/>
      <c r="Q821" s="57"/>
    </row>
    <row r="822" spans="11:17" ht="15.75" customHeight="1">
      <c r="K822" s="57"/>
      <c r="L822" s="57"/>
      <c r="M822" s="57"/>
      <c r="N822" s="57"/>
      <c r="O822" s="57"/>
      <c r="P822" s="57"/>
      <c r="Q822" s="57"/>
    </row>
    <row r="823" spans="11:17" ht="15.75" customHeight="1">
      <c r="K823" s="57"/>
      <c r="L823" s="57"/>
      <c r="M823" s="57"/>
      <c r="N823" s="57"/>
      <c r="O823" s="57"/>
      <c r="P823" s="57"/>
      <c r="Q823" s="57"/>
    </row>
    <row r="824" spans="11:17" ht="15.75" customHeight="1">
      <c r="K824" s="57"/>
      <c r="L824" s="57"/>
      <c r="M824" s="57"/>
      <c r="N824" s="57"/>
      <c r="O824" s="57"/>
      <c r="P824" s="57"/>
      <c r="Q824" s="57"/>
    </row>
    <row r="825" spans="11:17" ht="15.75" customHeight="1">
      <c r="K825" s="57"/>
      <c r="L825" s="57"/>
      <c r="M825" s="57"/>
      <c r="N825" s="57"/>
      <c r="O825" s="57"/>
      <c r="P825" s="57"/>
      <c r="Q825" s="57"/>
    </row>
    <row r="826" spans="11:17" ht="15.75" customHeight="1">
      <c r="K826" s="57"/>
      <c r="L826" s="57"/>
      <c r="M826" s="57"/>
      <c r="N826" s="57"/>
      <c r="O826" s="57"/>
      <c r="P826" s="57"/>
      <c r="Q826" s="57"/>
    </row>
    <row r="827" spans="11:17" ht="15.75" customHeight="1">
      <c r="K827" s="57"/>
      <c r="L827" s="57"/>
      <c r="M827" s="57"/>
      <c r="N827" s="57"/>
      <c r="O827" s="57"/>
      <c r="P827" s="57"/>
      <c r="Q827" s="57"/>
    </row>
    <row r="828" spans="11:17" ht="15.75" customHeight="1">
      <c r="K828" s="57"/>
      <c r="L828" s="57"/>
      <c r="M828" s="57"/>
      <c r="N828" s="57"/>
      <c r="O828" s="57"/>
      <c r="P828" s="57"/>
      <c r="Q828" s="57"/>
    </row>
    <row r="829" spans="11:17" ht="15.75" customHeight="1">
      <c r="K829" s="57"/>
      <c r="L829" s="57"/>
      <c r="M829" s="57"/>
      <c r="N829" s="57"/>
      <c r="O829" s="57"/>
      <c r="P829" s="57"/>
      <c r="Q829" s="57"/>
    </row>
    <row r="830" spans="11:17" ht="15.75" customHeight="1">
      <c r="K830" s="57"/>
      <c r="L830" s="57"/>
      <c r="M830" s="57"/>
      <c r="N830" s="57"/>
      <c r="O830" s="57"/>
      <c r="P830" s="57"/>
      <c r="Q830" s="57"/>
    </row>
    <row r="831" spans="11:17" ht="15.75" customHeight="1">
      <c r="K831" s="57"/>
      <c r="L831" s="57"/>
      <c r="M831" s="57"/>
      <c r="N831" s="57"/>
      <c r="O831" s="57"/>
      <c r="P831" s="57"/>
      <c r="Q831" s="57"/>
    </row>
    <row r="832" spans="11:17" ht="15.75" customHeight="1">
      <c r="K832" s="57"/>
      <c r="L832" s="57"/>
      <c r="M832" s="57"/>
      <c r="N832" s="57"/>
      <c r="O832" s="57"/>
      <c r="P832" s="57"/>
      <c r="Q832" s="57"/>
    </row>
    <row r="833" spans="11:17" ht="15.75" customHeight="1">
      <c r="K833" s="57"/>
      <c r="L833" s="57"/>
      <c r="M833" s="57"/>
      <c r="N833" s="57"/>
      <c r="O833" s="57"/>
      <c r="P833" s="57"/>
      <c r="Q833" s="57"/>
    </row>
    <row r="834" spans="11:17" ht="15.75" customHeight="1">
      <c r="K834" s="57"/>
      <c r="L834" s="57"/>
      <c r="M834" s="57"/>
      <c r="N834" s="57"/>
      <c r="O834" s="57"/>
      <c r="P834" s="57"/>
      <c r="Q834" s="57"/>
    </row>
    <row r="835" spans="11:17" ht="15.75" customHeight="1">
      <c r="K835" s="57"/>
      <c r="L835" s="57"/>
      <c r="M835" s="57"/>
      <c r="N835" s="57"/>
      <c r="O835" s="57"/>
      <c r="P835" s="57"/>
      <c r="Q835" s="57"/>
    </row>
    <row r="836" spans="11:17" ht="15.75" customHeight="1">
      <c r="K836" s="57"/>
      <c r="L836" s="57"/>
      <c r="M836" s="57"/>
      <c r="N836" s="57"/>
      <c r="O836" s="57"/>
      <c r="P836" s="57"/>
      <c r="Q836" s="57"/>
    </row>
    <row r="837" spans="11:17" ht="15.75" customHeight="1">
      <c r="K837" s="57"/>
      <c r="L837" s="57"/>
      <c r="M837" s="57"/>
      <c r="N837" s="57"/>
      <c r="O837" s="57"/>
      <c r="P837" s="57"/>
      <c r="Q837" s="57"/>
    </row>
    <row r="838" spans="11:17" ht="15.75" customHeight="1">
      <c r="K838" s="57"/>
      <c r="L838" s="57"/>
      <c r="M838" s="57"/>
      <c r="N838" s="57"/>
      <c r="O838" s="57"/>
      <c r="P838" s="57"/>
      <c r="Q838" s="57"/>
    </row>
    <row r="839" spans="11:17" ht="15.75" customHeight="1">
      <c r="K839" s="57"/>
      <c r="L839" s="57"/>
      <c r="M839" s="57"/>
      <c r="N839" s="57"/>
      <c r="O839" s="57"/>
      <c r="P839" s="57"/>
      <c r="Q839" s="57"/>
    </row>
    <row r="840" spans="11:17" ht="15.75" customHeight="1">
      <c r="K840" s="57"/>
      <c r="L840" s="57"/>
      <c r="M840" s="57"/>
      <c r="N840" s="57"/>
      <c r="O840" s="57"/>
      <c r="P840" s="57"/>
      <c r="Q840" s="57"/>
    </row>
    <row r="841" spans="11:17" ht="15.75" customHeight="1">
      <c r="K841" s="57"/>
      <c r="L841" s="57"/>
      <c r="M841" s="57"/>
      <c r="N841" s="57"/>
      <c r="O841" s="57"/>
      <c r="P841" s="57"/>
      <c r="Q841" s="57"/>
    </row>
    <row r="842" spans="11:17" ht="15.75" customHeight="1">
      <c r="K842" s="57"/>
      <c r="L842" s="57"/>
      <c r="M842" s="57"/>
      <c r="N842" s="57"/>
      <c r="O842" s="57"/>
      <c r="P842" s="57"/>
      <c r="Q842" s="57"/>
    </row>
    <row r="843" spans="11:17" ht="15.75" customHeight="1">
      <c r="K843" s="57"/>
      <c r="L843" s="57"/>
      <c r="M843" s="57"/>
      <c r="N843" s="57"/>
      <c r="O843" s="57"/>
      <c r="P843" s="57"/>
      <c r="Q843" s="57"/>
    </row>
    <row r="844" spans="11:17" ht="15.75" customHeight="1">
      <c r="K844" s="57"/>
      <c r="L844" s="57"/>
      <c r="M844" s="57"/>
      <c r="N844" s="57"/>
      <c r="O844" s="57"/>
      <c r="P844" s="57"/>
      <c r="Q844" s="57"/>
    </row>
    <row r="845" spans="11:17" ht="15.75" customHeight="1">
      <c r="K845" s="57"/>
      <c r="L845" s="57"/>
      <c r="M845" s="57"/>
      <c r="N845" s="57"/>
      <c r="O845" s="57"/>
      <c r="P845" s="57"/>
      <c r="Q845" s="57"/>
    </row>
    <row r="846" spans="11:17" ht="15.75" customHeight="1">
      <c r="K846" s="57"/>
      <c r="L846" s="57"/>
      <c r="M846" s="57"/>
      <c r="N846" s="57"/>
      <c r="O846" s="57"/>
      <c r="P846" s="57"/>
      <c r="Q846" s="57"/>
    </row>
    <row r="847" spans="11:17" ht="15.75" customHeight="1">
      <c r="K847" s="57"/>
      <c r="L847" s="57"/>
      <c r="M847" s="57"/>
      <c r="N847" s="57"/>
      <c r="O847" s="57"/>
      <c r="P847" s="57"/>
      <c r="Q847" s="57"/>
    </row>
    <row r="848" spans="11:17" ht="15.75" customHeight="1">
      <c r="K848" s="57"/>
      <c r="L848" s="57"/>
      <c r="M848" s="57"/>
      <c r="N848" s="57"/>
      <c r="O848" s="57"/>
      <c r="P848" s="57"/>
      <c r="Q848" s="57"/>
    </row>
    <row r="849" spans="11:17" ht="15.75" customHeight="1">
      <c r="K849" s="57"/>
      <c r="L849" s="57"/>
      <c r="M849" s="57"/>
      <c r="N849" s="57"/>
      <c r="O849" s="57"/>
      <c r="P849" s="57"/>
      <c r="Q849" s="57"/>
    </row>
    <row r="850" spans="11:17" ht="15.75" customHeight="1">
      <c r="K850" s="57"/>
      <c r="L850" s="57"/>
      <c r="M850" s="57"/>
      <c r="N850" s="57"/>
      <c r="O850" s="57"/>
      <c r="P850" s="57"/>
      <c r="Q850" s="57"/>
    </row>
    <row r="851" spans="11:17" ht="15.75" customHeight="1">
      <c r="K851" s="57"/>
      <c r="L851" s="57"/>
      <c r="M851" s="57"/>
      <c r="N851" s="57"/>
      <c r="O851" s="57"/>
      <c r="P851" s="57"/>
      <c r="Q851" s="57"/>
    </row>
    <row r="852" spans="11:17" ht="15.75" customHeight="1">
      <c r="K852" s="57"/>
      <c r="L852" s="57"/>
      <c r="M852" s="57"/>
      <c r="N852" s="57"/>
      <c r="O852" s="57"/>
      <c r="P852" s="57"/>
      <c r="Q852" s="57"/>
    </row>
    <row r="853" spans="11:17" ht="15.75" customHeight="1">
      <c r="K853" s="57"/>
      <c r="L853" s="57"/>
      <c r="M853" s="57"/>
      <c r="N853" s="57"/>
      <c r="O853" s="57"/>
      <c r="P853" s="57"/>
      <c r="Q853" s="57"/>
    </row>
    <row r="854" spans="11:17" ht="15.75" customHeight="1">
      <c r="K854" s="57"/>
      <c r="L854" s="57"/>
      <c r="M854" s="57"/>
      <c r="N854" s="57"/>
      <c r="O854" s="57"/>
      <c r="P854" s="57"/>
      <c r="Q854" s="57"/>
    </row>
    <row r="855" spans="11:17" ht="15.75" customHeight="1">
      <c r="K855" s="57"/>
      <c r="L855" s="57"/>
      <c r="M855" s="57"/>
      <c r="N855" s="57"/>
      <c r="O855" s="57"/>
      <c r="P855" s="57"/>
      <c r="Q855" s="57"/>
    </row>
    <row r="856" spans="11:17" ht="15.75" customHeight="1">
      <c r="K856" s="57"/>
      <c r="L856" s="57"/>
      <c r="M856" s="57"/>
      <c r="N856" s="57"/>
      <c r="O856" s="57"/>
      <c r="P856" s="57"/>
      <c r="Q856" s="57"/>
    </row>
    <row r="857" spans="11:17" ht="15.75" customHeight="1">
      <c r="K857" s="57"/>
      <c r="L857" s="57"/>
      <c r="M857" s="57"/>
      <c r="N857" s="57"/>
      <c r="O857" s="57"/>
      <c r="P857" s="57"/>
      <c r="Q857" s="57"/>
    </row>
    <row r="858" spans="11:17" ht="15.75" customHeight="1">
      <c r="K858" s="57"/>
      <c r="L858" s="57"/>
      <c r="M858" s="57"/>
      <c r="N858" s="57"/>
      <c r="O858" s="57"/>
      <c r="P858" s="57"/>
      <c r="Q858" s="57"/>
    </row>
    <row r="859" spans="11:17" ht="15.75" customHeight="1">
      <c r="K859" s="57"/>
      <c r="L859" s="57"/>
      <c r="M859" s="57"/>
      <c r="N859" s="57"/>
      <c r="O859" s="57"/>
      <c r="P859" s="57"/>
      <c r="Q859" s="57"/>
    </row>
    <row r="860" spans="11:17" ht="15.75" customHeight="1">
      <c r="K860" s="57"/>
      <c r="L860" s="57"/>
      <c r="M860" s="57"/>
      <c r="N860" s="57"/>
      <c r="O860" s="57"/>
      <c r="P860" s="57"/>
      <c r="Q860" s="57"/>
    </row>
    <row r="861" spans="11:17" ht="15.75" customHeight="1">
      <c r="K861" s="57"/>
      <c r="L861" s="57"/>
      <c r="M861" s="57"/>
      <c r="N861" s="57"/>
      <c r="O861" s="57"/>
      <c r="P861" s="57"/>
      <c r="Q861" s="57"/>
    </row>
    <row r="862" spans="11:17" ht="15.75" customHeight="1">
      <c r="K862" s="57"/>
      <c r="L862" s="57"/>
      <c r="M862" s="57"/>
      <c r="N862" s="57"/>
      <c r="O862" s="57"/>
      <c r="P862" s="57"/>
      <c r="Q862" s="57"/>
    </row>
    <row r="863" spans="11:17" ht="15.75" customHeight="1">
      <c r="K863" s="57"/>
      <c r="L863" s="57"/>
      <c r="M863" s="57"/>
      <c r="N863" s="57"/>
      <c r="O863" s="57"/>
      <c r="P863" s="57"/>
      <c r="Q863" s="57"/>
    </row>
    <row r="864" spans="11:17" ht="15.75" customHeight="1">
      <c r="K864" s="57"/>
      <c r="L864" s="57"/>
      <c r="M864" s="57"/>
      <c r="N864" s="57"/>
      <c r="O864" s="57"/>
      <c r="P864" s="57"/>
      <c r="Q864" s="57"/>
    </row>
    <row r="865" spans="11:17" ht="15.75" customHeight="1">
      <c r="K865" s="57"/>
      <c r="L865" s="57"/>
      <c r="M865" s="57"/>
      <c r="N865" s="57"/>
      <c r="O865" s="57"/>
      <c r="P865" s="57"/>
      <c r="Q865" s="57"/>
    </row>
    <row r="866" spans="11:17" ht="15.75" customHeight="1">
      <c r="K866" s="57"/>
      <c r="L866" s="57"/>
      <c r="M866" s="57"/>
      <c r="N866" s="57"/>
      <c r="O866" s="57"/>
      <c r="P866" s="57"/>
      <c r="Q866" s="57"/>
    </row>
    <row r="867" spans="11:17" ht="15.75" customHeight="1">
      <c r="K867" s="57"/>
      <c r="L867" s="57"/>
      <c r="M867" s="57"/>
      <c r="N867" s="57"/>
      <c r="O867" s="57"/>
      <c r="P867" s="57"/>
      <c r="Q867" s="57"/>
    </row>
    <row r="868" spans="11:17" ht="15.75" customHeight="1">
      <c r="K868" s="57"/>
      <c r="L868" s="57"/>
      <c r="M868" s="57"/>
      <c r="N868" s="57"/>
      <c r="O868" s="57"/>
      <c r="P868" s="57"/>
      <c r="Q868" s="57"/>
    </row>
    <row r="869" spans="11:17" ht="15.75" customHeight="1">
      <c r="K869" s="57"/>
      <c r="L869" s="57"/>
      <c r="M869" s="57"/>
      <c r="N869" s="57"/>
      <c r="O869" s="57"/>
      <c r="P869" s="57"/>
      <c r="Q869" s="57"/>
    </row>
    <row r="870" spans="11:17" ht="15.75" customHeight="1">
      <c r="K870" s="57"/>
      <c r="L870" s="57"/>
      <c r="M870" s="57"/>
      <c r="N870" s="57"/>
      <c r="O870" s="57"/>
      <c r="P870" s="57"/>
      <c r="Q870" s="57"/>
    </row>
    <row r="871" spans="11:17" ht="15.75" customHeight="1">
      <c r="K871" s="57"/>
      <c r="L871" s="57"/>
      <c r="M871" s="57"/>
      <c r="N871" s="57"/>
      <c r="O871" s="57"/>
      <c r="P871" s="57"/>
      <c r="Q871" s="57"/>
    </row>
    <row r="872" spans="11:17" ht="15.75" customHeight="1">
      <c r="K872" s="57"/>
      <c r="L872" s="57"/>
      <c r="M872" s="57"/>
      <c r="N872" s="57"/>
      <c r="O872" s="57"/>
      <c r="P872" s="57"/>
      <c r="Q872" s="57"/>
    </row>
    <row r="873" spans="11:17" ht="15.75" customHeight="1">
      <c r="K873" s="57"/>
      <c r="L873" s="57"/>
      <c r="M873" s="57"/>
      <c r="N873" s="57"/>
      <c r="O873" s="57"/>
      <c r="P873" s="57"/>
      <c r="Q873" s="57"/>
    </row>
    <row r="874" spans="11:17" ht="15.75" customHeight="1">
      <c r="K874" s="57"/>
      <c r="L874" s="57"/>
      <c r="M874" s="57"/>
      <c r="N874" s="57"/>
      <c r="O874" s="57"/>
      <c r="P874" s="57"/>
      <c r="Q874" s="57"/>
    </row>
    <row r="875" spans="11:17" ht="15.75" customHeight="1">
      <c r="K875" s="57"/>
      <c r="L875" s="57"/>
      <c r="M875" s="57"/>
      <c r="N875" s="57"/>
      <c r="O875" s="57"/>
      <c r="P875" s="57"/>
      <c r="Q875" s="57"/>
    </row>
    <row r="876" spans="11:17" ht="15.75" customHeight="1">
      <c r="K876" s="57"/>
      <c r="L876" s="57"/>
      <c r="M876" s="57"/>
      <c r="N876" s="57"/>
      <c r="O876" s="57"/>
      <c r="P876" s="57"/>
      <c r="Q876" s="57"/>
    </row>
    <row r="877" spans="11:17" ht="15.75" customHeight="1">
      <c r="K877" s="57"/>
      <c r="L877" s="57"/>
      <c r="M877" s="57"/>
      <c r="N877" s="57"/>
      <c r="O877" s="57"/>
      <c r="P877" s="57"/>
      <c r="Q877" s="57"/>
    </row>
    <row r="878" spans="11:17" ht="15.75" customHeight="1">
      <c r="K878" s="57"/>
      <c r="L878" s="57"/>
      <c r="M878" s="57"/>
      <c r="N878" s="57"/>
      <c r="O878" s="57"/>
      <c r="P878" s="57"/>
      <c r="Q878" s="57"/>
    </row>
    <row r="879" spans="11:17" ht="15.75" customHeight="1">
      <c r="K879" s="57"/>
      <c r="L879" s="57"/>
      <c r="M879" s="57"/>
      <c r="N879" s="57"/>
      <c r="O879" s="57"/>
      <c r="P879" s="57"/>
      <c r="Q879" s="57"/>
    </row>
    <row r="880" spans="11:17" ht="15.75" customHeight="1">
      <c r="K880" s="57"/>
      <c r="L880" s="57"/>
      <c r="M880" s="57"/>
      <c r="N880" s="57"/>
      <c r="O880" s="57"/>
      <c r="P880" s="57"/>
      <c r="Q880" s="57"/>
    </row>
    <row r="881" spans="11:17" ht="15.75" customHeight="1">
      <c r="K881" s="57"/>
      <c r="L881" s="57"/>
      <c r="M881" s="57"/>
      <c r="N881" s="57"/>
      <c r="O881" s="57"/>
      <c r="P881" s="57"/>
      <c r="Q881" s="57"/>
    </row>
    <row r="882" spans="11:17" ht="15.75" customHeight="1">
      <c r="K882" s="57"/>
      <c r="L882" s="57"/>
      <c r="M882" s="57"/>
      <c r="N882" s="57"/>
      <c r="O882" s="57"/>
      <c r="P882" s="57"/>
      <c r="Q882" s="57"/>
    </row>
    <row r="883" spans="11:17" ht="15.75" customHeight="1">
      <c r="K883" s="57"/>
      <c r="L883" s="57"/>
      <c r="M883" s="57"/>
      <c r="N883" s="57"/>
      <c r="O883" s="57"/>
      <c r="P883" s="57"/>
      <c r="Q883" s="57"/>
    </row>
    <row r="884" spans="11:17" ht="15.75" customHeight="1">
      <c r="K884" s="57"/>
      <c r="L884" s="57"/>
      <c r="M884" s="57"/>
      <c r="N884" s="57"/>
      <c r="O884" s="57"/>
      <c r="P884" s="57"/>
      <c r="Q884" s="57"/>
    </row>
    <row r="885" spans="11:17" ht="15.75" customHeight="1">
      <c r="K885" s="57"/>
      <c r="L885" s="57"/>
      <c r="M885" s="57"/>
      <c r="N885" s="57"/>
      <c r="O885" s="57"/>
      <c r="P885" s="57"/>
      <c r="Q885" s="57"/>
    </row>
    <row r="886" spans="11:17" ht="15.75" customHeight="1">
      <c r="K886" s="57"/>
      <c r="L886" s="57"/>
      <c r="M886" s="57"/>
      <c r="N886" s="57"/>
      <c r="O886" s="57"/>
      <c r="P886" s="57"/>
      <c r="Q886" s="57"/>
    </row>
    <row r="887" spans="11:17" ht="15.75" customHeight="1">
      <c r="K887" s="57"/>
      <c r="L887" s="57"/>
      <c r="M887" s="57"/>
      <c r="N887" s="57"/>
      <c r="O887" s="57"/>
      <c r="P887" s="57"/>
      <c r="Q887" s="57"/>
    </row>
    <row r="888" spans="11:17" ht="15.75" customHeight="1">
      <c r="K888" s="57"/>
      <c r="L888" s="57"/>
      <c r="M888" s="57"/>
      <c r="N888" s="57"/>
      <c r="O888" s="57"/>
      <c r="P888" s="57"/>
      <c r="Q888" s="57"/>
    </row>
    <row r="889" spans="11:17" ht="15.75" customHeight="1">
      <c r="K889" s="57"/>
      <c r="L889" s="57"/>
      <c r="M889" s="57"/>
      <c r="N889" s="57"/>
      <c r="O889" s="57"/>
      <c r="P889" s="57"/>
      <c r="Q889" s="57"/>
    </row>
    <row r="890" spans="11:17" ht="15.75" customHeight="1">
      <c r="K890" s="57"/>
      <c r="L890" s="57"/>
      <c r="M890" s="57"/>
      <c r="N890" s="57"/>
      <c r="O890" s="57"/>
      <c r="P890" s="57"/>
      <c r="Q890" s="57"/>
    </row>
    <row r="891" spans="11:17" ht="15.75" customHeight="1">
      <c r="K891" s="57"/>
      <c r="L891" s="57"/>
      <c r="M891" s="57"/>
      <c r="N891" s="57"/>
      <c r="O891" s="57"/>
      <c r="P891" s="57"/>
      <c r="Q891" s="57"/>
    </row>
    <row r="892" spans="11:17" ht="15.75" customHeight="1">
      <c r="K892" s="57"/>
      <c r="L892" s="57"/>
      <c r="M892" s="57"/>
      <c r="N892" s="57"/>
      <c r="O892" s="57"/>
      <c r="P892" s="57"/>
      <c r="Q892" s="57"/>
    </row>
    <row r="893" spans="11:17" ht="15.75" customHeight="1">
      <c r="K893" s="57"/>
      <c r="L893" s="57"/>
      <c r="M893" s="57"/>
      <c r="N893" s="57"/>
      <c r="O893" s="57"/>
      <c r="P893" s="57"/>
      <c r="Q893" s="57"/>
    </row>
    <row r="894" spans="11:17" ht="15.75" customHeight="1">
      <c r="K894" s="57"/>
      <c r="L894" s="57"/>
      <c r="M894" s="57"/>
      <c r="N894" s="57"/>
      <c r="O894" s="57"/>
      <c r="P894" s="57"/>
      <c r="Q894" s="57"/>
    </row>
    <row r="895" spans="11:17" ht="15.75" customHeight="1">
      <c r="K895" s="57"/>
      <c r="L895" s="57"/>
      <c r="M895" s="57"/>
      <c r="N895" s="57"/>
      <c r="O895" s="57"/>
      <c r="P895" s="57"/>
      <c r="Q895" s="57"/>
    </row>
    <row r="896" spans="11:17" ht="15.75" customHeight="1">
      <c r="K896" s="57"/>
      <c r="L896" s="57"/>
      <c r="M896" s="57"/>
      <c r="N896" s="57"/>
      <c r="O896" s="57"/>
      <c r="P896" s="57"/>
      <c r="Q896" s="57"/>
    </row>
    <row r="897" spans="11:17" ht="15.75" customHeight="1">
      <c r="K897" s="57"/>
      <c r="L897" s="57"/>
      <c r="M897" s="57"/>
      <c r="N897" s="57"/>
      <c r="O897" s="57"/>
      <c r="P897" s="57"/>
      <c r="Q897" s="57"/>
    </row>
    <row r="898" spans="11:17" ht="15.75" customHeight="1">
      <c r="K898" s="57"/>
      <c r="L898" s="57"/>
      <c r="M898" s="57"/>
      <c r="N898" s="57"/>
      <c r="O898" s="57"/>
      <c r="P898" s="57"/>
      <c r="Q898" s="57"/>
    </row>
    <row r="899" spans="11:17" ht="15.75" customHeight="1">
      <c r="K899" s="57"/>
      <c r="L899" s="57"/>
      <c r="M899" s="57"/>
      <c r="N899" s="57"/>
      <c r="O899" s="57"/>
      <c r="P899" s="57"/>
      <c r="Q899" s="57"/>
    </row>
    <row r="900" spans="11:17" ht="15.75" customHeight="1">
      <c r="K900" s="57"/>
      <c r="L900" s="57"/>
      <c r="M900" s="57"/>
      <c r="N900" s="57"/>
      <c r="O900" s="57"/>
      <c r="P900" s="57"/>
      <c r="Q900" s="57"/>
    </row>
    <row r="901" spans="11:17" ht="15.75" customHeight="1">
      <c r="K901" s="57"/>
      <c r="L901" s="57"/>
      <c r="M901" s="57"/>
      <c r="N901" s="57"/>
      <c r="O901" s="57"/>
      <c r="P901" s="57"/>
      <c r="Q901" s="57"/>
    </row>
    <row r="902" spans="11:17" ht="15.75" customHeight="1">
      <c r="K902" s="57"/>
      <c r="L902" s="57"/>
      <c r="M902" s="57"/>
      <c r="N902" s="57"/>
      <c r="O902" s="57"/>
      <c r="P902" s="57"/>
      <c r="Q902" s="57"/>
    </row>
    <row r="903" spans="11:17" ht="15.75" customHeight="1">
      <c r="K903" s="57"/>
      <c r="L903" s="57"/>
      <c r="M903" s="57"/>
      <c r="N903" s="57"/>
      <c r="O903" s="57"/>
      <c r="P903" s="57"/>
      <c r="Q903" s="57"/>
    </row>
    <row r="904" spans="11:17" ht="15.75" customHeight="1">
      <c r="K904" s="57"/>
      <c r="L904" s="57"/>
      <c r="M904" s="57"/>
      <c r="N904" s="57"/>
      <c r="O904" s="57"/>
      <c r="P904" s="57"/>
      <c r="Q904" s="57"/>
    </row>
    <row r="905" spans="11:17" ht="15.75" customHeight="1">
      <c r="K905" s="57"/>
      <c r="L905" s="57"/>
      <c r="M905" s="57"/>
      <c r="N905" s="57"/>
      <c r="O905" s="57"/>
      <c r="P905" s="57"/>
      <c r="Q905" s="57"/>
    </row>
    <row r="906" spans="11:17" ht="15.75" customHeight="1">
      <c r="K906" s="57"/>
      <c r="L906" s="57"/>
      <c r="M906" s="57"/>
      <c r="N906" s="57"/>
      <c r="O906" s="57"/>
      <c r="P906" s="57"/>
      <c r="Q906" s="57"/>
    </row>
    <row r="907" spans="11:17" ht="15.75" customHeight="1">
      <c r="K907" s="57"/>
      <c r="L907" s="57"/>
      <c r="M907" s="57"/>
      <c r="N907" s="57"/>
      <c r="O907" s="57"/>
      <c r="P907" s="57"/>
      <c r="Q907" s="57"/>
    </row>
    <row r="908" spans="11:17" ht="15.75" customHeight="1">
      <c r="K908" s="57"/>
      <c r="L908" s="57"/>
      <c r="M908" s="57"/>
      <c r="N908" s="57"/>
      <c r="O908" s="57"/>
      <c r="P908" s="57"/>
      <c r="Q908" s="57"/>
    </row>
    <row r="909" spans="11:17" ht="15.75" customHeight="1">
      <c r="K909" s="57"/>
      <c r="L909" s="57"/>
      <c r="M909" s="57"/>
      <c r="N909" s="57"/>
      <c r="O909" s="57"/>
      <c r="P909" s="57"/>
      <c r="Q909" s="57"/>
    </row>
    <row r="910" spans="11:17" ht="15.75" customHeight="1">
      <c r="K910" s="57"/>
      <c r="L910" s="57"/>
      <c r="M910" s="57"/>
      <c r="N910" s="57"/>
      <c r="O910" s="57"/>
      <c r="P910" s="57"/>
      <c r="Q910" s="57"/>
    </row>
    <row r="911" spans="11:17" ht="15.75" customHeight="1">
      <c r="K911" s="57"/>
      <c r="L911" s="57"/>
      <c r="M911" s="57"/>
      <c r="N911" s="57"/>
      <c r="O911" s="57"/>
      <c r="P911" s="57"/>
      <c r="Q911" s="57"/>
    </row>
    <row r="912" spans="11:17" ht="15.75" customHeight="1">
      <c r="K912" s="57"/>
      <c r="L912" s="57"/>
      <c r="M912" s="57"/>
      <c r="N912" s="57"/>
      <c r="O912" s="57"/>
      <c r="P912" s="57"/>
      <c r="Q912" s="57"/>
    </row>
    <row r="913" spans="11:17" ht="15.75" customHeight="1">
      <c r="K913" s="57"/>
      <c r="L913" s="57"/>
      <c r="M913" s="57"/>
      <c r="N913" s="57"/>
      <c r="O913" s="57"/>
      <c r="P913" s="57"/>
      <c r="Q913" s="57"/>
    </row>
    <row r="914" spans="11:17" ht="15.75" customHeight="1">
      <c r="K914" s="57"/>
      <c r="L914" s="57"/>
      <c r="M914" s="57"/>
      <c r="N914" s="57"/>
      <c r="O914" s="57"/>
      <c r="P914" s="57"/>
      <c r="Q914" s="57"/>
    </row>
    <row r="915" spans="11:17" ht="15.75" customHeight="1">
      <c r="K915" s="57"/>
      <c r="L915" s="57"/>
      <c r="M915" s="57"/>
      <c r="N915" s="57"/>
      <c r="O915" s="57"/>
      <c r="P915" s="57"/>
      <c r="Q915" s="57"/>
    </row>
    <row r="916" spans="11:17" ht="15.75" customHeight="1">
      <c r="K916" s="57"/>
      <c r="L916" s="57"/>
      <c r="M916" s="57"/>
      <c r="N916" s="57"/>
      <c r="O916" s="57"/>
      <c r="P916" s="57"/>
      <c r="Q916" s="57"/>
    </row>
    <row r="917" spans="11:17" ht="15.75" customHeight="1">
      <c r="K917" s="57"/>
      <c r="L917" s="57"/>
      <c r="M917" s="57"/>
      <c r="N917" s="57"/>
      <c r="O917" s="57"/>
      <c r="P917" s="57"/>
      <c r="Q917" s="57"/>
    </row>
    <row r="918" spans="11:17" ht="15.75" customHeight="1">
      <c r="K918" s="57"/>
      <c r="L918" s="57"/>
      <c r="M918" s="57"/>
      <c r="N918" s="57"/>
      <c r="O918" s="57"/>
      <c r="P918" s="57"/>
      <c r="Q918" s="57"/>
    </row>
    <row r="919" spans="11:17" ht="15.75" customHeight="1">
      <c r="K919" s="57"/>
      <c r="L919" s="57"/>
      <c r="M919" s="57"/>
      <c r="N919" s="57"/>
      <c r="O919" s="57"/>
      <c r="P919" s="57"/>
      <c r="Q919" s="57"/>
    </row>
    <row r="920" spans="11:17" ht="15.75" customHeight="1">
      <c r="K920" s="57"/>
      <c r="L920" s="57"/>
      <c r="M920" s="57"/>
      <c r="N920" s="57"/>
      <c r="O920" s="57"/>
      <c r="P920" s="57"/>
      <c r="Q920" s="57"/>
    </row>
    <row r="921" spans="11:17" ht="15.75" customHeight="1">
      <c r="K921" s="57"/>
      <c r="L921" s="57"/>
      <c r="M921" s="57"/>
      <c r="N921" s="57"/>
      <c r="O921" s="57"/>
      <c r="P921" s="57"/>
      <c r="Q921" s="57"/>
    </row>
    <row r="922" spans="11:17" ht="15.75" customHeight="1">
      <c r="K922" s="57"/>
      <c r="L922" s="57"/>
      <c r="M922" s="57"/>
      <c r="N922" s="57"/>
      <c r="O922" s="57"/>
      <c r="P922" s="57"/>
      <c r="Q922" s="57"/>
    </row>
    <row r="923" spans="11:17" ht="15.75" customHeight="1">
      <c r="K923" s="57"/>
      <c r="L923" s="57"/>
      <c r="M923" s="57"/>
      <c r="N923" s="57"/>
      <c r="O923" s="57"/>
      <c r="P923" s="57"/>
      <c r="Q923" s="57"/>
    </row>
    <row r="924" spans="11:17" ht="15.75" customHeight="1">
      <c r="K924" s="57"/>
      <c r="L924" s="57"/>
      <c r="M924" s="57"/>
      <c r="N924" s="57"/>
      <c r="O924" s="57"/>
      <c r="P924" s="57"/>
      <c r="Q924" s="57"/>
    </row>
    <row r="925" spans="11:17" ht="15.75" customHeight="1">
      <c r="K925" s="57"/>
      <c r="L925" s="57"/>
      <c r="M925" s="57"/>
      <c r="N925" s="57"/>
      <c r="O925" s="57"/>
      <c r="P925" s="57"/>
      <c r="Q925" s="57"/>
    </row>
    <row r="926" spans="11:17" ht="15.75" customHeight="1">
      <c r="K926" s="57"/>
      <c r="L926" s="57"/>
      <c r="M926" s="57"/>
      <c r="N926" s="57"/>
      <c r="O926" s="57"/>
      <c r="P926" s="57"/>
      <c r="Q926" s="57"/>
    </row>
    <row r="927" spans="11:17" ht="15.75" customHeight="1">
      <c r="K927" s="57"/>
      <c r="L927" s="57"/>
      <c r="M927" s="57"/>
      <c r="N927" s="57"/>
      <c r="O927" s="57"/>
      <c r="P927" s="57"/>
      <c r="Q927" s="57"/>
    </row>
    <row r="928" spans="11:17" ht="15.75" customHeight="1">
      <c r="K928" s="57"/>
      <c r="L928" s="57"/>
      <c r="M928" s="57"/>
      <c r="N928" s="57"/>
      <c r="O928" s="57"/>
      <c r="P928" s="57"/>
      <c r="Q928" s="57"/>
    </row>
    <row r="929" spans="11:17" ht="15.75" customHeight="1">
      <c r="K929" s="57"/>
      <c r="L929" s="57"/>
      <c r="M929" s="57"/>
      <c r="N929" s="57"/>
      <c r="O929" s="57"/>
      <c r="P929" s="57"/>
      <c r="Q929" s="57"/>
    </row>
    <row r="930" spans="11:17" ht="15.75" customHeight="1">
      <c r="K930" s="57"/>
      <c r="L930" s="57"/>
      <c r="M930" s="57"/>
      <c r="N930" s="57"/>
      <c r="O930" s="57"/>
      <c r="P930" s="57"/>
      <c r="Q930" s="57"/>
    </row>
    <row r="931" spans="11:17" ht="15.75" customHeight="1">
      <c r="K931" s="57"/>
      <c r="L931" s="57"/>
      <c r="M931" s="57"/>
      <c r="N931" s="57"/>
      <c r="O931" s="57"/>
      <c r="P931" s="57"/>
      <c r="Q931" s="57"/>
    </row>
    <row r="932" spans="11:17" ht="15.75" customHeight="1">
      <c r="K932" s="57"/>
      <c r="L932" s="57"/>
      <c r="M932" s="57"/>
      <c r="N932" s="57"/>
      <c r="O932" s="57"/>
      <c r="P932" s="57"/>
      <c r="Q932" s="57"/>
    </row>
    <row r="933" spans="11:17" ht="15.75" customHeight="1">
      <c r="K933" s="57"/>
      <c r="L933" s="57"/>
      <c r="M933" s="57"/>
      <c r="N933" s="57"/>
      <c r="O933" s="57"/>
      <c r="P933" s="57"/>
      <c r="Q933" s="57"/>
    </row>
    <row r="934" spans="11:17" ht="15.75" customHeight="1">
      <c r="K934" s="57"/>
      <c r="L934" s="57"/>
      <c r="M934" s="57"/>
      <c r="N934" s="57"/>
      <c r="O934" s="57"/>
      <c r="P934" s="57"/>
      <c r="Q934" s="57"/>
    </row>
    <row r="935" spans="11:17" ht="15.75" customHeight="1">
      <c r="K935" s="57"/>
      <c r="L935" s="57"/>
      <c r="M935" s="57"/>
      <c r="N935" s="57"/>
      <c r="O935" s="57"/>
      <c r="P935" s="57"/>
      <c r="Q935" s="57"/>
    </row>
    <row r="936" spans="11:17" ht="15.75" customHeight="1">
      <c r="K936" s="57"/>
      <c r="L936" s="57"/>
      <c r="M936" s="57"/>
      <c r="N936" s="57"/>
      <c r="O936" s="57"/>
      <c r="P936" s="57"/>
      <c r="Q936" s="57"/>
    </row>
    <row r="937" spans="11:17" ht="15.75" customHeight="1">
      <c r="K937" s="57"/>
      <c r="L937" s="57"/>
      <c r="M937" s="57"/>
      <c r="N937" s="57"/>
      <c r="O937" s="57"/>
      <c r="P937" s="57"/>
      <c r="Q937" s="57"/>
    </row>
    <row r="938" spans="11:17" ht="15.75" customHeight="1">
      <c r="K938" s="57"/>
      <c r="L938" s="57"/>
      <c r="M938" s="57"/>
      <c r="N938" s="57"/>
      <c r="O938" s="57"/>
      <c r="P938" s="57"/>
      <c r="Q938" s="57"/>
    </row>
    <row r="939" spans="11:17" ht="15.75" customHeight="1">
      <c r="K939" s="57"/>
      <c r="L939" s="57"/>
      <c r="M939" s="57"/>
      <c r="N939" s="57"/>
      <c r="O939" s="57"/>
      <c r="P939" s="57"/>
      <c r="Q939" s="57"/>
    </row>
    <row r="940" spans="11:17" ht="15.75" customHeight="1">
      <c r="K940" s="57"/>
      <c r="L940" s="57"/>
      <c r="M940" s="57"/>
      <c r="N940" s="57"/>
      <c r="O940" s="57"/>
      <c r="P940" s="57"/>
      <c r="Q940" s="57"/>
    </row>
    <row r="941" spans="11:17" ht="15.75" customHeight="1">
      <c r="K941" s="57"/>
      <c r="L941" s="57"/>
      <c r="M941" s="57"/>
      <c r="N941" s="57"/>
      <c r="O941" s="57"/>
      <c r="P941" s="57"/>
      <c r="Q941" s="57"/>
    </row>
    <row r="942" spans="11:17" ht="15.75" customHeight="1">
      <c r="K942" s="57"/>
      <c r="L942" s="57"/>
      <c r="M942" s="57"/>
      <c r="N942" s="57"/>
      <c r="O942" s="57"/>
      <c r="P942" s="57"/>
      <c r="Q942" s="57"/>
    </row>
    <row r="943" spans="11:17" ht="15.75" customHeight="1">
      <c r="K943" s="57"/>
      <c r="L943" s="57"/>
      <c r="M943" s="57"/>
      <c r="N943" s="57"/>
      <c r="O943" s="57"/>
      <c r="P943" s="57"/>
      <c r="Q943" s="57"/>
    </row>
    <row r="944" spans="11:17" ht="15.75" customHeight="1">
      <c r="K944" s="57"/>
      <c r="L944" s="57"/>
      <c r="M944" s="57"/>
      <c r="N944" s="57"/>
      <c r="O944" s="57"/>
      <c r="P944" s="57"/>
      <c r="Q944" s="57"/>
    </row>
    <row r="945" spans="11:17" ht="15.75" customHeight="1">
      <c r="K945" s="57"/>
      <c r="L945" s="57"/>
      <c r="M945" s="57"/>
      <c r="N945" s="57"/>
      <c r="O945" s="57"/>
      <c r="P945" s="57"/>
      <c r="Q945" s="57"/>
    </row>
    <row r="946" spans="11:17" ht="15.75" customHeight="1">
      <c r="K946" s="57"/>
      <c r="L946" s="57"/>
      <c r="M946" s="57"/>
      <c r="N946" s="57"/>
      <c r="O946" s="57"/>
      <c r="P946" s="57"/>
      <c r="Q946" s="57"/>
    </row>
    <row r="947" spans="11:17" ht="15.75" customHeight="1">
      <c r="K947" s="57"/>
      <c r="L947" s="57"/>
      <c r="M947" s="57"/>
      <c r="N947" s="57"/>
      <c r="O947" s="57"/>
      <c r="P947" s="57"/>
      <c r="Q947" s="57"/>
    </row>
    <row r="948" spans="11:17" ht="15.75" customHeight="1">
      <c r="K948" s="57"/>
      <c r="L948" s="57"/>
      <c r="M948" s="57"/>
      <c r="N948" s="57"/>
      <c r="O948" s="57"/>
      <c r="P948" s="57"/>
      <c r="Q948" s="57"/>
    </row>
    <row r="949" spans="11:17" ht="15.75" customHeight="1">
      <c r="K949" s="57"/>
      <c r="L949" s="57"/>
      <c r="M949" s="57"/>
      <c r="N949" s="57"/>
      <c r="O949" s="57"/>
      <c r="P949" s="57"/>
      <c r="Q949" s="57"/>
    </row>
    <row r="950" spans="11:17" ht="15.75" customHeight="1">
      <c r="K950" s="57"/>
      <c r="L950" s="57"/>
      <c r="M950" s="57"/>
      <c r="N950" s="57"/>
      <c r="O950" s="57"/>
      <c r="P950" s="57"/>
      <c r="Q950" s="57"/>
    </row>
    <row r="951" spans="11:17" ht="15.75" customHeight="1">
      <c r="K951" s="57"/>
      <c r="L951" s="57"/>
      <c r="M951" s="57"/>
      <c r="N951" s="57"/>
      <c r="O951" s="57"/>
      <c r="P951" s="57"/>
      <c r="Q951" s="57"/>
    </row>
    <row r="952" spans="11:17" ht="15.75" customHeight="1">
      <c r="K952" s="57"/>
      <c r="L952" s="57"/>
      <c r="M952" s="57"/>
      <c r="N952" s="57"/>
      <c r="O952" s="57"/>
      <c r="P952" s="57"/>
      <c r="Q952" s="57"/>
    </row>
    <row r="953" spans="11:17" ht="15.75" customHeight="1">
      <c r="K953" s="57"/>
      <c r="L953" s="57"/>
      <c r="M953" s="57"/>
      <c r="N953" s="57"/>
      <c r="O953" s="57"/>
      <c r="P953" s="57"/>
      <c r="Q953" s="57"/>
    </row>
    <row r="954" spans="11:17" ht="15.75" customHeight="1">
      <c r="K954" s="57"/>
      <c r="L954" s="57"/>
      <c r="M954" s="57"/>
      <c r="N954" s="57"/>
      <c r="O954" s="57"/>
      <c r="P954" s="57"/>
      <c r="Q954" s="57"/>
    </row>
    <row r="955" spans="11:17" ht="15.75" customHeight="1">
      <c r="K955" s="57"/>
      <c r="L955" s="57"/>
      <c r="M955" s="57"/>
      <c r="N955" s="57"/>
      <c r="O955" s="57"/>
      <c r="P955" s="57"/>
      <c r="Q955" s="57"/>
    </row>
    <row r="956" spans="11:17" ht="15.75" customHeight="1">
      <c r="K956" s="57"/>
      <c r="L956" s="57"/>
      <c r="M956" s="57"/>
      <c r="N956" s="57"/>
      <c r="O956" s="57"/>
      <c r="P956" s="57"/>
      <c r="Q956" s="57"/>
    </row>
    <row r="957" spans="11:17" ht="15.75" customHeight="1">
      <c r="K957" s="57"/>
      <c r="L957" s="57"/>
      <c r="M957" s="57"/>
      <c r="N957" s="57"/>
      <c r="O957" s="57"/>
      <c r="P957" s="57"/>
      <c r="Q957" s="57"/>
    </row>
    <row r="958" spans="11:17" ht="15.75" customHeight="1">
      <c r="K958" s="57"/>
      <c r="L958" s="57"/>
      <c r="M958" s="57"/>
      <c r="N958" s="57"/>
      <c r="O958" s="57"/>
      <c r="P958" s="57"/>
      <c r="Q958" s="57"/>
    </row>
    <row r="959" spans="11:17" ht="15.75" customHeight="1">
      <c r="K959" s="57"/>
      <c r="L959" s="57"/>
      <c r="M959" s="57"/>
      <c r="N959" s="57"/>
      <c r="O959" s="57"/>
      <c r="P959" s="57"/>
      <c r="Q959" s="57"/>
    </row>
    <row r="960" spans="11:17" ht="15.75" customHeight="1">
      <c r="K960" s="57"/>
      <c r="L960" s="57"/>
      <c r="M960" s="57"/>
      <c r="N960" s="57"/>
      <c r="O960" s="57"/>
      <c r="P960" s="57"/>
      <c r="Q960" s="57"/>
    </row>
    <row r="961" spans="11:17" ht="15.75" customHeight="1">
      <c r="K961" s="57"/>
      <c r="L961" s="57"/>
      <c r="M961" s="57"/>
      <c r="N961" s="57"/>
      <c r="O961" s="57"/>
      <c r="P961" s="57"/>
      <c r="Q961" s="57"/>
    </row>
    <row r="962" spans="11:17" ht="15.75" customHeight="1">
      <c r="K962" s="57"/>
      <c r="L962" s="57"/>
      <c r="M962" s="57"/>
      <c r="N962" s="57"/>
      <c r="O962" s="57"/>
      <c r="P962" s="57"/>
      <c r="Q962" s="57"/>
    </row>
    <row r="963" spans="11:17" ht="15.75" customHeight="1">
      <c r="K963" s="57"/>
      <c r="L963" s="57"/>
      <c r="M963" s="57"/>
      <c r="N963" s="57"/>
      <c r="O963" s="57"/>
      <c r="P963" s="57"/>
      <c r="Q963" s="57"/>
    </row>
    <row r="964" spans="11:17" ht="15.75" customHeight="1">
      <c r="K964" s="57"/>
      <c r="L964" s="57"/>
      <c r="M964" s="57"/>
      <c r="N964" s="57"/>
      <c r="O964" s="57"/>
      <c r="P964" s="57"/>
      <c r="Q964" s="57"/>
    </row>
    <row r="965" spans="11:17" ht="15.75" customHeight="1">
      <c r="K965" s="57"/>
      <c r="L965" s="57"/>
      <c r="M965" s="57"/>
      <c r="N965" s="57"/>
      <c r="O965" s="57"/>
      <c r="P965" s="57"/>
      <c r="Q965" s="57"/>
    </row>
    <row r="966" spans="11:17" ht="15.75" customHeight="1">
      <c r="K966" s="57"/>
      <c r="L966" s="57"/>
      <c r="M966" s="57"/>
      <c r="N966" s="57"/>
      <c r="O966" s="57"/>
      <c r="P966" s="57"/>
      <c r="Q966" s="57"/>
    </row>
    <row r="967" spans="11:17" ht="15.75" customHeight="1">
      <c r="K967" s="57"/>
      <c r="L967" s="57"/>
      <c r="M967" s="57"/>
      <c r="N967" s="57"/>
      <c r="O967" s="57"/>
      <c r="P967" s="57"/>
      <c r="Q967" s="57"/>
    </row>
    <row r="968" spans="11:17" ht="15.75" customHeight="1">
      <c r="K968" s="57"/>
      <c r="L968" s="57"/>
      <c r="M968" s="57"/>
      <c r="N968" s="57"/>
      <c r="O968" s="57"/>
      <c r="P968" s="57"/>
      <c r="Q968" s="57"/>
    </row>
    <row r="969" spans="11:17" ht="15.75" customHeight="1">
      <c r="K969" s="57"/>
      <c r="L969" s="57"/>
      <c r="M969" s="57"/>
      <c r="N969" s="57"/>
      <c r="O969" s="57"/>
      <c r="P969" s="57"/>
      <c r="Q969" s="57"/>
    </row>
    <row r="970" spans="11:17" ht="15.75" customHeight="1">
      <c r="K970" s="57"/>
      <c r="L970" s="57"/>
      <c r="M970" s="57"/>
      <c r="N970" s="57"/>
      <c r="O970" s="57"/>
      <c r="P970" s="57"/>
      <c r="Q970" s="57"/>
    </row>
    <row r="971" spans="11:17" ht="15.75" customHeight="1">
      <c r="K971" s="57"/>
      <c r="L971" s="57"/>
      <c r="M971" s="57"/>
      <c r="N971" s="57"/>
      <c r="O971" s="57"/>
      <c r="P971" s="57"/>
      <c r="Q971" s="57"/>
    </row>
    <row r="972" spans="11:17" ht="15.75" customHeight="1">
      <c r="K972" s="57"/>
      <c r="L972" s="57"/>
      <c r="M972" s="57"/>
      <c r="N972" s="57"/>
      <c r="O972" s="57"/>
      <c r="P972" s="57"/>
      <c r="Q972" s="57"/>
    </row>
    <row r="973" spans="11:17" ht="15.75" customHeight="1">
      <c r="K973" s="57"/>
      <c r="L973" s="57"/>
      <c r="M973" s="57"/>
      <c r="N973" s="57"/>
      <c r="O973" s="57"/>
      <c r="P973" s="57"/>
      <c r="Q973" s="57"/>
    </row>
    <row r="974" spans="11:17" ht="15.75" customHeight="1">
      <c r="K974" s="57"/>
      <c r="L974" s="57"/>
      <c r="M974" s="57"/>
      <c r="N974" s="57"/>
      <c r="O974" s="57"/>
      <c r="P974" s="57"/>
      <c r="Q974" s="57"/>
    </row>
    <row r="975" spans="11:17" ht="15.75" customHeight="1">
      <c r="K975" s="57"/>
      <c r="L975" s="57"/>
      <c r="M975" s="57"/>
      <c r="N975" s="57"/>
      <c r="O975" s="57"/>
      <c r="P975" s="57"/>
      <c r="Q975" s="57"/>
    </row>
    <row r="976" spans="11:17" ht="15.75" customHeight="1">
      <c r="K976" s="57"/>
      <c r="L976" s="57"/>
      <c r="M976" s="57"/>
      <c r="N976" s="57"/>
      <c r="O976" s="57"/>
      <c r="P976" s="57"/>
      <c r="Q976" s="57"/>
    </row>
    <row r="977" spans="11:17" ht="15.75" customHeight="1">
      <c r="K977" s="57"/>
      <c r="L977" s="57"/>
      <c r="M977" s="57"/>
      <c r="N977" s="57"/>
      <c r="O977" s="57"/>
      <c r="P977" s="57"/>
      <c r="Q977" s="57"/>
    </row>
    <row r="978" spans="11:17" ht="15.75" customHeight="1">
      <c r="K978" s="57"/>
      <c r="L978" s="57"/>
      <c r="M978" s="57"/>
      <c r="N978" s="57"/>
      <c r="O978" s="57"/>
      <c r="P978" s="57"/>
      <c r="Q978" s="57"/>
    </row>
    <row r="979" spans="11:17" ht="15.75" customHeight="1">
      <c r="K979" s="57"/>
      <c r="L979" s="57"/>
      <c r="M979" s="57"/>
      <c r="N979" s="57"/>
      <c r="O979" s="57"/>
      <c r="P979" s="57"/>
      <c r="Q979" s="57"/>
    </row>
    <row r="980" spans="11:17" ht="15.75" customHeight="1">
      <c r="K980" s="57"/>
      <c r="L980" s="57"/>
      <c r="M980" s="57"/>
      <c r="N980" s="57"/>
      <c r="O980" s="57"/>
      <c r="P980" s="57"/>
      <c r="Q980" s="57"/>
    </row>
    <row r="981" spans="11:17" ht="15.75" customHeight="1">
      <c r="K981" s="57"/>
      <c r="L981" s="57"/>
      <c r="M981" s="57"/>
      <c r="N981" s="57"/>
      <c r="O981" s="57"/>
      <c r="P981" s="57"/>
      <c r="Q981" s="57"/>
    </row>
    <row r="982" spans="11:17" ht="15.75" customHeight="1">
      <c r="K982" s="57"/>
      <c r="L982" s="57"/>
      <c r="M982" s="57"/>
      <c r="N982" s="57"/>
      <c r="O982" s="57"/>
      <c r="P982" s="57"/>
      <c r="Q982" s="57"/>
    </row>
    <row r="983" spans="11:17" ht="15.75" customHeight="1">
      <c r="K983" s="57"/>
      <c r="L983" s="57"/>
      <c r="M983" s="57"/>
      <c r="N983" s="57"/>
      <c r="O983" s="57"/>
      <c r="P983" s="57"/>
      <c r="Q983" s="57"/>
    </row>
    <row r="984" spans="11:17" ht="15.75" customHeight="1">
      <c r="K984" s="57"/>
      <c r="L984" s="57"/>
      <c r="M984" s="57"/>
      <c r="N984" s="57"/>
      <c r="O984" s="57"/>
      <c r="P984" s="57"/>
      <c r="Q984" s="57"/>
    </row>
    <row r="985" spans="11:17" ht="15.75" customHeight="1">
      <c r="K985" s="57"/>
      <c r="L985" s="57"/>
      <c r="M985" s="57"/>
      <c r="N985" s="57"/>
      <c r="O985" s="57"/>
      <c r="P985" s="57"/>
      <c r="Q985" s="57"/>
    </row>
    <row r="986" spans="11:17" ht="15.75" customHeight="1">
      <c r="K986" s="57"/>
      <c r="L986" s="57"/>
      <c r="M986" s="57"/>
      <c r="N986" s="57"/>
      <c r="O986" s="57"/>
      <c r="P986" s="57"/>
      <c r="Q986" s="57"/>
    </row>
    <row r="987" spans="11:17" ht="15.75" customHeight="1">
      <c r="K987" s="57"/>
      <c r="L987" s="57"/>
      <c r="M987" s="57"/>
      <c r="N987" s="57"/>
      <c r="O987" s="57"/>
      <c r="P987" s="57"/>
      <c r="Q987" s="57"/>
    </row>
    <row r="988" spans="11:17" ht="15.75" customHeight="1">
      <c r="K988" s="57"/>
      <c r="L988" s="57"/>
      <c r="M988" s="57"/>
      <c r="N988" s="57"/>
      <c r="O988" s="57"/>
      <c r="P988" s="57"/>
      <c r="Q988" s="57"/>
    </row>
    <row r="989" spans="11:17" ht="15.75" customHeight="1">
      <c r="K989" s="57"/>
      <c r="L989" s="57"/>
      <c r="M989" s="57"/>
      <c r="N989" s="57"/>
      <c r="O989" s="57"/>
      <c r="P989" s="57"/>
      <c r="Q989" s="57"/>
    </row>
    <row r="990" spans="11:17" ht="15.75" customHeight="1">
      <c r="K990" s="57"/>
      <c r="L990" s="57"/>
      <c r="M990" s="57"/>
      <c r="N990" s="57"/>
      <c r="O990" s="57"/>
      <c r="P990" s="57"/>
      <c r="Q990" s="57"/>
    </row>
    <row r="991" spans="11:17" ht="15.75" customHeight="1">
      <c r="K991" s="57"/>
      <c r="L991" s="57"/>
      <c r="M991" s="57"/>
      <c r="N991" s="57"/>
      <c r="O991" s="57"/>
      <c r="P991" s="57"/>
      <c r="Q991" s="57"/>
    </row>
    <row r="992" spans="11:17" ht="15.75" customHeight="1">
      <c r="K992" s="57"/>
      <c r="L992" s="57"/>
      <c r="M992" s="57"/>
      <c r="N992" s="57"/>
      <c r="O992" s="57"/>
      <c r="P992" s="57"/>
      <c r="Q992" s="57"/>
    </row>
    <row r="993" spans="11:17" ht="15.75" customHeight="1">
      <c r="K993" s="57"/>
      <c r="L993" s="57"/>
      <c r="M993" s="57"/>
      <c r="N993" s="57"/>
      <c r="O993" s="57"/>
      <c r="P993" s="57"/>
      <c r="Q993" s="57"/>
    </row>
    <row r="994" spans="11:17" ht="15.75" customHeight="1">
      <c r="K994" s="57"/>
      <c r="L994" s="57"/>
      <c r="M994" s="57"/>
      <c r="N994" s="57"/>
      <c r="O994" s="57"/>
      <c r="P994" s="57"/>
      <c r="Q994" s="57"/>
    </row>
    <row r="995" spans="11:17" ht="15.75" customHeight="1">
      <c r="K995" s="57"/>
      <c r="L995" s="57"/>
      <c r="M995" s="57"/>
      <c r="N995" s="57"/>
      <c r="O995" s="57"/>
      <c r="P995" s="57"/>
      <c r="Q995" s="57"/>
    </row>
    <row r="996" spans="11:17" ht="15.75" customHeight="1">
      <c r="K996" s="57"/>
      <c r="L996" s="57"/>
      <c r="M996" s="57"/>
      <c r="N996" s="57"/>
      <c r="O996" s="57"/>
      <c r="P996" s="57"/>
      <c r="Q996" s="57"/>
    </row>
    <row r="997" spans="11:17" ht="15.75" customHeight="1">
      <c r="K997" s="57"/>
      <c r="L997" s="57"/>
      <c r="M997" s="57"/>
      <c r="N997" s="57"/>
      <c r="O997" s="57"/>
      <c r="P997" s="57"/>
      <c r="Q997" s="57"/>
    </row>
    <row r="998" spans="11:17" ht="15.75" customHeight="1">
      <c r="K998" s="57"/>
      <c r="L998" s="57"/>
      <c r="M998" s="57"/>
      <c r="N998" s="57"/>
      <c r="O998" s="57"/>
      <c r="P998" s="57"/>
      <c r="Q998" s="57"/>
    </row>
    <row r="999" spans="11:17" ht="15.75" customHeight="1">
      <c r="K999" s="57"/>
      <c r="L999" s="57"/>
      <c r="M999" s="57"/>
      <c r="N999" s="57"/>
      <c r="O999" s="57"/>
      <c r="P999" s="57"/>
      <c r="Q999" s="57"/>
    </row>
    <row r="1000" spans="11:17" ht="15.75" customHeight="1">
      <c r="K1000" s="57"/>
      <c r="L1000" s="57"/>
      <c r="M1000" s="57"/>
      <c r="N1000" s="57"/>
      <c r="O1000" s="57"/>
      <c r="P1000" s="57"/>
      <c r="Q1000" s="57"/>
    </row>
    <row r="1001" spans="11:17" ht="15.75" customHeight="1">
      <c r="K1001" s="57"/>
      <c r="L1001" s="57"/>
      <c r="M1001" s="57"/>
      <c r="N1001" s="57"/>
      <c r="O1001" s="57"/>
      <c r="P1001" s="57"/>
      <c r="Q1001" s="57"/>
    </row>
    <row r="1002" spans="11:17" ht="15.75" customHeight="1">
      <c r="K1002" s="57"/>
      <c r="L1002" s="57"/>
      <c r="M1002" s="57"/>
      <c r="N1002" s="57"/>
      <c r="O1002" s="57"/>
      <c r="P1002" s="57"/>
      <c r="Q1002" s="57"/>
    </row>
  </sheetData>
  <mergeCells count="1">
    <mergeCell ref="A1:A2"/>
  </mergeCells>
  <hyperlinks>
    <hyperlink ref="S14" r:id="rId1" xr:uid="{1FD0CCEB-ACE3-437A-9867-DB3E9CC21E04}"/>
    <hyperlink ref="S24" r:id="rId2" xr:uid="{97D681AC-34DB-4366-9724-57D480791822}"/>
    <hyperlink ref="S5" r:id="rId3" xr:uid="{EA55DD61-89E4-41E3-AAF3-CAE67915EE55}"/>
  </hyperlinks>
  <pageMargins left="0.7" right="0.7" top="0.75" bottom="0.75" header="0" footer="0"/>
  <pageSetup orientation="portrait" r:id="rId4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306C"/>
  </sheetPr>
  <dimension ref="A1:AE1005"/>
  <sheetViews>
    <sheetView workbookViewId="0">
      <selection activeCell="O28" sqref="O28"/>
    </sheetView>
  </sheetViews>
  <sheetFormatPr defaultColWidth="14.42578125" defaultRowHeight="15" customHeight="1"/>
  <cols>
    <col min="1" max="1" width="63.85546875" bestFit="1" customWidth="1"/>
    <col min="2" max="12" width="9.140625" customWidth="1"/>
    <col min="13" max="15" width="10.5703125" bestFit="1" customWidth="1"/>
    <col min="16" max="16" width="9.140625" customWidth="1"/>
    <col min="17" max="17" width="12.7109375" customWidth="1"/>
    <col min="18" max="18" width="66.7109375" customWidth="1"/>
    <col min="19" max="19" width="45.5703125" bestFit="1" customWidth="1"/>
    <col min="20" max="31" width="8.7109375" customWidth="1"/>
  </cols>
  <sheetData>
    <row r="1" spans="1:31">
      <c r="A1" s="639" t="s">
        <v>130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1:31">
      <c r="A2" s="63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1:31">
      <c r="A3" s="27" t="s">
        <v>37</v>
      </c>
      <c r="B3" s="324">
        <v>2010</v>
      </c>
      <c r="C3" s="324">
        <v>2011</v>
      </c>
      <c r="D3" s="324">
        <v>2012</v>
      </c>
      <c r="E3" s="324">
        <v>2013</v>
      </c>
      <c r="F3" s="324">
        <v>2014</v>
      </c>
      <c r="G3" s="324">
        <v>2015</v>
      </c>
      <c r="H3" s="324">
        <v>2016</v>
      </c>
      <c r="I3" s="324">
        <v>2017</v>
      </c>
      <c r="J3" s="324">
        <v>2018</v>
      </c>
      <c r="K3" s="324">
        <v>2019</v>
      </c>
      <c r="L3" s="324">
        <v>2020</v>
      </c>
      <c r="M3" s="324">
        <v>2021</v>
      </c>
      <c r="N3" s="324">
        <v>2022</v>
      </c>
      <c r="O3" s="324">
        <v>2023</v>
      </c>
      <c r="P3" s="324">
        <v>2024</v>
      </c>
      <c r="Q3" s="27" t="s">
        <v>20</v>
      </c>
      <c r="R3" s="28" t="s">
        <v>21</v>
      </c>
      <c r="S3" s="28" t="s">
        <v>22</v>
      </c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</row>
    <row r="4" spans="1:31" ht="17.25" customHeight="1">
      <c r="A4" s="33" t="s">
        <v>445</v>
      </c>
      <c r="B4" s="379"/>
      <c r="C4" s="379"/>
      <c r="D4" s="379"/>
      <c r="E4" s="379"/>
      <c r="F4" s="379"/>
      <c r="G4" s="379"/>
      <c r="H4" s="336">
        <v>1.9437169999999999</v>
      </c>
      <c r="I4" s="336">
        <v>1.711017</v>
      </c>
      <c r="J4" s="336">
        <v>1.8281780000000001</v>
      </c>
      <c r="K4" s="336">
        <v>2.4287019999999999</v>
      </c>
      <c r="L4" s="336">
        <v>4.6083990000000004</v>
      </c>
      <c r="M4" s="336">
        <v>5.0800729999999996</v>
      </c>
      <c r="N4" s="336">
        <v>7.8931370000000003</v>
      </c>
      <c r="O4" s="336">
        <v>14.016105</v>
      </c>
      <c r="P4" s="336">
        <v>38.714565999999998</v>
      </c>
      <c r="Q4" s="36" t="s">
        <v>69</v>
      </c>
      <c r="R4" s="203" t="s">
        <v>70</v>
      </c>
      <c r="S4" s="32" t="s">
        <v>492</v>
      </c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 spans="1:31" ht="16.5" customHeight="1">
      <c r="A5" s="30" t="s">
        <v>446</v>
      </c>
      <c r="B5" s="379"/>
      <c r="C5" s="379"/>
      <c r="D5" s="379"/>
      <c r="E5" s="379"/>
      <c r="F5" s="379"/>
      <c r="G5" s="379"/>
      <c r="H5" s="336">
        <v>1.9437169999999999</v>
      </c>
      <c r="I5" s="336">
        <v>1.711017</v>
      </c>
      <c r="J5" s="336">
        <v>1.8281780000000001</v>
      </c>
      <c r="K5" s="336">
        <v>2.4287019999999999</v>
      </c>
      <c r="L5" s="336">
        <v>4.6083990000000004</v>
      </c>
      <c r="M5" s="336">
        <v>5.0800729999999996</v>
      </c>
      <c r="N5" s="336">
        <v>15.819877</v>
      </c>
      <c r="O5" s="336">
        <v>26.300097000000001</v>
      </c>
      <c r="P5" s="336">
        <v>103.03825399999999</v>
      </c>
      <c r="Q5" s="211" t="s">
        <v>69</v>
      </c>
      <c r="R5" s="160" t="s">
        <v>70</v>
      </c>
      <c r="S5" s="32" t="s">
        <v>492</v>
      </c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 spans="1:31">
      <c r="A6" s="30" t="s">
        <v>422</v>
      </c>
      <c r="B6" s="379"/>
      <c r="C6" s="379"/>
      <c r="D6" s="379"/>
      <c r="E6" s="387"/>
      <c r="F6" s="387"/>
      <c r="G6" s="387"/>
      <c r="H6" s="388">
        <v>17138</v>
      </c>
      <c r="I6" s="388">
        <v>17662</v>
      </c>
      <c r="J6" s="388">
        <v>18325</v>
      </c>
      <c r="K6" s="388">
        <v>18746</v>
      </c>
      <c r="L6" s="388">
        <v>11067</v>
      </c>
      <c r="M6" s="388">
        <v>14617</v>
      </c>
      <c r="N6" s="388">
        <v>17510</v>
      </c>
      <c r="O6" s="388">
        <v>19254.122940000001</v>
      </c>
      <c r="P6" s="388">
        <v>19938.315599000001</v>
      </c>
      <c r="Q6" s="389" t="s">
        <v>515</v>
      </c>
      <c r="R6" s="234" t="s">
        <v>514</v>
      </c>
      <c r="S6" s="32" t="s">
        <v>492</v>
      </c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spans="1:31" ht="45">
      <c r="A7" s="30" t="s">
        <v>517</v>
      </c>
      <c r="B7" s="379"/>
      <c r="C7" s="379"/>
      <c r="D7" s="386"/>
      <c r="E7" s="393">
        <v>14.918040000000001</v>
      </c>
      <c r="F7" s="393">
        <v>392.31828000000002</v>
      </c>
      <c r="G7" s="393">
        <v>912.35592000000008</v>
      </c>
      <c r="H7" s="393">
        <v>633.10068000000001</v>
      </c>
      <c r="I7" s="393">
        <v>39.51972</v>
      </c>
      <c r="J7" s="393">
        <v>0</v>
      </c>
      <c r="K7" s="393">
        <v>255.17700000000002</v>
      </c>
      <c r="L7" s="393">
        <v>108.87552000000001</v>
      </c>
      <c r="M7" s="393">
        <v>2412.27324</v>
      </c>
      <c r="N7" s="393">
        <v>5683.2498000000005</v>
      </c>
      <c r="O7" s="393">
        <v>3076.5185999999999</v>
      </c>
      <c r="P7" s="393">
        <v>498.83832000000001</v>
      </c>
      <c r="Q7" s="392" t="s">
        <v>131</v>
      </c>
      <c r="R7" s="213" t="s">
        <v>132</v>
      </c>
      <c r="S7" s="30" t="s">
        <v>518</v>
      </c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spans="1:31" ht="45">
      <c r="A8" s="30" t="s">
        <v>516</v>
      </c>
      <c r="B8" s="379"/>
      <c r="C8" s="379"/>
      <c r="D8" s="381"/>
      <c r="E8" s="390">
        <v>2</v>
      </c>
      <c r="F8" s="390">
        <v>4</v>
      </c>
      <c r="G8" s="390">
        <v>6</v>
      </c>
      <c r="H8" s="390">
        <v>12</v>
      </c>
      <c r="I8" s="390">
        <v>14</v>
      </c>
      <c r="J8" s="390">
        <v>19</v>
      </c>
      <c r="K8" s="390">
        <v>23</v>
      </c>
      <c r="L8" s="390">
        <v>28</v>
      </c>
      <c r="M8" s="390">
        <v>51</v>
      </c>
      <c r="N8" s="390">
        <v>94</v>
      </c>
      <c r="O8" s="390">
        <v>122</v>
      </c>
      <c r="P8" s="390">
        <v>145</v>
      </c>
      <c r="Q8" s="391" t="s">
        <v>131</v>
      </c>
      <c r="R8" s="213" t="s">
        <v>132</v>
      </c>
      <c r="S8" s="32" t="s">
        <v>492</v>
      </c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</row>
    <row r="9" spans="1:31" ht="30">
      <c r="A9" s="30" t="s">
        <v>133</v>
      </c>
      <c r="B9" s="379"/>
      <c r="C9" s="379"/>
      <c r="D9" s="381"/>
      <c r="E9" s="382">
        <v>1</v>
      </c>
      <c r="F9" s="382">
        <v>2</v>
      </c>
      <c r="G9" s="382">
        <v>2</v>
      </c>
      <c r="H9" s="382">
        <v>6</v>
      </c>
      <c r="I9" s="382">
        <v>2</v>
      </c>
      <c r="J9" s="382">
        <v>5</v>
      </c>
      <c r="K9" s="382">
        <v>4</v>
      </c>
      <c r="L9" s="382">
        <v>5</v>
      </c>
      <c r="M9" s="382">
        <v>23</v>
      </c>
      <c r="N9" s="382">
        <v>43</v>
      </c>
      <c r="O9" s="382">
        <v>28</v>
      </c>
      <c r="P9" s="380">
        <v>23</v>
      </c>
      <c r="Q9" s="212" t="s">
        <v>131</v>
      </c>
      <c r="R9" s="214" t="s">
        <v>134</v>
      </c>
      <c r="S9" s="32" t="s">
        <v>492</v>
      </c>
    </row>
    <row r="10" spans="1:31" ht="30">
      <c r="A10" s="30" t="s">
        <v>135</v>
      </c>
      <c r="B10" s="379"/>
      <c r="C10" s="379"/>
      <c r="D10" s="374">
        <v>4</v>
      </c>
      <c r="E10" s="374">
        <v>5</v>
      </c>
      <c r="F10" s="374">
        <v>6</v>
      </c>
      <c r="G10" s="374">
        <v>6</v>
      </c>
      <c r="H10" s="374">
        <v>6</v>
      </c>
      <c r="I10" s="374">
        <v>7</v>
      </c>
      <c r="J10" s="374">
        <v>7</v>
      </c>
      <c r="K10" s="374">
        <v>7</v>
      </c>
      <c r="L10" s="374">
        <v>10</v>
      </c>
      <c r="M10" s="374">
        <v>11</v>
      </c>
      <c r="N10" s="374">
        <v>11</v>
      </c>
      <c r="O10" s="374">
        <v>14</v>
      </c>
      <c r="P10" s="374">
        <v>15</v>
      </c>
      <c r="Q10" s="30" t="s">
        <v>131</v>
      </c>
      <c r="R10" s="214" t="s">
        <v>134</v>
      </c>
      <c r="S10" s="32" t="s">
        <v>492</v>
      </c>
    </row>
    <row r="11" spans="1:31">
      <c r="A11" s="30" t="s">
        <v>468</v>
      </c>
      <c r="B11" s="379"/>
      <c r="C11" s="379"/>
      <c r="D11" s="379"/>
      <c r="E11" s="379"/>
      <c r="F11" s="374">
        <v>0</v>
      </c>
      <c r="G11" s="374">
        <v>0</v>
      </c>
      <c r="H11" s="374">
        <v>2</v>
      </c>
      <c r="I11" s="374">
        <v>5</v>
      </c>
      <c r="J11" s="374">
        <v>9</v>
      </c>
      <c r="K11" s="374">
        <v>10</v>
      </c>
      <c r="L11" s="374">
        <v>13</v>
      </c>
      <c r="M11" s="374">
        <v>43</v>
      </c>
      <c r="N11" s="374">
        <v>58</v>
      </c>
      <c r="O11" s="374">
        <v>74</v>
      </c>
      <c r="P11" s="374">
        <v>96</v>
      </c>
      <c r="Q11" s="30" t="s">
        <v>131</v>
      </c>
      <c r="R11" s="394" t="s">
        <v>467</v>
      </c>
      <c r="S11" s="32" t="s">
        <v>492</v>
      </c>
    </row>
    <row r="12" spans="1:31">
      <c r="A12" s="30" t="s">
        <v>469</v>
      </c>
      <c r="B12" s="379"/>
      <c r="C12" s="379"/>
      <c r="D12" s="379"/>
      <c r="E12" s="379"/>
      <c r="F12" s="374">
        <v>1</v>
      </c>
      <c r="G12" s="374">
        <v>1</v>
      </c>
      <c r="H12" s="374">
        <v>3</v>
      </c>
      <c r="I12" s="374">
        <v>5</v>
      </c>
      <c r="J12" s="374">
        <v>9</v>
      </c>
      <c r="K12" s="374">
        <v>14</v>
      </c>
      <c r="L12" s="374">
        <v>15</v>
      </c>
      <c r="M12" s="374">
        <v>24</v>
      </c>
      <c r="N12" s="374">
        <v>33</v>
      </c>
      <c r="O12" s="374">
        <v>56</v>
      </c>
      <c r="P12" s="374">
        <v>62</v>
      </c>
      <c r="Q12" s="30" t="s">
        <v>131</v>
      </c>
      <c r="R12" s="215" t="s">
        <v>467</v>
      </c>
      <c r="S12" s="32" t="s">
        <v>492</v>
      </c>
    </row>
    <row r="13" spans="1:31">
      <c r="A13" s="252" t="s">
        <v>136</v>
      </c>
      <c r="B13" s="379"/>
      <c r="C13" s="379"/>
      <c r="D13" s="379"/>
      <c r="E13" s="383"/>
      <c r="F13" s="383"/>
      <c r="G13" s="384">
        <v>1</v>
      </c>
      <c r="H13" s="384">
        <v>2</v>
      </c>
      <c r="I13" s="384">
        <v>2</v>
      </c>
      <c r="J13" s="384">
        <v>3</v>
      </c>
      <c r="K13" s="384">
        <v>3</v>
      </c>
      <c r="L13" s="384">
        <v>4</v>
      </c>
      <c r="M13" s="384">
        <v>5</v>
      </c>
      <c r="N13" s="384">
        <v>6</v>
      </c>
      <c r="O13" s="384">
        <v>7</v>
      </c>
      <c r="P13" s="384">
        <v>19</v>
      </c>
      <c r="Q13" s="30" t="s">
        <v>131</v>
      </c>
      <c r="R13" s="215" t="s">
        <v>467</v>
      </c>
      <c r="S13" s="32" t="s">
        <v>492</v>
      </c>
    </row>
    <row r="14" spans="1:31">
      <c r="A14" s="137" t="s">
        <v>470</v>
      </c>
      <c r="B14" s="378">
        <v>288.14</v>
      </c>
      <c r="C14" s="378">
        <v>296.04000000000002</v>
      </c>
      <c r="D14" s="378">
        <v>301.89</v>
      </c>
      <c r="E14" s="378">
        <v>311.24</v>
      </c>
      <c r="F14" s="378">
        <v>321.69</v>
      </c>
      <c r="G14" s="378">
        <v>338.84</v>
      </c>
      <c r="H14" s="378">
        <v>356.18</v>
      </c>
      <c r="I14" s="378">
        <v>380.57</v>
      </c>
      <c r="J14" s="378">
        <v>395.41</v>
      </c>
      <c r="K14" s="378">
        <v>403.72</v>
      </c>
      <c r="L14" s="378">
        <v>279.79000000000002</v>
      </c>
      <c r="M14" s="378">
        <v>321.13</v>
      </c>
      <c r="N14" s="378">
        <v>347.73</v>
      </c>
      <c r="O14" s="316">
        <v>395.69</v>
      </c>
      <c r="P14" s="385"/>
      <c r="Q14" s="137" t="s">
        <v>473</v>
      </c>
      <c r="R14" s="395" t="s">
        <v>471</v>
      </c>
      <c r="S14" s="32" t="s">
        <v>472</v>
      </c>
    </row>
    <row r="15" spans="1:31">
      <c r="A15" s="137" t="s">
        <v>519</v>
      </c>
      <c r="B15" s="378">
        <v>465.88</v>
      </c>
      <c r="C15" s="378">
        <v>479.74</v>
      </c>
      <c r="D15" s="378">
        <v>481.25</v>
      </c>
      <c r="E15" s="378">
        <v>490.26</v>
      </c>
      <c r="F15" s="378">
        <v>505.94</v>
      </c>
      <c r="G15" s="378">
        <v>534.97</v>
      </c>
      <c r="H15" s="378">
        <v>559.09</v>
      </c>
      <c r="I15" s="378">
        <v>595.24</v>
      </c>
      <c r="J15" s="378">
        <v>622.53</v>
      </c>
      <c r="K15" s="378">
        <v>632.73</v>
      </c>
      <c r="L15" s="378">
        <v>302.56</v>
      </c>
      <c r="M15" s="378">
        <v>343.88</v>
      </c>
      <c r="N15" s="378">
        <v>436.72</v>
      </c>
      <c r="O15" s="316">
        <v>544.91</v>
      </c>
      <c r="P15" s="385"/>
      <c r="Q15" s="137" t="s">
        <v>473</v>
      </c>
      <c r="R15" s="137" t="s">
        <v>471</v>
      </c>
      <c r="S15" s="32" t="s">
        <v>472</v>
      </c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 spans="1:3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 spans="1:3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 spans="1:31">
      <c r="A18" s="57"/>
      <c r="B18" s="57"/>
      <c r="C18" s="57"/>
      <c r="D18" s="57"/>
      <c r="E18" s="57"/>
      <c r="F18" s="57">
        <f>+F4/1000+'RENEWABLE DIESEL'!F9/1000+BIODIESEL!F11+ETHANOL!F17</f>
        <v>15.740141206000001</v>
      </c>
      <c r="G18" s="57">
        <f>+G4/1000+'RENEWABLE DIESEL'!G9/1000+BIODIESEL!G11+ETHANOL!G17</f>
        <v>16.249847616</v>
      </c>
      <c r="H18" s="57">
        <f>+H4/1000+'RENEWABLE DIESEL'!H9/1000+BIODIESEL!H11+ETHANOL!H17</f>
        <v>17.225431151999999</v>
      </c>
      <c r="I18" s="57">
        <f>+I4/1000+'RENEWABLE DIESEL'!I9/1000+BIODIESEL!I11+ETHANOL!I17</f>
        <v>17.792053142</v>
      </c>
      <c r="J18" s="57">
        <f>+J4/1000+'RENEWABLE DIESEL'!J9/1000+BIODIESEL!J11+ETHANOL!J17</f>
        <v>18.255312625000002</v>
      </c>
      <c r="K18" s="57">
        <f>+K4/1000+'RENEWABLE DIESEL'!K9/1000+BIODIESEL!K11+ETHANOL!K17</f>
        <v>17.997436660000002</v>
      </c>
      <c r="L18" s="57">
        <f>+L4/1000+'RENEWABLE DIESEL'!L9/1000+BIODIESEL!L11+ETHANOL!L17</f>
        <v>16.294608399000001</v>
      </c>
      <c r="M18" s="57">
        <f>+M4/1000+'RENEWABLE DIESEL'!M9/1000+BIODIESEL!M11+ETHANOL!M17</f>
        <v>17.591080073000001</v>
      </c>
      <c r="N18" s="57">
        <f>+N4/1000+'RENEWABLE DIESEL'!N9/1000+BIODIESEL!N11+ETHANOL!N17</f>
        <v>18.489893137000003</v>
      </c>
      <c r="O18" s="57">
        <f>+O4/1000+'RENEWABLE DIESEL'!O9/1000+BIODIESEL!O11+ETHANOL!O17</f>
        <v>19.926016104999999</v>
      </c>
      <c r="P18" s="57">
        <f>+P4/1000+'RENEWABLE DIESEL'!P9/1000+BIODIESEL!P11+ETHANOL!P17</f>
        <v>21.128714565999999</v>
      </c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 spans="1:3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 spans="1:31">
      <c r="A20" s="57"/>
      <c r="B20" s="57"/>
      <c r="C20" s="57"/>
      <c r="D20" s="57"/>
      <c r="E20" s="57"/>
      <c r="F20" s="57">
        <f>+$P$18-F18</f>
        <v>5.3885733599999988</v>
      </c>
      <c r="G20" s="57">
        <f t="shared" ref="G20:P20" si="0">+$P$18-G18</f>
        <v>4.878866949999999</v>
      </c>
      <c r="H20" s="57">
        <f t="shared" si="0"/>
        <v>3.9032834140000006</v>
      </c>
      <c r="I20" s="57">
        <f t="shared" si="0"/>
        <v>3.336661423999999</v>
      </c>
      <c r="J20" s="57">
        <f t="shared" si="0"/>
        <v>2.8734019409999974</v>
      </c>
      <c r="K20" s="57">
        <f t="shared" si="0"/>
        <v>3.1312779059999976</v>
      </c>
      <c r="L20" s="57">
        <f t="shared" si="0"/>
        <v>4.8341061669999981</v>
      </c>
      <c r="M20" s="57">
        <f t="shared" si="0"/>
        <v>3.5376344929999988</v>
      </c>
      <c r="N20" s="57">
        <f t="shared" si="0"/>
        <v>2.6388214289999965</v>
      </c>
      <c r="O20" s="57">
        <f t="shared" si="0"/>
        <v>1.2026984610000007</v>
      </c>
      <c r="P20" s="57">
        <f t="shared" si="0"/>
        <v>0</v>
      </c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spans="1:31">
      <c r="A21" s="57"/>
      <c r="B21" s="57"/>
      <c r="C21" s="57"/>
      <c r="D21" s="57"/>
      <c r="E21" s="57"/>
      <c r="F21" s="623">
        <f>+F20/F18</f>
        <v>0.34234593511435102</v>
      </c>
      <c r="G21" s="623">
        <f t="shared" ref="G21:P21" si="1">+G20/G18</f>
        <v>0.30024078165484741</v>
      </c>
      <c r="H21" s="623">
        <f t="shared" si="1"/>
        <v>0.22660004150588711</v>
      </c>
      <c r="I21" s="623">
        <f t="shared" si="1"/>
        <v>0.18753661521634404</v>
      </c>
      <c r="J21" s="623">
        <f t="shared" si="1"/>
        <v>0.15740086187650248</v>
      </c>
      <c r="K21" s="623">
        <f t="shared" si="1"/>
        <v>0.17398466043552657</v>
      </c>
      <c r="L21" s="623">
        <f t="shared" si="1"/>
        <v>0.29666906062600845</v>
      </c>
      <c r="M21" s="623">
        <f t="shared" si="1"/>
        <v>0.20110388209930347</v>
      </c>
      <c r="N21" s="623">
        <f t="shared" si="1"/>
        <v>0.14271696485467883</v>
      </c>
      <c r="O21" s="623">
        <f t="shared" si="1"/>
        <v>6.0358199785766994E-2</v>
      </c>
      <c r="P21" s="623">
        <f t="shared" si="1"/>
        <v>0</v>
      </c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 spans="1:3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 spans="1:3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 spans="1:3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spans="1:3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</row>
    <row r="26" spans="1:31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70">
        <f>+P11-O11</f>
        <v>22</v>
      </c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 spans="1:31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>
        <f>+O26/O11</f>
        <v>0.29729729729729731</v>
      </c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31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</row>
    <row r="29" spans="1:31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</row>
    <row r="30" spans="1:31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</row>
    <row r="31" spans="1: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</row>
    <row r="32" spans="1:31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</row>
    <row r="33" spans="1:31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</row>
    <row r="34" spans="1:31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</row>
    <row r="35" spans="1:31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</row>
    <row r="36" spans="1:31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</row>
    <row r="37" spans="1:31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</row>
    <row r="38" spans="1:31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</row>
    <row r="39" spans="1:31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</row>
    <row r="40" spans="1:31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</row>
    <row r="41" spans="1:3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</row>
    <row r="42" spans="1:31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</row>
    <row r="43" spans="1:31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</row>
    <row r="44" spans="1:31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</row>
    <row r="45" spans="1:31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</row>
    <row r="46" spans="1:31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</row>
    <row r="47" spans="1:31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</row>
    <row r="48" spans="1:31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</row>
    <row r="49" spans="1:31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</row>
    <row r="50" spans="1:31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</row>
    <row r="51" spans="1:3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</row>
    <row r="52" spans="1:31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</row>
    <row r="53" spans="1:31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</row>
    <row r="54" spans="1:31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</row>
    <row r="55" spans="1:31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</row>
    <row r="56" spans="1:31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</row>
    <row r="57" spans="1:31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</row>
    <row r="58" spans="1:31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</row>
    <row r="59" spans="1:31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</row>
    <row r="60" spans="1:31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</row>
    <row r="61" spans="1:3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</row>
    <row r="62" spans="1:31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</row>
    <row r="63" spans="1:31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</row>
    <row r="64" spans="1:31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</row>
    <row r="65" spans="1:31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</row>
    <row r="66" spans="1:31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</row>
    <row r="67" spans="1:31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</row>
    <row r="68" spans="1:31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</row>
    <row r="69" spans="1:31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</row>
    <row r="70" spans="1:31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</row>
    <row r="71" spans="1:3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</row>
    <row r="72" spans="1:31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</row>
    <row r="73" spans="1:31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</row>
    <row r="74" spans="1:31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</row>
    <row r="75" spans="1:31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</row>
    <row r="76" spans="1:31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</row>
    <row r="77" spans="1:31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</row>
    <row r="78" spans="1:31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</row>
    <row r="79" spans="1:31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</row>
    <row r="80" spans="1:31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</row>
    <row r="81" spans="1:3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</row>
    <row r="82" spans="1:31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</row>
    <row r="83" spans="1:31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</row>
    <row r="84" spans="1:31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</row>
    <row r="85" spans="1:31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</row>
    <row r="86" spans="1:31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</row>
    <row r="87" spans="1:31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</row>
    <row r="88" spans="1:31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</row>
    <row r="89" spans="1:31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</row>
    <row r="90" spans="1:31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</row>
    <row r="91" spans="1:3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</row>
    <row r="92" spans="1:31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</row>
    <row r="93" spans="1:31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</row>
    <row r="94" spans="1:31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</row>
    <row r="95" spans="1:31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</row>
    <row r="96" spans="1:31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</row>
    <row r="97" spans="1:31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</row>
    <row r="98" spans="1:31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</row>
    <row r="99" spans="1:31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</row>
    <row r="100" spans="1:31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</row>
    <row r="101" spans="1:3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</row>
    <row r="102" spans="1:31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</row>
    <row r="103" spans="1:31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</row>
    <row r="104" spans="1:31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</row>
    <row r="105" spans="1:31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</row>
    <row r="106" spans="1:31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</row>
    <row r="107" spans="1:31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</row>
    <row r="108" spans="1:31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</row>
    <row r="109" spans="1:31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</row>
    <row r="110" spans="1:31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</row>
    <row r="111" spans="1:3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</row>
    <row r="112" spans="1:31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</row>
    <row r="113" spans="1:31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</row>
    <row r="114" spans="1:31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</row>
    <row r="115" spans="1:31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</row>
    <row r="116" spans="1:31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</row>
    <row r="117" spans="1:31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</row>
    <row r="118" spans="1:31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</row>
    <row r="119" spans="1:31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</row>
    <row r="120" spans="1:31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</row>
    <row r="121" spans="1:3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</row>
    <row r="122" spans="1:31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</row>
    <row r="123" spans="1:31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</row>
    <row r="124" spans="1:31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</row>
    <row r="125" spans="1:31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</row>
    <row r="126" spans="1:31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</row>
    <row r="127" spans="1:31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</row>
    <row r="128" spans="1:31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</row>
    <row r="129" spans="1:31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</row>
    <row r="130" spans="1:31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</row>
    <row r="131" spans="1: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</row>
    <row r="132" spans="1:31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</row>
    <row r="133" spans="1:31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</row>
    <row r="134" spans="1:31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</row>
    <row r="135" spans="1:31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</row>
    <row r="136" spans="1:31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</row>
    <row r="137" spans="1:31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</row>
    <row r="138" spans="1:31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</row>
    <row r="139" spans="1:31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</row>
    <row r="140" spans="1:31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</row>
    <row r="141" spans="1:3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</row>
    <row r="142" spans="1:31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</row>
    <row r="143" spans="1:31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</row>
    <row r="144" spans="1:31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</row>
    <row r="145" spans="1:31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</row>
    <row r="146" spans="1:31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</row>
    <row r="147" spans="1:31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</row>
    <row r="148" spans="1:31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</row>
    <row r="149" spans="1:31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</row>
    <row r="150" spans="1:31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</row>
    <row r="151" spans="1:3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</row>
    <row r="152" spans="1:31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</row>
    <row r="153" spans="1:31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</row>
    <row r="154" spans="1:31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</row>
    <row r="155" spans="1:31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</row>
    <row r="156" spans="1:31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</row>
    <row r="157" spans="1:31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</row>
    <row r="158" spans="1:31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</row>
    <row r="159" spans="1:31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</row>
    <row r="160" spans="1:31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</row>
    <row r="161" spans="1:3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</row>
    <row r="162" spans="1:31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</row>
    <row r="163" spans="1:31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</row>
    <row r="164" spans="1:31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</row>
    <row r="165" spans="1:31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</row>
    <row r="166" spans="1:31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</row>
    <row r="167" spans="1:31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</row>
    <row r="168" spans="1:31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</row>
    <row r="169" spans="1:31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</row>
    <row r="170" spans="1:31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</row>
    <row r="171" spans="1:3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</row>
    <row r="172" spans="1:31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</row>
    <row r="173" spans="1:31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</row>
    <row r="174" spans="1:31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</row>
    <row r="175" spans="1:31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</row>
    <row r="176" spans="1:31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</row>
    <row r="177" spans="1:31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</row>
    <row r="178" spans="1:31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</row>
    <row r="179" spans="1:31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</row>
    <row r="180" spans="1:31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</row>
    <row r="181" spans="1:3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</row>
    <row r="182" spans="1:31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</row>
    <row r="183" spans="1:31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</row>
    <row r="184" spans="1:31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</row>
    <row r="185" spans="1:31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</row>
    <row r="186" spans="1:31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</row>
    <row r="187" spans="1:31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</row>
    <row r="188" spans="1:31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</row>
    <row r="189" spans="1:31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</row>
    <row r="190" spans="1:31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</row>
    <row r="191" spans="1:3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</row>
    <row r="192" spans="1:31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</row>
    <row r="193" spans="1:31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</row>
    <row r="194" spans="1:31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</row>
    <row r="195" spans="1:31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</row>
    <row r="196" spans="1:31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</row>
    <row r="197" spans="1:31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</row>
    <row r="198" spans="1:31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</row>
    <row r="199" spans="1:31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</row>
    <row r="200" spans="1:31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</row>
    <row r="201" spans="1:3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</row>
    <row r="202" spans="1:31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</row>
    <row r="203" spans="1:31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</row>
    <row r="204" spans="1:31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</row>
    <row r="205" spans="1:31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</row>
    <row r="206" spans="1:31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</row>
    <row r="207" spans="1:31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</row>
    <row r="208" spans="1:31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</row>
    <row r="209" spans="1:31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</row>
    <row r="210" spans="1:31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</row>
    <row r="211" spans="1:3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</row>
    <row r="212" spans="1:31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</row>
    <row r="213" spans="1:31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</row>
    <row r="214" spans="1:31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</row>
    <row r="215" spans="1:31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</row>
    <row r="216" spans="1:31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</row>
    <row r="217" spans="1:31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</row>
    <row r="218" spans="1:31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</row>
    <row r="219" spans="1:31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</row>
    <row r="220" spans="1:31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</row>
    <row r="221" spans="1:3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</row>
    <row r="222" spans="1:31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</row>
    <row r="223" spans="1:31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</row>
    <row r="224" spans="1:31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</row>
    <row r="225" spans="1:31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</row>
    <row r="226" spans="1:31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</row>
    <row r="227" spans="1:31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</row>
    <row r="228" spans="1:31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</row>
    <row r="229" spans="1:31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</row>
    <row r="230" spans="1:31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</row>
    <row r="231" spans="1: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</row>
    <row r="232" spans="1:31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</row>
    <row r="233" spans="1:31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</row>
    <row r="234" spans="1:31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</row>
    <row r="235" spans="1:31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</row>
    <row r="236" spans="1:31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</row>
    <row r="237" spans="1:31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</row>
    <row r="238" spans="1:31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</row>
    <row r="239" spans="1:31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</row>
    <row r="240" spans="1:31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</row>
    <row r="241" spans="1:3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</row>
    <row r="242" spans="1:31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</row>
    <row r="243" spans="1:31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</row>
    <row r="244" spans="1:31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</row>
    <row r="245" spans="1:31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</row>
    <row r="246" spans="1:31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</row>
    <row r="247" spans="1:31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</row>
    <row r="248" spans="1:31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</row>
    <row r="249" spans="1:31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</row>
    <row r="250" spans="1:31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</row>
    <row r="251" spans="1:3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</row>
    <row r="252" spans="1:31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</row>
    <row r="253" spans="1:31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</row>
    <row r="254" spans="1:31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</row>
    <row r="255" spans="1:31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</row>
    <row r="256" spans="1:31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</row>
    <row r="257" spans="1:31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</row>
    <row r="258" spans="1:31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</row>
    <row r="259" spans="1:31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</row>
    <row r="260" spans="1:31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</row>
    <row r="261" spans="1:3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</row>
    <row r="262" spans="1:31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</row>
    <row r="263" spans="1:31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</row>
    <row r="264" spans="1:31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</row>
    <row r="265" spans="1:31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</row>
    <row r="266" spans="1:31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</row>
    <row r="267" spans="1:31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</row>
    <row r="268" spans="1:31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</row>
    <row r="269" spans="1:31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</row>
    <row r="270" spans="1:31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</row>
    <row r="271" spans="1:3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</row>
    <row r="272" spans="1:31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</row>
    <row r="273" spans="1:31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</row>
    <row r="274" spans="1:31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</row>
    <row r="275" spans="1:31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</row>
    <row r="276" spans="1:31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</row>
    <row r="277" spans="1:31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</row>
    <row r="278" spans="1:31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</row>
    <row r="279" spans="1:31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</row>
    <row r="280" spans="1:31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</row>
    <row r="281" spans="1:3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</row>
    <row r="282" spans="1:31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</row>
    <row r="283" spans="1:31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</row>
    <row r="284" spans="1:31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</row>
    <row r="285" spans="1:31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</row>
    <row r="286" spans="1:31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</row>
    <row r="287" spans="1:31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</row>
    <row r="288" spans="1:31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</row>
    <row r="289" spans="1:31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</row>
    <row r="290" spans="1:31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</row>
    <row r="291" spans="1:3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</row>
    <row r="292" spans="1:31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</row>
    <row r="293" spans="1:31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</row>
    <row r="294" spans="1:31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</row>
    <row r="295" spans="1:31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</row>
    <row r="296" spans="1:31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</row>
    <row r="297" spans="1:31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</row>
    <row r="298" spans="1:31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</row>
    <row r="299" spans="1:31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</row>
    <row r="300" spans="1:31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</row>
    <row r="301" spans="1:3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</row>
    <row r="302" spans="1:31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</row>
    <row r="303" spans="1:31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</row>
    <row r="304" spans="1:31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</row>
    <row r="305" spans="1:31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</row>
    <row r="306" spans="1:31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</row>
    <row r="307" spans="1:31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</row>
    <row r="308" spans="1:31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</row>
    <row r="309" spans="1:31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</row>
    <row r="310" spans="1:31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</row>
    <row r="311" spans="1:3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</row>
    <row r="312" spans="1:31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</row>
    <row r="313" spans="1:31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</row>
    <row r="314" spans="1:31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</row>
    <row r="315" spans="1:31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</row>
    <row r="316" spans="1:31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</row>
    <row r="317" spans="1:31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</row>
    <row r="318" spans="1:31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</row>
    <row r="319" spans="1:31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</row>
    <row r="320" spans="1:31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</row>
    <row r="321" spans="1:3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</row>
    <row r="322" spans="1:31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</row>
    <row r="323" spans="1:31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</row>
    <row r="324" spans="1:31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</row>
    <row r="325" spans="1:31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</row>
    <row r="326" spans="1:31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</row>
    <row r="327" spans="1:31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</row>
    <row r="328" spans="1:31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</row>
    <row r="329" spans="1:31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</row>
    <row r="330" spans="1:31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</row>
    <row r="331" spans="1: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</row>
    <row r="332" spans="1:31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</row>
    <row r="333" spans="1:31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</row>
    <row r="334" spans="1:31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</row>
    <row r="335" spans="1:31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</row>
    <row r="336" spans="1:31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</row>
    <row r="337" spans="1:31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</row>
    <row r="338" spans="1:31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</row>
    <row r="339" spans="1:31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</row>
    <row r="340" spans="1:31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</row>
    <row r="341" spans="1:3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</row>
    <row r="342" spans="1:31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</row>
    <row r="343" spans="1:31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</row>
    <row r="344" spans="1:31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</row>
    <row r="345" spans="1:31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</row>
    <row r="346" spans="1:31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</row>
    <row r="347" spans="1:31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</row>
    <row r="348" spans="1:31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</row>
    <row r="349" spans="1:31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</row>
    <row r="350" spans="1:31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</row>
    <row r="351" spans="1:3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</row>
    <row r="352" spans="1:31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</row>
    <row r="353" spans="1:31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</row>
    <row r="354" spans="1:31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</row>
    <row r="355" spans="1:31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</row>
    <row r="356" spans="1:31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</row>
    <row r="357" spans="1:31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</row>
    <row r="358" spans="1:31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</row>
    <row r="359" spans="1:31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</row>
    <row r="360" spans="1:31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</row>
    <row r="361" spans="1:3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</row>
    <row r="362" spans="1:31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</row>
    <row r="363" spans="1:31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</row>
    <row r="364" spans="1:31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</row>
    <row r="365" spans="1:31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</row>
    <row r="366" spans="1:31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</row>
    <row r="367" spans="1:31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</row>
    <row r="368" spans="1:31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</row>
    <row r="369" spans="1:31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</row>
    <row r="370" spans="1:31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</row>
    <row r="371" spans="1:3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</row>
    <row r="372" spans="1:31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</row>
    <row r="373" spans="1:31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</row>
    <row r="374" spans="1:31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</row>
    <row r="375" spans="1:31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</row>
    <row r="376" spans="1:31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</row>
    <row r="377" spans="1:31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</row>
    <row r="378" spans="1:31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</row>
    <row r="379" spans="1:31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</row>
    <row r="380" spans="1:31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</row>
    <row r="381" spans="1:3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</row>
    <row r="382" spans="1:31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</row>
    <row r="383" spans="1:31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</row>
    <row r="384" spans="1:31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</row>
    <row r="385" spans="1:31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</row>
    <row r="386" spans="1:31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</row>
    <row r="387" spans="1:31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</row>
    <row r="388" spans="1:31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</row>
    <row r="389" spans="1:31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</row>
    <row r="390" spans="1:31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</row>
    <row r="391" spans="1:3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</row>
    <row r="392" spans="1:31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</row>
    <row r="393" spans="1:31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</row>
    <row r="394" spans="1:31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</row>
    <row r="395" spans="1:31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</row>
    <row r="396" spans="1:31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</row>
    <row r="397" spans="1:31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</row>
    <row r="398" spans="1:31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</row>
    <row r="399" spans="1:31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</row>
    <row r="400" spans="1:31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</row>
    <row r="401" spans="1:3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</row>
    <row r="402" spans="1:31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</row>
    <row r="403" spans="1:31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</row>
    <row r="404" spans="1:31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</row>
    <row r="405" spans="1:31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</row>
    <row r="406" spans="1:31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</row>
    <row r="407" spans="1:31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</row>
    <row r="408" spans="1:31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</row>
    <row r="409" spans="1:31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</row>
    <row r="410" spans="1:31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</row>
    <row r="411" spans="1:3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</row>
    <row r="412" spans="1:31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</row>
    <row r="413" spans="1:31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</row>
    <row r="414" spans="1:31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</row>
    <row r="415" spans="1:31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</row>
    <row r="416" spans="1:31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</row>
    <row r="417" spans="1:31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</row>
    <row r="418" spans="1:31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</row>
    <row r="419" spans="1:31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</row>
    <row r="420" spans="1:31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</row>
    <row r="421" spans="1:3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</row>
    <row r="422" spans="1:31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</row>
    <row r="423" spans="1:31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</row>
    <row r="424" spans="1:31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</row>
    <row r="425" spans="1:31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</row>
    <row r="426" spans="1:31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</row>
    <row r="427" spans="1:31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</row>
    <row r="428" spans="1:31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</row>
    <row r="429" spans="1:31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</row>
    <row r="430" spans="1:31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</row>
    <row r="431" spans="1: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</row>
    <row r="432" spans="1:31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</row>
    <row r="433" spans="1:31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</row>
    <row r="434" spans="1:31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</row>
    <row r="435" spans="1:31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</row>
    <row r="436" spans="1:31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</row>
    <row r="437" spans="1:31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</row>
    <row r="438" spans="1:31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</row>
    <row r="439" spans="1:31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</row>
    <row r="440" spans="1:31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</row>
    <row r="441" spans="1:3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</row>
    <row r="442" spans="1:31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</row>
    <row r="443" spans="1:31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</row>
    <row r="444" spans="1:31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</row>
    <row r="445" spans="1:31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</row>
    <row r="446" spans="1:31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</row>
    <row r="447" spans="1:31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</row>
    <row r="448" spans="1:31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</row>
    <row r="449" spans="1:31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</row>
    <row r="450" spans="1:31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</row>
    <row r="451" spans="1:3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</row>
    <row r="452" spans="1:31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</row>
    <row r="453" spans="1:31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</row>
    <row r="454" spans="1:31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</row>
    <row r="455" spans="1:31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</row>
    <row r="456" spans="1:31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</row>
    <row r="457" spans="1:31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</row>
    <row r="458" spans="1:31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</row>
    <row r="459" spans="1:31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</row>
    <row r="460" spans="1:31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</row>
    <row r="461" spans="1:3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</row>
    <row r="462" spans="1:31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</row>
    <row r="463" spans="1:31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</row>
    <row r="464" spans="1:31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</row>
    <row r="465" spans="1:31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</row>
    <row r="466" spans="1:31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</row>
    <row r="467" spans="1:31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</row>
    <row r="468" spans="1:31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</row>
    <row r="469" spans="1:31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</row>
    <row r="470" spans="1:31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</row>
    <row r="471" spans="1:3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</row>
    <row r="472" spans="1:31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</row>
    <row r="473" spans="1:31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</row>
    <row r="474" spans="1:31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</row>
    <row r="475" spans="1:31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</row>
    <row r="476" spans="1:31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</row>
    <row r="477" spans="1:31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</row>
    <row r="478" spans="1:31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</row>
    <row r="479" spans="1:31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</row>
    <row r="480" spans="1:31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</row>
    <row r="481" spans="1:3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</row>
    <row r="482" spans="1:31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</row>
    <row r="483" spans="1:31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</row>
    <row r="484" spans="1:31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</row>
    <row r="485" spans="1:31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</row>
    <row r="486" spans="1:31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</row>
    <row r="487" spans="1:31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</row>
    <row r="488" spans="1:31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</row>
    <row r="489" spans="1:31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</row>
    <row r="490" spans="1:31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</row>
    <row r="491" spans="1:3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</row>
    <row r="492" spans="1:31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</row>
    <row r="493" spans="1:31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</row>
    <row r="494" spans="1:31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</row>
    <row r="495" spans="1:31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</row>
    <row r="496" spans="1:31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</row>
    <row r="497" spans="1:31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</row>
    <row r="498" spans="1:31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</row>
    <row r="499" spans="1:31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</row>
    <row r="500" spans="1:31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</row>
    <row r="501" spans="1:3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</row>
    <row r="502" spans="1:31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</row>
    <row r="503" spans="1:31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</row>
    <row r="504" spans="1:31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</row>
    <row r="505" spans="1:31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</row>
    <row r="506" spans="1:31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</row>
    <row r="507" spans="1:31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</row>
    <row r="508" spans="1:31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</row>
    <row r="509" spans="1:31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</row>
    <row r="510" spans="1:31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</row>
    <row r="511" spans="1:3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</row>
    <row r="512" spans="1:31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</row>
    <row r="513" spans="1:31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</row>
    <row r="514" spans="1:31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</row>
    <row r="515" spans="1:31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</row>
    <row r="516" spans="1:31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</row>
    <row r="517" spans="1:31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</row>
    <row r="518" spans="1:31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</row>
    <row r="519" spans="1:31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</row>
    <row r="520" spans="1:31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</row>
    <row r="521" spans="1:3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</row>
    <row r="522" spans="1:31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</row>
    <row r="523" spans="1:31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</row>
    <row r="524" spans="1:31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</row>
    <row r="525" spans="1:31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</row>
    <row r="526" spans="1:31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</row>
    <row r="527" spans="1:31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</row>
    <row r="528" spans="1:31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</row>
    <row r="529" spans="1:31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</row>
    <row r="530" spans="1:31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</row>
    <row r="531" spans="1: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</row>
    <row r="532" spans="1:31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</row>
    <row r="533" spans="1:31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</row>
    <row r="534" spans="1:31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</row>
    <row r="535" spans="1:31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</row>
    <row r="536" spans="1:31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</row>
    <row r="537" spans="1:31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</row>
    <row r="538" spans="1:31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</row>
    <row r="539" spans="1:31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</row>
    <row r="540" spans="1:31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</row>
    <row r="541" spans="1:3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</row>
    <row r="542" spans="1:31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</row>
    <row r="543" spans="1:31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</row>
    <row r="544" spans="1:31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</row>
    <row r="545" spans="1:31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</row>
    <row r="546" spans="1:31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</row>
    <row r="547" spans="1:31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</row>
    <row r="548" spans="1:31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</row>
    <row r="549" spans="1:31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</row>
    <row r="550" spans="1:31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</row>
    <row r="551" spans="1:3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</row>
    <row r="552" spans="1:31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</row>
    <row r="553" spans="1:31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</row>
    <row r="554" spans="1:31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</row>
    <row r="555" spans="1:31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</row>
    <row r="556" spans="1:31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</row>
    <row r="557" spans="1:31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</row>
    <row r="558" spans="1:31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</row>
    <row r="559" spans="1:31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</row>
    <row r="560" spans="1:31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</row>
    <row r="561" spans="1:3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</row>
    <row r="562" spans="1:31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</row>
    <row r="563" spans="1:31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</row>
    <row r="564" spans="1:31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</row>
    <row r="565" spans="1:31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</row>
    <row r="566" spans="1:31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</row>
    <row r="567" spans="1:31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</row>
    <row r="568" spans="1:31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</row>
    <row r="569" spans="1:31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</row>
    <row r="570" spans="1:31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</row>
    <row r="571" spans="1:3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</row>
    <row r="572" spans="1:31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</row>
    <row r="573" spans="1:31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</row>
    <row r="574" spans="1:31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</row>
    <row r="575" spans="1:31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</row>
    <row r="576" spans="1:31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</row>
    <row r="577" spans="1:31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</row>
    <row r="578" spans="1:31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</row>
    <row r="579" spans="1:31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</row>
    <row r="580" spans="1:31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</row>
    <row r="581" spans="1:3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</row>
    <row r="582" spans="1:31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</row>
    <row r="583" spans="1:31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</row>
    <row r="584" spans="1:31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</row>
    <row r="585" spans="1:31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</row>
    <row r="586" spans="1:31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</row>
    <row r="587" spans="1:31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</row>
    <row r="588" spans="1:31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</row>
    <row r="589" spans="1:31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</row>
    <row r="590" spans="1:31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</row>
    <row r="591" spans="1:3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</row>
    <row r="592" spans="1:31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</row>
    <row r="593" spans="1:31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</row>
    <row r="594" spans="1:31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</row>
    <row r="595" spans="1:31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</row>
    <row r="596" spans="1:31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</row>
    <row r="597" spans="1:31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</row>
    <row r="598" spans="1:31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</row>
    <row r="599" spans="1:31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</row>
    <row r="600" spans="1:31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</row>
    <row r="601" spans="1:3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</row>
    <row r="602" spans="1:31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</row>
    <row r="603" spans="1:31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</row>
    <row r="604" spans="1:31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</row>
    <row r="605" spans="1:31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</row>
    <row r="606" spans="1:31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</row>
    <row r="607" spans="1:31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</row>
    <row r="608" spans="1:31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</row>
    <row r="609" spans="1:31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</row>
    <row r="610" spans="1:31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</row>
    <row r="611" spans="1:3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</row>
    <row r="612" spans="1:31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</row>
    <row r="613" spans="1:31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</row>
    <row r="614" spans="1:31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</row>
    <row r="615" spans="1:31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</row>
    <row r="616" spans="1:31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</row>
    <row r="617" spans="1:31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</row>
    <row r="618" spans="1:31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</row>
    <row r="619" spans="1:31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</row>
    <row r="620" spans="1:31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</row>
    <row r="621" spans="1:3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</row>
    <row r="622" spans="1:31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</row>
    <row r="623" spans="1:31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</row>
    <row r="624" spans="1:31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</row>
    <row r="625" spans="1:31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</row>
    <row r="626" spans="1:31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</row>
    <row r="627" spans="1:31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</row>
    <row r="628" spans="1:31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</row>
    <row r="629" spans="1:31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</row>
    <row r="630" spans="1:31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</row>
    <row r="631" spans="1: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</row>
    <row r="632" spans="1:31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</row>
    <row r="633" spans="1:31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</row>
    <row r="634" spans="1:31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</row>
    <row r="635" spans="1:31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</row>
    <row r="636" spans="1:31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</row>
    <row r="637" spans="1:31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</row>
    <row r="638" spans="1:31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</row>
    <row r="639" spans="1:31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</row>
    <row r="640" spans="1:31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</row>
    <row r="641" spans="1:3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</row>
    <row r="642" spans="1:31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</row>
    <row r="643" spans="1:31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</row>
    <row r="644" spans="1:31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</row>
    <row r="645" spans="1:31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</row>
    <row r="646" spans="1:31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</row>
    <row r="647" spans="1:31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</row>
    <row r="648" spans="1:31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</row>
    <row r="649" spans="1:31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</row>
    <row r="650" spans="1:31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</row>
    <row r="651" spans="1:3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</row>
    <row r="652" spans="1:31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</row>
    <row r="653" spans="1:31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</row>
    <row r="654" spans="1:31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</row>
    <row r="655" spans="1:31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</row>
    <row r="656" spans="1:31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</row>
    <row r="657" spans="1:31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</row>
    <row r="658" spans="1:31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</row>
    <row r="659" spans="1:31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</row>
    <row r="660" spans="1:31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</row>
    <row r="661" spans="1:3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</row>
    <row r="662" spans="1:31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</row>
    <row r="663" spans="1:31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</row>
    <row r="664" spans="1:31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</row>
    <row r="665" spans="1:31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</row>
    <row r="666" spans="1:31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</row>
    <row r="667" spans="1:31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</row>
    <row r="668" spans="1:31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</row>
    <row r="669" spans="1:31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</row>
    <row r="670" spans="1:31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</row>
    <row r="671" spans="1:3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</row>
    <row r="672" spans="1:31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</row>
    <row r="673" spans="1:31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</row>
    <row r="674" spans="1:31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</row>
    <row r="675" spans="1:31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</row>
    <row r="676" spans="1:31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</row>
    <row r="677" spans="1:31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</row>
    <row r="678" spans="1:31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</row>
    <row r="679" spans="1:31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</row>
    <row r="680" spans="1:31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</row>
    <row r="681" spans="1:3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</row>
    <row r="682" spans="1:31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</row>
    <row r="683" spans="1:31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</row>
    <row r="684" spans="1:31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</row>
    <row r="685" spans="1:31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</row>
    <row r="686" spans="1:31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</row>
    <row r="687" spans="1:31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</row>
    <row r="688" spans="1:31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</row>
    <row r="689" spans="1:31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</row>
    <row r="690" spans="1:31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</row>
    <row r="691" spans="1:3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</row>
    <row r="692" spans="1:31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</row>
    <row r="693" spans="1:31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</row>
    <row r="694" spans="1:31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</row>
    <row r="695" spans="1:31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</row>
    <row r="696" spans="1:31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</row>
    <row r="697" spans="1:31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</row>
    <row r="698" spans="1:31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</row>
    <row r="699" spans="1:31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</row>
    <row r="700" spans="1:31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</row>
    <row r="701" spans="1:3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</row>
    <row r="702" spans="1:31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</row>
    <row r="703" spans="1:31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</row>
    <row r="704" spans="1:31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</row>
    <row r="705" spans="1:31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</row>
    <row r="706" spans="1:31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</row>
    <row r="707" spans="1:31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</row>
    <row r="708" spans="1:31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</row>
    <row r="709" spans="1:31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</row>
    <row r="710" spans="1:31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</row>
    <row r="711" spans="1:3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</row>
    <row r="712" spans="1:31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</row>
    <row r="713" spans="1:31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</row>
    <row r="714" spans="1:31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</row>
    <row r="715" spans="1:31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</row>
    <row r="716" spans="1:31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</row>
    <row r="717" spans="1:31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</row>
    <row r="718" spans="1:31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</row>
    <row r="719" spans="1:31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</row>
    <row r="720" spans="1:31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</row>
    <row r="721" spans="1:3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</row>
    <row r="722" spans="1:31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</row>
    <row r="723" spans="1:31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</row>
    <row r="724" spans="1:31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</row>
    <row r="725" spans="1:31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</row>
    <row r="726" spans="1:31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</row>
    <row r="727" spans="1:31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</row>
    <row r="728" spans="1:31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</row>
    <row r="729" spans="1:31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</row>
    <row r="730" spans="1:31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</row>
    <row r="731" spans="1: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</row>
    <row r="732" spans="1:31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</row>
    <row r="733" spans="1:31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</row>
    <row r="734" spans="1:31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</row>
    <row r="735" spans="1:31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</row>
    <row r="736" spans="1:31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</row>
    <row r="737" spans="1:31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</row>
    <row r="738" spans="1:31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</row>
    <row r="739" spans="1:31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</row>
    <row r="740" spans="1:31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</row>
    <row r="741" spans="1:3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</row>
    <row r="742" spans="1:31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</row>
    <row r="743" spans="1:31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</row>
    <row r="744" spans="1:31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</row>
    <row r="745" spans="1:31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</row>
    <row r="746" spans="1:31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</row>
    <row r="747" spans="1:31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</row>
    <row r="748" spans="1:31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</row>
    <row r="749" spans="1:31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</row>
    <row r="750" spans="1:31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</row>
    <row r="751" spans="1:3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</row>
    <row r="752" spans="1:31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</row>
    <row r="753" spans="1:31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</row>
    <row r="754" spans="1:31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</row>
    <row r="755" spans="1:31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</row>
    <row r="756" spans="1:31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</row>
    <row r="757" spans="1:31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</row>
    <row r="758" spans="1:31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</row>
    <row r="759" spans="1:31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</row>
    <row r="760" spans="1:31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</row>
    <row r="761" spans="1:3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</row>
    <row r="762" spans="1:31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</row>
    <row r="763" spans="1:31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</row>
    <row r="764" spans="1:31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</row>
    <row r="765" spans="1:31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</row>
    <row r="766" spans="1:31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</row>
    <row r="767" spans="1:31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</row>
    <row r="768" spans="1:31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</row>
    <row r="769" spans="1:31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</row>
    <row r="770" spans="1:31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</row>
    <row r="771" spans="1:3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</row>
    <row r="772" spans="1:31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</row>
    <row r="773" spans="1:31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</row>
    <row r="774" spans="1:31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</row>
    <row r="775" spans="1:31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</row>
    <row r="776" spans="1:31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</row>
    <row r="777" spans="1:31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</row>
    <row r="778" spans="1:31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</row>
    <row r="779" spans="1:31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</row>
    <row r="780" spans="1:31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</row>
    <row r="781" spans="1:3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</row>
    <row r="782" spans="1:31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</row>
    <row r="783" spans="1:31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</row>
    <row r="784" spans="1:31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</row>
    <row r="785" spans="1:31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</row>
    <row r="786" spans="1:31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</row>
    <row r="787" spans="1:31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</row>
    <row r="788" spans="1:31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</row>
    <row r="789" spans="1:31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</row>
    <row r="790" spans="1:31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</row>
    <row r="791" spans="1:3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</row>
    <row r="792" spans="1:31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</row>
    <row r="793" spans="1:31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</row>
    <row r="794" spans="1:31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</row>
    <row r="795" spans="1:31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</row>
    <row r="796" spans="1:31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</row>
    <row r="797" spans="1:31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</row>
    <row r="798" spans="1:31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</row>
    <row r="799" spans="1:31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</row>
    <row r="800" spans="1:31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</row>
    <row r="801" spans="1:3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</row>
    <row r="802" spans="1:31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</row>
    <row r="803" spans="1:31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</row>
    <row r="804" spans="1:31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</row>
    <row r="805" spans="1:31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</row>
    <row r="806" spans="1:31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</row>
    <row r="807" spans="1:31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</row>
    <row r="808" spans="1:31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</row>
    <row r="809" spans="1:31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</row>
    <row r="810" spans="1:31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</row>
    <row r="811" spans="1:3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</row>
    <row r="812" spans="1:31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</row>
    <row r="813" spans="1:31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</row>
    <row r="814" spans="1:31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</row>
    <row r="815" spans="1:31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</row>
    <row r="816" spans="1:31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</row>
    <row r="817" spans="1:31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</row>
    <row r="818" spans="1:31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</row>
    <row r="819" spans="1:31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</row>
    <row r="820" spans="1:31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</row>
    <row r="821" spans="1:3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</row>
    <row r="822" spans="1:31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</row>
    <row r="823" spans="1:31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</row>
    <row r="824" spans="1:31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</row>
    <row r="825" spans="1:31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</row>
    <row r="826" spans="1:31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</row>
    <row r="827" spans="1:31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</row>
    <row r="828" spans="1:31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</row>
    <row r="829" spans="1:31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</row>
    <row r="830" spans="1:31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</row>
    <row r="831" spans="1: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</row>
    <row r="832" spans="1:31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</row>
    <row r="833" spans="1:31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</row>
    <row r="834" spans="1:31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</row>
    <row r="835" spans="1:31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</row>
    <row r="836" spans="1:31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</row>
    <row r="837" spans="1:31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</row>
    <row r="838" spans="1:31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</row>
    <row r="839" spans="1:31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</row>
    <row r="840" spans="1:31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</row>
    <row r="841" spans="1:3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</row>
    <row r="842" spans="1:31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</row>
    <row r="843" spans="1:31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</row>
    <row r="844" spans="1:31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</row>
    <row r="845" spans="1:31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</row>
    <row r="846" spans="1:31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</row>
    <row r="847" spans="1:31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</row>
    <row r="848" spans="1:31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</row>
    <row r="849" spans="1:31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</row>
    <row r="850" spans="1:31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</row>
    <row r="851" spans="1:3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</row>
    <row r="852" spans="1:31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</row>
    <row r="853" spans="1:31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</row>
    <row r="854" spans="1:31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</row>
    <row r="855" spans="1:31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</row>
    <row r="856" spans="1:31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</row>
    <row r="857" spans="1:31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</row>
    <row r="858" spans="1:31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</row>
    <row r="859" spans="1:31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</row>
    <row r="860" spans="1:31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</row>
    <row r="861" spans="1:3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</row>
    <row r="862" spans="1:31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</row>
    <row r="863" spans="1:31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</row>
    <row r="864" spans="1:31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</row>
    <row r="865" spans="1:31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</row>
    <row r="866" spans="1:31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</row>
    <row r="867" spans="1:31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</row>
    <row r="868" spans="1:31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</row>
    <row r="869" spans="1:31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</row>
    <row r="870" spans="1:31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</row>
    <row r="871" spans="1:3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</row>
    <row r="872" spans="1:31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</row>
    <row r="873" spans="1:31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</row>
    <row r="874" spans="1:31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</row>
    <row r="875" spans="1:31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</row>
    <row r="876" spans="1:31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</row>
    <row r="877" spans="1:31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</row>
    <row r="878" spans="1:31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</row>
    <row r="879" spans="1:31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</row>
    <row r="880" spans="1:31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</row>
    <row r="881" spans="1:3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</row>
    <row r="882" spans="1:31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</row>
    <row r="883" spans="1:31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</row>
    <row r="884" spans="1:31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</row>
    <row r="885" spans="1:31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</row>
    <row r="886" spans="1:31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</row>
    <row r="887" spans="1:31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</row>
    <row r="888" spans="1:31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</row>
    <row r="889" spans="1:31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</row>
    <row r="890" spans="1:31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</row>
    <row r="891" spans="1:3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</row>
    <row r="892" spans="1:31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</row>
    <row r="893" spans="1:31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</row>
    <row r="894" spans="1:31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</row>
    <row r="895" spans="1:31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</row>
    <row r="896" spans="1:31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</row>
    <row r="897" spans="1:31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</row>
    <row r="898" spans="1:31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</row>
    <row r="899" spans="1:31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</row>
    <row r="900" spans="1:31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</row>
    <row r="901" spans="1:3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</row>
    <row r="902" spans="1:31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</row>
    <row r="903" spans="1:31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</row>
    <row r="904" spans="1:31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</row>
    <row r="905" spans="1:31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</row>
    <row r="906" spans="1:31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</row>
    <row r="907" spans="1:31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</row>
    <row r="908" spans="1:31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</row>
    <row r="909" spans="1:31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</row>
    <row r="910" spans="1:31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</row>
    <row r="911" spans="1:3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</row>
    <row r="912" spans="1:31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</row>
    <row r="913" spans="1:31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</row>
    <row r="914" spans="1:31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</row>
    <row r="915" spans="1:31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</row>
    <row r="916" spans="1:31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</row>
    <row r="917" spans="1:31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</row>
    <row r="918" spans="1:31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</row>
    <row r="919" spans="1:31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</row>
    <row r="920" spans="1:31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</row>
    <row r="921" spans="1:3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</row>
    <row r="922" spans="1:31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</row>
    <row r="923" spans="1:31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</row>
    <row r="924" spans="1:31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</row>
    <row r="925" spans="1:31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</row>
    <row r="926" spans="1:31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</row>
    <row r="927" spans="1:31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</row>
    <row r="928" spans="1:31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</row>
    <row r="929" spans="1:31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</row>
    <row r="930" spans="1:31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</row>
    <row r="931" spans="1: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</row>
    <row r="932" spans="1:31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</row>
    <row r="933" spans="1:31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</row>
    <row r="934" spans="1:31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</row>
    <row r="935" spans="1:31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</row>
    <row r="936" spans="1:31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</row>
    <row r="937" spans="1:31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</row>
    <row r="938" spans="1:31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</row>
    <row r="939" spans="1:31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</row>
    <row r="940" spans="1:31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</row>
    <row r="941" spans="1:3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</row>
    <row r="942" spans="1:31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</row>
    <row r="943" spans="1:31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</row>
    <row r="944" spans="1:31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</row>
    <row r="945" spans="1:31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</row>
    <row r="946" spans="1:31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</row>
    <row r="947" spans="1:31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</row>
    <row r="948" spans="1:31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</row>
    <row r="949" spans="1:31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</row>
    <row r="950" spans="1:31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</row>
    <row r="951" spans="1:3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</row>
    <row r="952" spans="1:31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</row>
    <row r="953" spans="1:31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</row>
    <row r="954" spans="1:31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</row>
    <row r="955" spans="1:31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</row>
    <row r="956" spans="1:31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</row>
    <row r="957" spans="1:31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</row>
    <row r="958" spans="1:31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</row>
    <row r="959" spans="1:31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</row>
    <row r="960" spans="1:31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</row>
    <row r="961" spans="1:3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</row>
    <row r="962" spans="1:31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</row>
    <row r="963" spans="1:31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</row>
    <row r="964" spans="1:31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</row>
    <row r="965" spans="1:31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</row>
    <row r="966" spans="1:31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</row>
    <row r="967" spans="1:31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</row>
    <row r="968" spans="1:31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</row>
    <row r="969" spans="1:31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</row>
    <row r="970" spans="1:31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</row>
    <row r="971" spans="1:3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</row>
    <row r="972" spans="1:31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</row>
    <row r="973" spans="1:31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</row>
    <row r="974" spans="1:31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</row>
    <row r="975" spans="1:31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</row>
    <row r="976" spans="1:31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</row>
    <row r="977" spans="1:31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</row>
    <row r="978" spans="1:31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</row>
    <row r="979" spans="1:31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</row>
    <row r="980" spans="1:31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</row>
    <row r="981" spans="1:3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</row>
    <row r="982" spans="1:31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</row>
    <row r="983" spans="1:31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</row>
    <row r="984" spans="1:31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</row>
    <row r="985" spans="1:31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</row>
    <row r="986" spans="1:31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</row>
    <row r="987" spans="1:31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</row>
    <row r="988" spans="1:31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</row>
    <row r="989" spans="1:31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</row>
    <row r="990" spans="1:31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</row>
    <row r="991" spans="1:3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</row>
    <row r="992" spans="1:31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</row>
    <row r="993" spans="1:31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</row>
    <row r="994" spans="1:31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</row>
    <row r="995" spans="1:31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</row>
    <row r="996" spans="1:31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</row>
    <row r="997" spans="1:31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</row>
    <row r="998" spans="1:31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</row>
    <row r="999" spans="1:31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</row>
    <row r="1000" spans="1:31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</row>
    <row r="1001" spans="1:31" ht="15.75" customHeight="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</row>
    <row r="1002" spans="1:31" ht="15.75" customHeight="1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</row>
    <row r="1003" spans="1:31" ht="15.75" customHeight="1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</row>
    <row r="1004" spans="1:31" ht="15.75" customHeight="1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</row>
    <row r="1005" spans="1:31" ht="15.75" customHeight="1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</row>
  </sheetData>
  <mergeCells count="1">
    <mergeCell ref="A1:A2"/>
  </mergeCells>
  <hyperlinks>
    <hyperlink ref="R4" r:id="rId1" xr:uid="{00000000-0004-0000-0600-000000000000}"/>
    <hyperlink ref="R7" r:id="rId2" location="InplviewHashef347ce3-9fcc-4b72-be6a-207e60680777=ShowInGrid%3DTrue" xr:uid="{00000000-0004-0000-0600-000002000000}"/>
    <hyperlink ref="R9" r:id="rId3" xr:uid="{00000000-0004-0000-0600-000003000000}"/>
    <hyperlink ref="R10" r:id="rId4" xr:uid="{00000000-0004-0000-0600-000004000000}"/>
    <hyperlink ref="R5" r:id="rId5" xr:uid="{4CBFC6C4-86CC-4E11-A857-13C5732F7004}"/>
    <hyperlink ref="R8" r:id="rId6" location="InplviewHashef347ce3-9fcc-4b72-be6a-207e60680777=ShowInGrid%3DTrue" xr:uid="{CB700CD6-61CE-4395-A87D-E3A3BCA9DCC5}"/>
    <hyperlink ref="R11" r:id="rId7" xr:uid="{D9D36F06-CD9C-46DA-A826-808BF3E0E59C}"/>
    <hyperlink ref="R14" r:id="rId8" location="tracking" xr:uid="{3E18F3F6-75BD-415A-B7FB-EB4C5B2F5BDA}"/>
  </hyperlinks>
  <pageMargins left="0.7" right="0.7" top="0.75" bottom="0.75" header="0" footer="0"/>
  <pageSetup orientation="landscape"/>
  <drawing r:id="rId9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306C"/>
  </sheetPr>
  <dimension ref="A1:S1001"/>
  <sheetViews>
    <sheetView zoomScale="85" zoomScaleNormal="85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R36" sqref="R36"/>
    </sheetView>
  </sheetViews>
  <sheetFormatPr defaultColWidth="14.42578125" defaultRowHeight="15" customHeight="1"/>
  <cols>
    <col min="1" max="1" width="62.85546875" customWidth="1"/>
    <col min="2" max="16" width="11.7109375" customWidth="1"/>
    <col min="17" max="17" width="27.42578125" customWidth="1"/>
    <col min="18" max="18" width="73.5703125" customWidth="1"/>
    <col min="19" max="19" width="24.7109375" customWidth="1"/>
    <col min="20" max="31" width="8.85546875" customWidth="1"/>
  </cols>
  <sheetData>
    <row r="1" spans="1:19">
      <c r="A1" s="639" t="s">
        <v>137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>
      <c r="A2" s="640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51"/>
      <c r="O2" s="25"/>
      <c r="P2" s="25"/>
      <c r="Q2" s="25"/>
      <c r="R2" s="25"/>
      <c r="S2" s="25"/>
    </row>
    <row r="3" spans="1:19">
      <c r="A3" s="27" t="s">
        <v>19</v>
      </c>
      <c r="B3" s="324">
        <v>2010</v>
      </c>
      <c r="C3" s="324">
        <v>2011</v>
      </c>
      <c r="D3" s="324">
        <v>2012</v>
      </c>
      <c r="E3" s="324">
        <v>2013</v>
      </c>
      <c r="F3" s="324">
        <v>2014</v>
      </c>
      <c r="G3" s="324">
        <v>2015</v>
      </c>
      <c r="H3" s="324">
        <v>2016</v>
      </c>
      <c r="I3" s="324">
        <v>2017</v>
      </c>
      <c r="J3" s="324">
        <v>2018</v>
      </c>
      <c r="K3" s="324">
        <v>2019</v>
      </c>
      <c r="L3" s="324">
        <v>2020</v>
      </c>
      <c r="M3" s="324">
        <v>2021</v>
      </c>
      <c r="N3" s="324">
        <v>2022</v>
      </c>
      <c r="O3" s="324">
        <v>2023</v>
      </c>
      <c r="P3" s="324">
        <v>2024</v>
      </c>
      <c r="Q3" s="28" t="s">
        <v>20</v>
      </c>
      <c r="R3" s="28" t="s">
        <v>21</v>
      </c>
      <c r="S3" s="28" t="s">
        <v>22</v>
      </c>
    </row>
    <row r="4" spans="1:19">
      <c r="A4" s="33" t="s">
        <v>138</v>
      </c>
      <c r="B4" s="300"/>
      <c r="C4" s="300"/>
      <c r="D4" s="300"/>
      <c r="E4" s="300"/>
      <c r="F4" s="300"/>
      <c r="G4" s="396">
        <v>9.4224999999999994</v>
      </c>
      <c r="H4" s="396">
        <v>11.158927</v>
      </c>
      <c r="I4" s="294">
        <v>13.019864999999999</v>
      </c>
      <c r="J4" s="294">
        <v>12.355041999999999</v>
      </c>
      <c r="K4" s="294">
        <v>13.0586</v>
      </c>
      <c r="L4" s="294">
        <v>13.994249999999999</v>
      </c>
      <c r="M4" s="294">
        <v>13.3658</v>
      </c>
      <c r="N4" s="294">
        <v>12.844099999999999</v>
      </c>
      <c r="O4" s="294">
        <v>13.9023</v>
      </c>
      <c r="P4" s="405">
        <v>15.2906</v>
      </c>
      <c r="Q4" s="161" t="s">
        <v>139</v>
      </c>
      <c r="R4" s="161" t="s">
        <v>140</v>
      </c>
      <c r="S4" s="32" t="s">
        <v>492</v>
      </c>
    </row>
    <row r="5" spans="1:19">
      <c r="A5" s="33" t="s">
        <v>141</v>
      </c>
      <c r="B5" s="300"/>
      <c r="C5" s="300"/>
      <c r="D5" s="300"/>
      <c r="E5" s="293">
        <v>123</v>
      </c>
      <c r="F5" s="293">
        <v>122</v>
      </c>
      <c r="G5" s="293">
        <v>137</v>
      </c>
      <c r="H5" s="293">
        <v>147</v>
      </c>
      <c r="I5" s="293">
        <v>148</v>
      </c>
      <c r="J5" s="301">
        <v>140</v>
      </c>
      <c r="K5" s="301">
        <v>126</v>
      </c>
      <c r="L5" s="301">
        <v>124</v>
      </c>
      <c r="M5" s="301">
        <v>116</v>
      </c>
      <c r="N5" s="301">
        <v>123</v>
      </c>
      <c r="O5" s="301">
        <v>118</v>
      </c>
      <c r="P5" s="305">
        <v>129</v>
      </c>
      <c r="Q5" s="161" t="s">
        <v>139</v>
      </c>
      <c r="R5" s="161" t="s">
        <v>140</v>
      </c>
      <c r="S5" s="32" t="s">
        <v>492</v>
      </c>
    </row>
    <row r="6" spans="1:19">
      <c r="A6" s="33" t="s">
        <v>142</v>
      </c>
      <c r="B6" s="300"/>
      <c r="C6" s="300"/>
      <c r="D6" s="300"/>
      <c r="E6" s="293">
        <v>11</v>
      </c>
      <c r="F6" s="293">
        <v>15</v>
      </c>
      <c r="G6" s="293">
        <v>22</v>
      </c>
      <c r="H6" s="293">
        <v>18</v>
      </c>
      <c r="I6" s="293">
        <v>7</v>
      </c>
      <c r="J6" s="301">
        <v>0</v>
      </c>
      <c r="K6" s="301">
        <v>3</v>
      </c>
      <c r="L6" s="301">
        <v>1</v>
      </c>
      <c r="M6" s="301">
        <v>3</v>
      </c>
      <c r="N6" s="301">
        <v>3</v>
      </c>
      <c r="O6" s="301">
        <v>5</v>
      </c>
      <c r="P6" s="305">
        <v>6</v>
      </c>
      <c r="Q6" s="161" t="s">
        <v>139</v>
      </c>
      <c r="R6" s="162" t="s">
        <v>140</v>
      </c>
      <c r="S6" s="32" t="s">
        <v>492</v>
      </c>
    </row>
    <row r="7" spans="1:19">
      <c r="A7" s="37" t="s">
        <v>33</v>
      </c>
      <c r="B7" s="300"/>
      <c r="C7" s="300"/>
      <c r="D7" s="300"/>
      <c r="E7" s="293">
        <v>7</v>
      </c>
      <c r="F7" s="293">
        <v>9</v>
      </c>
      <c r="G7" s="293">
        <v>9</v>
      </c>
      <c r="H7" s="293">
        <v>11</v>
      </c>
      <c r="I7" s="293">
        <v>4</v>
      </c>
      <c r="J7" s="301">
        <v>4</v>
      </c>
      <c r="K7" s="301">
        <v>2</v>
      </c>
      <c r="L7" s="301">
        <v>5</v>
      </c>
      <c r="M7" s="301">
        <v>4</v>
      </c>
      <c r="N7" s="301">
        <v>4</v>
      </c>
      <c r="O7" s="301">
        <v>1</v>
      </c>
      <c r="P7" s="305">
        <v>4</v>
      </c>
      <c r="Q7" s="161" t="s">
        <v>139</v>
      </c>
      <c r="R7" s="162" t="s">
        <v>140</v>
      </c>
      <c r="S7" s="32" t="s">
        <v>492</v>
      </c>
    </row>
    <row r="8" spans="1:19">
      <c r="A8" s="33" t="s">
        <v>143</v>
      </c>
      <c r="B8" s="300"/>
      <c r="C8" s="300"/>
      <c r="D8" s="300"/>
      <c r="E8" s="300"/>
      <c r="F8" s="300"/>
      <c r="G8" s="300"/>
      <c r="H8" s="293">
        <v>13</v>
      </c>
      <c r="I8" s="293">
        <v>11</v>
      </c>
      <c r="J8" s="293">
        <v>6</v>
      </c>
      <c r="K8" s="293">
        <v>0</v>
      </c>
      <c r="L8" s="301">
        <v>5</v>
      </c>
      <c r="M8" s="301">
        <v>1</v>
      </c>
      <c r="N8" s="301">
        <v>1</v>
      </c>
      <c r="O8" s="301">
        <v>1</v>
      </c>
      <c r="P8" s="305">
        <v>2</v>
      </c>
      <c r="Q8" s="161" t="s">
        <v>139</v>
      </c>
      <c r="R8" s="162" t="s">
        <v>140</v>
      </c>
      <c r="S8" s="32" t="s">
        <v>492</v>
      </c>
    </row>
    <row r="9" spans="1:19">
      <c r="A9" s="33" t="s">
        <v>144</v>
      </c>
      <c r="B9" s="300"/>
      <c r="C9" s="300"/>
      <c r="D9" s="300"/>
      <c r="E9" s="293">
        <v>36</v>
      </c>
      <c r="F9" s="293">
        <v>36</v>
      </c>
      <c r="G9" s="293">
        <v>36</v>
      </c>
      <c r="H9" s="293">
        <v>38</v>
      </c>
      <c r="I9" s="293">
        <v>37</v>
      </c>
      <c r="J9" s="301">
        <v>40</v>
      </c>
      <c r="K9" s="301">
        <v>38</v>
      </c>
      <c r="L9" s="301">
        <v>37</v>
      </c>
      <c r="M9" s="301">
        <v>36</v>
      </c>
      <c r="N9" s="301">
        <v>36</v>
      </c>
      <c r="O9" s="301">
        <v>35</v>
      </c>
      <c r="P9" s="305">
        <v>36</v>
      </c>
      <c r="Q9" s="161" t="s">
        <v>139</v>
      </c>
      <c r="R9" s="161" t="s">
        <v>140</v>
      </c>
      <c r="S9" s="32" t="s">
        <v>492</v>
      </c>
    </row>
    <row r="10" spans="1:19">
      <c r="A10" s="41"/>
      <c r="B10" s="33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1"/>
      <c r="P10" s="332"/>
      <c r="Q10" s="44"/>
      <c r="R10" s="44"/>
      <c r="S10" s="45"/>
    </row>
    <row r="11" spans="1:19">
      <c r="A11" s="46" t="s">
        <v>145</v>
      </c>
      <c r="B11" s="333">
        <v>2010</v>
      </c>
      <c r="C11" s="333">
        <v>2011</v>
      </c>
      <c r="D11" s="333">
        <v>2012</v>
      </c>
      <c r="E11" s="333">
        <v>2013</v>
      </c>
      <c r="F11" s="333">
        <v>2014</v>
      </c>
      <c r="G11" s="333">
        <v>2015</v>
      </c>
      <c r="H11" s="333">
        <v>2016</v>
      </c>
      <c r="I11" s="333">
        <v>2017</v>
      </c>
      <c r="J11" s="333">
        <v>2018</v>
      </c>
      <c r="K11" s="333">
        <v>2019</v>
      </c>
      <c r="L11" s="333">
        <v>2020</v>
      </c>
      <c r="M11" s="333">
        <v>2021</v>
      </c>
      <c r="N11" s="333">
        <v>2022</v>
      </c>
      <c r="O11" s="333">
        <v>2023</v>
      </c>
      <c r="P11" s="334">
        <v>2024</v>
      </c>
      <c r="Q11" s="64" t="s">
        <v>20</v>
      </c>
      <c r="R11" s="64" t="s">
        <v>21</v>
      </c>
      <c r="S11" s="64" t="s">
        <v>22</v>
      </c>
    </row>
    <row r="12" spans="1:19">
      <c r="A12" s="163" t="s">
        <v>146</v>
      </c>
      <c r="B12" s="300"/>
      <c r="C12" s="300"/>
      <c r="D12" s="335">
        <v>3.4740000000000002</v>
      </c>
      <c r="E12" s="335">
        <v>4.7039999999999997</v>
      </c>
      <c r="F12" s="335">
        <v>5.9470000000000001</v>
      </c>
      <c r="G12" s="335">
        <v>6.5170000000000003</v>
      </c>
      <c r="H12" s="335">
        <v>6.3929999999999998</v>
      </c>
      <c r="I12" s="335">
        <v>6.9</v>
      </c>
      <c r="J12" s="397">
        <v>7.4683609999999998</v>
      </c>
      <c r="K12" s="397">
        <v>8.5927129999999998</v>
      </c>
      <c r="L12" s="397">
        <v>8.4123590000000004</v>
      </c>
      <c r="M12" s="397">
        <v>8.4486000000000008</v>
      </c>
      <c r="N12" s="397">
        <v>9.5440000000000005</v>
      </c>
      <c r="O12" s="397">
        <v>9.820703</v>
      </c>
      <c r="P12" s="406">
        <v>9.7159999999999993</v>
      </c>
      <c r="Q12" s="76" t="s">
        <v>147</v>
      </c>
      <c r="R12" s="202" t="s">
        <v>148</v>
      </c>
      <c r="S12" s="32" t="s">
        <v>492</v>
      </c>
    </row>
    <row r="13" spans="1:19">
      <c r="A13" s="163" t="s">
        <v>447</v>
      </c>
      <c r="B13" s="300"/>
      <c r="C13" s="300"/>
      <c r="D13" s="398">
        <v>8.5999999999999993E-2</v>
      </c>
      <c r="E13" s="398">
        <v>0.15244199999999999</v>
      </c>
      <c r="F13" s="398">
        <v>0.21998699999999999</v>
      </c>
      <c r="G13" s="398">
        <v>0.20699999999999999</v>
      </c>
      <c r="H13" s="398">
        <v>0.204847</v>
      </c>
      <c r="I13" s="398">
        <v>0.211617</v>
      </c>
      <c r="J13" s="398">
        <v>0.221</v>
      </c>
      <c r="K13" s="398">
        <v>0.211615</v>
      </c>
      <c r="L13" s="399">
        <v>0.204958</v>
      </c>
      <c r="M13" s="399">
        <v>0.19595099999999999</v>
      </c>
      <c r="N13" s="400">
        <v>0.19441999999999998</v>
      </c>
      <c r="O13" s="400">
        <v>0.17687224700000001</v>
      </c>
      <c r="P13" s="407">
        <v>0.16037899999999999</v>
      </c>
      <c r="Q13" s="236" t="s">
        <v>147</v>
      </c>
      <c r="R13" s="77" t="s">
        <v>148</v>
      </c>
      <c r="S13" s="32" t="s">
        <v>492</v>
      </c>
    </row>
    <row r="14" spans="1:19">
      <c r="A14" s="163" t="s">
        <v>149</v>
      </c>
      <c r="B14" s="300"/>
      <c r="C14" s="300"/>
      <c r="D14" s="335">
        <v>1.8981250000000001</v>
      </c>
      <c r="E14" s="335">
        <v>2.882517</v>
      </c>
      <c r="F14" s="335">
        <v>4.0050569999999999</v>
      </c>
      <c r="G14" s="335">
        <v>4.6689999999999996</v>
      </c>
      <c r="H14" s="335">
        <v>4.7089999999999996</v>
      </c>
      <c r="I14" s="335">
        <v>5.2039809999999997</v>
      </c>
      <c r="J14" s="335">
        <v>6.0170000000000003</v>
      </c>
      <c r="K14" s="335">
        <v>6.8584620000000003</v>
      </c>
      <c r="L14" s="397">
        <v>7.2568599999999996</v>
      </c>
      <c r="M14" s="397">
        <v>7.5225499999999998</v>
      </c>
      <c r="N14" s="401">
        <v>8.9771599999999996</v>
      </c>
      <c r="O14" s="401">
        <v>9.5399999999999991</v>
      </c>
      <c r="P14" s="408">
        <v>10.004020000000001</v>
      </c>
      <c r="Q14" s="236" t="s">
        <v>147</v>
      </c>
      <c r="R14" s="164" t="s">
        <v>148</v>
      </c>
      <c r="S14" s="32" t="s">
        <v>492</v>
      </c>
    </row>
    <row r="15" spans="1:19">
      <c r="A15" s="163" t="s">
        <v>150</v>
      </c>
      <c r="B15" s="325"/>
      <c r="C15" s="325"/>
      <c r="D15" s="411">
        <f>+D12+D13-D14</f>
        <v>1.661875</v>
      </c>
      <c r="E15" s="411">
        <f t="shared" ref="E15:G15" si="0">+E12+E13-E14</f>
        <v>1.9739249999999995</v>
      </c>
      <c r="F15" s="411">
        <f t="shared" si="0"/>
        <v>2.1619299999999999</v>
      </c>
      <c r="G15" s="411">
        <f t="shared" si="0"/>
        <v>2.0550000000000006</v>
      </c>
      <c r="H15" s="411">
        <v>1.565791330965</v>
      </c>
      <c r="I15" s="411">
        <v>1.71593498439</v>
      </c>
      <c r="J15" s="411">
        <v>1.9029738517650001</v>
      </c>
      <c r="K15" s="411">
        <v>2.01419019684</v>
      </c>
      <c r="L15" s="411">
        <v>1.97945408319</v>
      </c>
      <c r="M15" s="411">
        <v>1.56095149899</v>
      </c>
      <c r="N15" s="411">
        <v>1.6379896491900001</v>
      </c>
      <c r="O15" s="411">
        <v>1.62286868961</v>
      </c>
      <c r="P15" s="411">
        <v>1.3984565217900002</v>
      </c>
      <c r="Q15" s="76" t="s">
        <v>39</v>
      </c>
      <c r="R15" s="633" t="s">
        <v>790</v>
      </c>
      <c r="S15" s="64"/>
    </row>
    <row r="16" spans="1:19" ht="30">
      <c r="A16" s="409" t="s">
        <v>152</v>
      </c>
      <c r="B16" s="316">
        <v>126.83606808</v>
      </c>
      <c r="C16" s="316">
        <v>127.78123085999999</v>
      </c>
      <c r="D16" s="316">
        <v>128.97547986000001</v>
      </c>
      <c r="E16" s="316">
        <v>136.58113992</v>
      </c>
      <c r="F16" s="316">
        <v>144.4700076</v>
      </c>
      <c r="G16" s="316">
        <v>143.06761806</v>
      </c>
      <c r="H16" s="316">
        <v>139.71689658</v>
      </c>
      <c r="I16" s="316">
        <v>140.32084535999999</v>
      </c>
      <c r="J16" s="316">
        <v>139.67936304</v>
      </c>
      <c r="K16" s="316">
        <v>131.51411202</v>
      </c>
      <c r="L16" s="316">
        <v>123.58429866</v>
      </c>
      <c r="M16" s="316">
        <v>124.41686082</v>
      </c>
      <c r="N16" s="316">
        <v>121.01495724</v>
      </c>
      <c r="O16" s="316">
        <v>107.8748061</v>
      </c>
      <c r="P16" s="316">
        <v>107.70078695999999</v>
      </c>
      <c r="Q16" s="410" t="s">
        <v>39</v>
      </c>
      <c r="R16" s="56" t="s">
        <v>40</v>
      </c>
      <c r="S16" s="32" t="s">
        <v>520</v>
      </c>
    </row>
    <row r="17" spans="1:19" ht="30">
      <c r="A17" s="251" t="s">
        <v>153</v>
      </c>
      <c r="B17" s="316">
        <v>87.712470840000009</v>
      </c>
      <c r="C17" s="316">
        <v>91.073428739999997</v>
      </c>
      <c r="D17" s="316">
        <v>91.189441500000001</v>
      </c>
      <c r="E17" s="316">
        <v>94.485568739999991</v>
      </c>
      <c r="F17" s="316">
        <v>92.943281459999994</v>
      </c>
      <c r="G17" s="316">
        <v>93.21284052</v>
      </c>
      <c r="H17" s="316">
        <v>93.690540119999994</v>
      </c>
      <c r="I17" s="316">
        <v>93.533581679999998</v>
      </c>
      <c r="J17" s="368">
        <v>93.748546500000003</v>
      </c>
      <c r="K17" s="316">
        <v>90.193096619999992</v>
      </c>
      <c r="L17" s="316">
        <v>85.016880239999992</v>
      </c>
      <c r="M17" s="316">
        <v>83.300573819999997</v>
      </c>
      <c r="N17" s="316">
        <v>79.465328459999995</v>
      </c>
      <c r="O17" s="316">
        <v>72.746824799999999</v>
      </c>
      <c r="P17" s="316">
        <v>74.384652000000003</v>
      </c>
      <c r="Q17" s="410" t="s">
        <v>39</v>
      </c>
      <c r="R17" s="56" t="s">
        <v>40</v>
      </c>
      <c r="S17" s="32" t="s">
        <v>520</v>
      </c>
    </row>
    <row r="18" spans="1:19" ht="30">
      <c r="A18" s="251" t="s">
        <v>154</v>
      </c>
      <c r="B18" s="316">
        <v>39.055354439999995</v>
      </c>
      <c r="C18" s="316">
        <v>36.622498619999995</v>
      </c>
      <c r="D18" s="316">
        <v>37.704146999999999</v>
      </c>
      <c r="E18" s="316">
        <v>41.976146280000002</v>
      </c>
      <c r="F18" s="316">
        <v>51.274227780000004</v>
      </c>
      <c r="G18" s="316">
        <v>49.69099482</v>
      </c>
      <c r="H18" s="316">
        <v>45.7909188</v>
      </c>
      <c r="I18" s="316">
        <v>46.545001739999996</v>
      </c>
      <c r="J18" s="368">
        <v>45.671493900000002</v>
      </c>
      <c r="K18" s="316">
        <v>41.013922799999996</v>
      </c>
      <c r="L18" s="316">
        <v>38.253501540000002</v>
      </c>
      <c r="M18" s="316">
        <v>40.594229579999997</v>
      </c>
      <c r="N18" s="316">
        <v>40.952504279999999</v>
      </c>
      <c r="O18" s="316">
        <v>34.759470180000001</v>
      </c>
      <c r="P18" s="316">
        <v>32.93738742</v>
      </c>
      <c r="Q18" s="410" t="s">
        <v>39</v>
      </c>
      <c r="R18" s="56" t="s">
        <v>40</v>
      </c>
      <c r="S18" s="32" t="s">
        <v>520</v>
      </c>
    </row>
    <row r="19" spans="1:19">
      <c r="A19" s="33" t="s">
        <v>155</v>
      </c>
      <c r="B19" s="403">
        <f t="shared" ref="B19:N19" si="1">+B20-B16</f>
        <v>2090.1639319199999</v>
      </c>
      <c r="C19" s="403">
        <f t="shared" si="1"/>
        <v>2085.2187691399999</v>
      </c>
      <c r="D19" s="412">
        <f t="shared" si="1"/>
        <v>2022.02452014</v>
      </c>
      <c r="E19" s="412">
        <f t="shared" si="1"/>
        <v>2201.4188600799998</v>
      </c>
      <c r="F19" s="412">
        <f t="shared" si="1"/>
        <v>2253.5299924000001</v>
      </c>
      <c r="G19" s="412">
        <f t="shared" si="1"/>
        <v>2161.9323819400001</v>
      </c>
      <c r="H19" s="412">
        <f t="shared" si="1"/>
        <v>2077.2831034199999</v>
      </c>
      <c r="I19" s="412">
        <f t="shared" si="1"/>
        <v>2035.67915464</v>
      </c>
      <c r="J19" s="414">
        <f t="shared" si="1"/>
        <v>2114.3206369600002</v>
      </c>
      <c r="K19" s="321">
        <f t="shared" si="1"/>
        <v>2097.4858879799999</v>
      </c>
      <c r="L19" s="321">
        <f t="shared" si="1"/>
        <v>1836.4157013399999</v>
      </c>
      <c r="M19" s="321">
        <f t="shared" si="1"/>
        <v>1867.58313918</v>
      </c>
      <c r="N19" s="321">
        <f t="shared" si="1"/>
        <v>2013.9850427599999</v>
      </c>
      <c r="O19" s="321">
        <f>+O20-O16</f>
        <v>1861.1251938999999</v>
      </c>
      <c r="P19" s="321">
        <f>+P20-P16</f>
        <v>1812.29921304</v>
      </c>
      <c r="Q19" s="410" t="s">
        <v>151</v>
      </c>
      <c r="R19" s="56"/>
      <c r="S19" s="32"/>
    </row>
    <row r="20" spans="1:19">
      <c r="A20" s="33" t="s">
        <v>156</v>
      </c>
      <c r="B20" s="293">
        <v>2217</v>
      </c>
      <c r="C20" s="293">
        <v>2213</v>
      </c>
      <c r="D20" s="338">
        <v>2151</v>
      </c>
      <c r="E20" s="338">
        <v>2338</v>
      </c>
      <c r="F20" s="338">
        <v>2398</v>
      </c>
      <c r="G20" s="338">
        <v>2305</v>
      </c>
      <c r="H20" s="338">
        <v>2217</v>
      </c>
      <c r="I20" s="338">
        <v>2176</v>
      </c>
      <c r="J20" s="352">
        <v>2254</v>
      </c>
      <c r="K20" s="321">
        <v>2229</v>
      </c>
      <c r="L20" s="321">
        <v>1960</v>
      </c>
      <c r="M20" s="321">
        <v>1992</v>
      </c>
      <c r="N20" s="321">
        <v>2135</v>
      </c>
      <c r="O20" s="321">
        <v>1969</v>
      </c>
      <c r="P20" s="321">
        <v>1920</v>
      </c>
      <c r="Q20" s="410" t="s">
        <v>39</v>
      </c>
      <c r="R20" s="201" t="s">
        <v>40</v>
      </c>
      <c r="S20" s="32" t="s">
        <v>492</v>
      </c>
    </row>
    <row r="21" spans="1:19">
      <c r="A21" s="33" t="s">
        <v>157</v>
      </c>
      <c r="B21" s="293">
        <v>541</v>
      </c>
      <c r="C21" s="293">
        <v>524</v>
      </c>
      <c r="D21" s="338">
        <v>438</v>
      </c>
      <c r="E21" s="338">
        <v>572</v>
      </c>
      <c r="F21" s="338">
        <v>579</v>
      </c>
      <c r="G21" s="338">
        <v>513</v>
      </c>
      <c r="H21" s="338">
        <v>445</v>
      </c>
      <c r="I21" s="338">
        <v>430</v>
      </c>
      <c r="J21" s="352">
        <v>526</v>
      </c>
      <c r="K21" s="321">
        <v>547</v>
      </c>
      <c r="L21" s="321">
        <v>345</v>
      </c>
      <c r="M21" s="321">
        <v>357</v>
      </c>
      <c r="N21" s="321">
        <v>450</v>
      </c>
      <c r="O21" s="321">
        <v>382</v>
      </c>
      <c r="P21" s="321">
        <v>358</v>
      </c>
      <c r="Q21" s="410" t="s">
        <v>39</v>
      </c>
      <c r="R21" s="165" t="s">
        <v>40</v>
      </c>
      <c r="S21" s="32" t="s">
        <v>492</v>
      </c>
    </row>
    <row r="22" spans="1:19" ht="15.75" customHeight="1">
      <c r="A22" s="33" t="s">
        <v>158</v>
      </c>
      <c r="B22" s="293">
        <v>72</v>
      </c>
      <c r="C22" s="293">
        <v>69</v>
      </c>
      <c r="D22" s="338">
        <v>61</v>
      </c>
      <c r="E22" s="338">
        <v>70</v>
      </c>
      <c r="F22" s="338">
        <v>73</v>
      </c>
      <c r="G22" s="338">
        <v>73</v>
      </c>
      <c r="H22" s="338">
        <v>74</v>
      </c>
      <c r="I22" s="338">
        <v>74</v>
      </c>
      <c r="J22" s="352">
        <v>74</v>
      </c>
      <c r="K22" s="321">
        <v>74</v>
      </c>
      <c r="L22" s="321">
        <v>73</v>
      </c>
      <c r="M22" s="321">
        <v>73</v>
      </c>
      <c r="N22" s="321">
        <v>73</v>
      </c>
      <c r="O22" s="321">
        <v>72</v>
      </c>
      <c r="P22" s="321">
        <v>72</v>
      </c>
      <c r="Q22" s="410" t="s">
        <v>39</v>
      </c>
      <c r="R22" s="56" t="s">
        <v>40</v>
      </c>
      <c r="S22" s="32" t="s">
        <v>492</v>
      </c>
    </row>
    <row r="23" spans="1:19" ht="15.75" customHeight="1">
      <c r="A23" s="33" t="s">
        <v>153</v>
      </c>
      <c r="B23" s="293">
        <v>1409</v>
      </c>
      <c r="C23" s="293">
        <v>1438</v>
      </c>
      <c r="D23" s="338">
        <v>1462</v>
      </c>
      <c r="E23" s="338">
        <v>1489</v>
      </c>
      <c r="F23" s="338">
        <v>1495</v>
      </c>
      <c r="G23" s="338">
        <v>1476</v>
      </c>
      <c r="H23" s="338">
        <v>1474</v>
      </c>
      <c r="I23" s="338">
        <v>1442</v>
      </c>
      <c r="J23" s="352">
        <v>1432</v>
      </c>
      <c r="K23" s="321">
        <v>1407</v>
      </c>
      <c r="L23" s="321">
        <v>1356</v>
      </c>
      <c r="M23" s="321">
        <v>1366</v>
      </c>
      <c r="N23" s="321">
        <v>1415</v>
      </c>
      <c r="O23" s="321">
        <v>1341</v>
      </c>
      <c r="P23" s="321">
        <v>1328</v>
      </c>
      <c r="Q23" s="410" t="s">
        <v>39</v>
      </c>
      <c r="R23" s="56" t="s">
        <v>40</v>
      </c>
      <c r="S23" s="32" t="s">
        <v>492</v>
      </c>
    </row>
    <row r="24" spans="1:19" ht="15.75" customHeight="1">
      <c r="A24" s="33" t="s">
        <v>154</v>
      </c>
      <c r="B24" s="293">
        <v>196</v>
      </c>
      <c r="C24" s="293">
        <v>182</v>
      </c>
      <c r="D24" s="293">
        <v>190</v>
      </c>
      <c r="E24" s="293">
        <v>207</v>
      </c>
      <c r="F24" s="293">
        <v>251</v>
      </c>
      <c r="G24" s="293">
        <v>244</v>
      </c>
      <c r="H24" s="293">
        <v>224</v>
      </c>
      <c r="I24" s="293">
        <v>229</v>
      </c>
      <c r="J24" s="305">
        <v>221</v>
      </c>
      <c r="K24" s="306">
        <v>201</v>
      </c>
      <c r="L24" s="306">
        <v>185</v>
      </c>
      <c r="M24" s="306">
        <v>197</v>
      </c>
      <c r="N24" s="306">
        <v>198</v>
      </c>
      <c r="O24" s="306">
        <v>174</v>
      </c>
      <c r="P24" s="306">
        <v>162</v>
      </c>
      <c r="Q24" s="410" t="s">
        <v>39</v>
      </c>
      <c r="R24" s="56" t="s">
        <v>40</v>
      </c>
      <c r="S24" s="32" t="s">
        <v>492</v>
      </c>
    </row>
    <row r="25" spans="1:19" ht="15.75" customHeight="1">
      <c r="A25" s="33" t="s">
        <v>159</v>
      </c>
      <c r="B25" s="309">
        <v>15.7</v>
      </c>
      <c r="C25" s="309">
        <v>18.3</v>
      </c>
      <c r="D25" s="309">
        <v>18.053588999999999</v>
      </c>
      <c r="E25" s="309">
        <v>21.199020000000001</v>
      </c>
      <c r="F25" s="309">
        <v>25.093776999999999</v>
      </c>
      <c r="G25" s="309">
        <v>27.381663</v>
      </c>
      <c r="H25" s="309">
        <v>29.304248000000001</v>
      </c>
      <c r="I25" s="309">
        <v>33.410285999999999</v>
      </c>
      <c r="J25" s="364">
        <v>37.627758</v>
      </c>
      <c r="K25" s="316">
        <v>41.975704999999998</v>
      </c>
      <c r="L25" s="299">
        <v>42.988148000000002</v>
      </c>
      <c r="M25" s="299">
        <v>45.334052</v>
      </c>
      <c r="N25" s="299">
        <v>47.431272</v>
      </c>
      <c r="O25" s="299">
        <v>46.817160000000001</v>
      </c>
      <c r="P25" s="299">
        <v>47.725817999999997</v>
      </c>
      <c r="Q25" s="236" t="s">
        <v>147</v>
      </c>
      <c r="R25" s="413" t="s">
        <v>148</v>
      </c>
      <c r="S25" s="32" t="s">
        <v>492</v>
      </c>
    </row>
    <row r="26" spans="1:19" ht="15.75" customHeight="1">
      <c r="A26" s="33" t="s">
        <v>160</v>
      </c>
      <c r="B26" s="300"/>
      <c r="C26" s="300"/>
      <c r="D26" s="300"/>
      <c r="E26" s="300"/>
      <c r="F26" s="300"/>
      <c r="G26" s="300"/>
      <c r="H26" s="294">
        <v>10.0039768600908</v>
      </c>
      <c r="I26" s="294">
        <v>10.867588571765101</v>
      </c>
      <c r="J26" s="405">
        <v>10.730605345237</v>
      </c>
      <c r="K26" s="318">
        <v>10.8062154100458</v>
      </c>
      <c r="L26" s="318">
        <v>12.010147</v>
      </c>
      <c r="M26" s="318">
        <v>12.96185</v>
      </c>
      <c r="N26" s="318">
        <v>13.244444</v>
      </c>
      <c r="O26" s="318">
        <v>13.264989999999999</v>
      </c>
      <c r="P26" s="318"/>
      <c r="Q26" s="410" t="s">
        <v>39</v>
      </c>
      <c r="R26" s="79" t="s">
        <v>161</v>
      </c>
      <c r="S26" s="32" t="s">
        <v>492</v>
      </c>
    </row>
    <row r="27" spans="1:19" ht="13.5" customHeight="1">
      <c r="A27" s="33" t="s">
        <v>162</v>
      </c>
      <c r="B27" s="300"/>
      <c r="C27" s="300"/>
      <c r="D27" s="309">
        <v>258.23399999999998</v>
      </c>
      <c r="E27" s="309">
        <v>370.98099999999999</v>
      </c>
      <c r="F27" s="309">
        <v>519.399</v>
      </c>
      <c r="G27" s="309">
        <v>682.97799999999995</v>
      </c>
      <c r="H27" s="309">
        <v>612.49599999999998</v>
      </c>
      <c r="I27" s="309">
        <v>666.54499999999996</v>
      </c>
      <c r="J27" s="364">
        <v>809.85500000000002</v>
      </c>
      <c r="K27" s="316">
        <v>942.62699999999995</v>
      </c>
      <c r="L27" s="298">
        <v>981.59299999999996</v>
      </c>
      <c r="M27" s="298">
        <v>1059.261</v>
      </c>
      <c r="N27" s="298">
        <v>1556.1110000000001</v>
      </c>
      <c r="O27" s="298">
        <v>1764.3330000000001</v>
      </c>
      <c r="P27" s="298">
        <v>1859.5440000000001</v>
      </c>
      <c r="Q27" s="236" t="s">
        <v>147</v>
      </c>
      <c r="R27" s="77" t="s">
        <v>148</v>
      </c>
      <c r="S27" s="32" t="s">
        <v>492</v>
      </c>
    </row>
    <row r="28" spans="1:19" ht="13.5" customHeight="1">
      <c r="A28" s="33" t="s">
        <v>163</v>
      </c>
      <c r="B28" s="404"/>
      <c r="C28" s="300"/>
      <c r="D28" s="309">
        <v>18.347999999999999</v>
      </c>
      <c r="E28" s="309">
        <v>30.262</v>
      </c>
      <c r="F28" s="309">
        <v>44.905999999999999</v>
      </c>
      <c r="G28" s="309">
        <v>45.781999999999996</v>
      </c>
      <c r="H28" s="309">
        <v>34.744999999999997</v>
      </c>
      <c r="I28" s="309">
        <v>41.134</v>
      </c>
      <c r="J28" s="364">
        <v>41.139000000000003</v>
      </c>
      <c r="K28" s="316">
        <v>42.323</v>
      </c>
      <c r="L28" s="299">
        <v>42.118000000000002</v>
      </c>
      <c r="M28" s="299">
        <v>42.997</v>
      </c>
      <c r="N28" s="299">
        <v>46.787999999999997</v>
      </c>
      <c r="O28" s="299">
        <v>46.854999999999997</v>
      </c>
      <c r="P28" s="299">
        <v>43.857999999999997</v>
      </c>
      <c r="Q28" s="236" t="s">
        <v>147</v>
      </c>
      <c r="R28" s="77" t="s">
        <v>148</v>
      </c>
      <c r="S28" s="32" t="s">
        <v>492</v>
      </c>
    </row>
    <row r="29" spans="1:19" ht="15.75" customHeight="1">
      <c r="A29" s="41"/>
      <c r="B29" s="330"/>
      <c r="C29" s="330"/>
      <c r="D29" s="330"/>
      <c r="E29" s="330"/>
      <c r="F29" s="330"/>
      <c r="G29" s="330"/>
      <c r="H29" s="330"/>
      <c r="I29" s="330"/>
      <c r="J29" s="330"/>
      <c r="K29" s="415"/>
      <c r="L29" s="415"/>
      <c r="M29" s="415"/>
      <c r="N29" s="416"/>
      <c r="O29" s="415"/>
      <c r="P29" s="415"/>
      <c r="Q29" s="44"/>
      <c r="R29" s="44"/>
      <c r="S29" s="45"/>
    </row>
    <row r="30" spans="1:19" ht="15.75" customHeight="1">
      <c r="A30" s="46" t="s">
        <v>51</v>
      </c>
      <c r="B30" s="333">
        <v>2010</v>
      </c>
      <c r="C30" s="333">
        <v>2011</v>
      </c>
      <c r="D30" s="333">
        <v>2012</v>
      </c>
      <c r="E30" s="333">
        <v>2013</v>
      </c>
      <c r="F30" s="333">
        <v>2014</v>
      </c>
      <c r="G30" s="333">
        <v>2015</v>
      </c>
      <c r="H30" s="333">
        <v>2016</v>
      </c>
      <c r="I30" s="333">
        <v>2017</v>
      </c>
      <c r="J30" s="333">
        <v>2018</v>
      </c>
      <c r="K30" s="333">
        <v>2019</v>
      </c>
      <c r="L30" s="333">
        <v>2020</v>
      </c>
      <c r="M30" s="333">
        <v>2021</v>
      </c>
      <c r="N30" s="333">
        <v>2022</v>
      </c>
      <c r="O30" s="333">
        <v>2023</v>
      </c>
      <c r="P30" s="334">
        <v>2024</v>
      </c>
      <c r="Q30" s="64" t="s">
        <v>20</v>
      </c>
      <c r="R30" s="64" t="s">
        <v>21</v>
      </c>
      <c r="S30" s="64" t="s">
        <v>22</v>
      </c>
    </row>
    <row r="31" spans="1:19" ht="15.75" customHeight="1">
      <c r="A31" s="33" t="s">
        <v>164</v>
      </c>
      <c r="B31" s="338">
        <v>26549</v>
      </c>
      <c r="C31" s="338">
        <v>25477</v>
      </c>
      <c r="D31" s="338">
        <v>25484</v>
      </c>
      <c r="E31" s="338">
        <v>25085</v>
      </c>
      <c r="F31" s="338">
        <v>26895</v>
      </c>
      <c r="G31" s="338">
        <v>23416</v>
      </c>
      <c r="H31" s="338">
        <v>23596</v>
      </c>
      <c r="I31" s="338">
        <v>24432</v>
      </c>
      <c r="J31" s="338">
        <v>25040</v>
      </c>
      <c r="K31" s="338">
        <v>24738</v>
      </c>
      <c r="L31" s="338">
        <v>24306</v>
      </c>
      <c r="M31" s="338">
        <v>25517</v>
      </c>
      <c r="N31" s="338">
        <v>26939</v>
      </c>
      <c r="O31" s="338">
        <v>27349</v>
      </c>
      <c r="P31" s="338">
        <v>27393</v>
      </c>
      <c r="Q31" s="30" t="s">
        <v>165</v>
      </c>
      <c r="R31" s="54" t="s">
        <v>166</v>
      </c>
      <c r="S31" s="32" t="s">
        <v>492</v>
      </c>
    </row>
    <row r="32" spans="1:19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9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29"/>
      <c r="N33" s="229"/>
      <c r="O33" s="229"/>
      <c r="P33" s="229"/>
      <c r="Q33" s="25"/>
      <c r="R33" s="25"/>
    </row>
    <row r="34" spans="1:19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spans="1:19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spans="1:19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29"/>
      <c r="O36" s="25"/>
      <c r="P36" s="25"/>
      <c r="Q36" s="25"/>
      <c r="R36" s="25"/>
      <c r="S36" s="25"/>
    </row>
    <row r="37" spans="1:19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1:19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6"/>
      <c r="Q38" s="25"/>
      <c r="R38" s="25"/>
      <c r="S38" s="25"/>
    </row>
    <row r="39" spans="1:1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6"/>
      <c r="Q39" s="25"/>
      <c r="R39" s="25"/>
      <c r="S39" s="25"/>
    </row>
    <row r="40" spans="1:19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R40" s="25"/>
      <c r="S40" s="25"/>
    </row>
    <row r="41" spans="1:19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R41" s="25"/>
      <c r="S41" s="25"/>
    </row>
    <row r="42" spans="1:19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R42" s="25"/>
      <c r="S42" s="25"/>
    </row>
    <row r="43" spans="1:19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R43" s="25"/>
      <c r="S43" s="25"/>
    </row>
    <row r="44" spans="1:19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R44" s="25"/>
      <c r="S44" s="25"/>
    </row>
    <row r="45" spans="1:19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R45" s="25"/>
      <c r="S45" s="25"/>
    </row>
    <row r="46" spans="1:19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R46" s="25"/>
      <c r="S46" s="25"/>
    </row>
    <row r="47" spans="1:19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R47" s="25"/>
      <c r="S47" s="25"/>
    </row>
    <row r="48" spans="1:19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R48" s="25"/>
      <c r="S48" s="25"/>
    </row>
    <row r="49" spans="1:1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R49" s="25"/>
      <c r="S49" s="25"/>
    </row>
    <row r="50" spans="1:19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R50" s="25"/>
      <c r="S50" s="25"/>
    </row>
    <row r="51" spans="1:19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R51" s="25"/>
      <c r="S51" s="25"/>
    </row>
    <row r="52" spans="1:19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R52" s="25"/>
      <c r="S52" s="25"/>
    </row>
    <row r="53" spans="1:19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R53" s="25"/>
      <c r="S53" s="25"/>
    </row>
    <row r="54" spans="1:19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R54" s="25"/>
      <c r="S54" s="25"/>
    </row>
    <row r="55" spans="1:19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R55" s="25"/>
      <c r="S55" s="25"/>
    </row>
    <row r="56" spans="1:19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R56" s="25"/>
      <c r="S56" s="25"/>
    </row>
    <row r="57" spans="1:19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R57" s="25"/>
      <c r="S57" s="25"/>
    </row>
    <row r="58" spans="1:19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R58" s="25"/>
      <c r="S58" s="25"/>
    </row>
    <row r="59" spans="1:1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R59" s="25"/>
      <c r="S59" s="25"/>
    </row>
    <row r="60" spans="1:19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R60" s="25"/>
      <c r="S60" s="25"/>
    </row>
    <row r="61" spans="1:19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R61" s="25"/>
      <c r="S61" s="25"/>
    </row>
    <row r="62" spans="1:19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R62" s="25"/>
      <c r="S62" s="80"/>
    </row>
    <row r="63" spans="1:19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R63" s="25"/>
      <c r="S63" s="25"/>
    </row>
    <row r="64" spans="1:19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R64" s="25"/>
      <c r="S64" s="25"/>
    </row>
    <row r="65" spans="1:19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R65" s="25"/>
      <c r="S65" s="25"/>
    </row>
    <row r="66" spans="1:19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R66" s="25"/>
      <c r="S66" s="25"/>
    </row>
    <row r="67" spans="1:19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6"/>
      <c r="Q67" s="25"/>
      <c r="R67" s="25"/>
      <c r="S67" s="25"/>
    </row>
    <row r="68" spans="1:19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6"/>
      <c r="Q68" s="25"/>
      <c r="R68" s="25"/>
      <c r="S68" s="25"/>
    </row>
    <row r="69" spans="1:1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</row>
    <row r="70" spans="1:19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6"/>
      <c r="Q70" s="25"/>
      <c r="R70" s="25"/>
      <c r="S70" s="25"/>
    </row>
    <row r="71" spans="1:19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6"/>
      <c r="Q71" s="25"/>
      <c r="R71" s="25"/>
      <c r="S71" s="25"/>
    </row>
    <row r="72" spans="1:19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6"/>
      <c r="Q72" s="25"/>
      <c r="R72" s="25"/>
      <c r="S72" s="25"/>
    </row>
    <row r="73" spans="1:19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6"/>
      <c r="Q73" s="25"/>
      <c r="R73" s="25"/>
      <c r="S73" s="25"/>
    </row>
    <row r="74" spans="1:19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6"/>
      <c r="Q74" s="25"/>
      <c r="R74" s="25"/>
      <c r="S74" s="25"/>
    </row>
    <row r="75" spans="1:19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6"/>
      <c r="Q75" s="25"/>
      <c r="R75" s="25"/>
      <c r="S75" s="25"/>
    </row>
    <row r="76" spans="1:19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6"/>
      <c r="Q76" s="25"/>
      <c r="R76" s="25"/>
      <c r="S76" s="25"/>
    </row>
    <row r="77" spans="1:19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6"/>
      <c r="Q77" s="25"/>
      <c r="R77" s="25"/>
      <c r="S77" s="25"/>
    </row>
    <row r="78" spans="1:19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6"/>
      <c r="Q78" s="25"/>
      <c r="R78" s="25"/>
      <c r="S78" s="25"/>
    </row>
    <row r="79" spans="1:1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6"/>
      <c r="Q79" s="25"/>
      <c r="R79" s="25"/>
      <c r="S79" s="25"/>
    </row>
    <row r="80" spans="1:19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6"/>
      <c r="Q80" s="25"/>
      <c r="R80" s="25"/>
      <c r="S80" s="25"/>
    </row>
    <row r="81" spans="1:19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6"/>
      <c r="Q81" s="25"/>
      <c r="R81" s="25"/>
      <c r="S81" s="25"/>
    </row>
    <row r="82" spans="1:19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6"/>
      <c r="Q82" s="25"/>
      <c r="R82" s="25"/>
      <c r="S82" s="25"/>
    </row>
    <row r="83" spans="1:19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6"/>
      <c r="Q83" s="25"/>
      <c r="R83" s="25"/>
      <c r="S83" s="25"/>
    </row>
    <row r="84" spans="1:19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6"/>
      <c r="Q84" s="25"/>
      <c r="R84" s="25"/>
      <c r="S84" s="25"/>
    </row>
    <row r="85" spans="1:19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</row>
    <row r="86" spans="1:19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</row>
    <row r="87" spans="1:19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</row>
    <row r="88" spans="1:19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</row>
    <row r="89" spans="1:1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</row>
    <row r="90" spans="1:19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</row>
    <row r="91" spans="1:19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</row>
    <row r="92" spans="1:19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1:19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</row>
    <row r="94" spans="1:19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</row>
    <row r="95" spans="1:19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</row>
    <row r="96" spans="1:19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</row>
    <row r="97" spans="1:19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</row>
    <row r="98" spans="1:19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</row>
    <row r="99" spans="1:1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</row>
    <row r="100" spans="1:19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</row>
    <row r="101" spans="1:19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</row>
    <row r="102" spans="1:19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</row>
    <row r="103" spans="1:19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1:19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</row>
    <row r="105" spans="1:19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</row>
    <row r="106" spans="1:19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</row>
    <row r="107" spans="1:19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</row>
    <row r="108" spans="1:19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</row>
    <row r="109" spans="1:1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</row>
    <row r="110" spans="1:19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</row>
    <row r="111" spans="1:19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</row>
    <row r="112" spans="1:19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</row>
    <row r="113" spans="1:19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</row>
    <row r="114" spans="1:19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1:19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</row>
    <row r="116" spans="1:19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</row>
    <row r="117" spans="1:19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</row>
    <row r="118" spans="1:19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</row>
    <row r="119" spans="1: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</row>
    <row r="120" spans="1:19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</row>
    <row r="121" spans="1:19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</row>
    <row r="122" spans="1:19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</row>
    <row r="123" spans="1:19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</row>
    <row r="124" spans="1:19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</row>
    <row r="125" spans="1:19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1:19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</row>
    <row r="127" spans="1:19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</row>
    <row r="128" spans="1:19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</row>
    <row r="129" spans="1:1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</row>
    <row r="130" spans="1:19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</row>
    <row r="131" spans="1:19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</row>
    <row r="132" spans="1:19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</row>
    <row r="133" spans="1:19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</row>
    <row r="134" spans="1:19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</row>
    <row r="135" spans="1:19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</row>
    <row r="136" spans="1:19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spans="1:19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</row>
    <row r="138" spans="1:19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</row>
    <row r="139" spans="1:1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</row>
    <row r="140" spans="1:19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</row>
    <row r="141" spans="1:19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</row>
    <row r="142" spans="1:19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</row>
    <row r="143" spans="1:19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</row>
    <row r="144" spans="1:19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</row>
    <row r="145" spans="1:19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</row>
    <row r="146" spans="1:19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</row>
    <row r="147" spans="1:19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1:19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</row>
    <row r="149" spans="1:1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</row>
    <row r="150" spans="1:19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</row>
    <row r="151" spans="1:19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</row>
    <row r="152" spans="1:19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</row>
    <row r="153" spans="1:19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</row>
    <row r="154" spans="1:19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</row>
    <row r="155" spans="1:19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</row>
    <row r="156" spans="1:19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</row>
    <row r="157" spans="1:19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</row>
    <row r="158" spans="1:19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1:1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</row>
    <row r="160" spans="1:19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</row>
    <row r="161" spans="1:19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</row>
    <row r="162" spans="1:19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</row>
    <row r="163" spans="1:19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</row>
    <row r="164" spans="1:19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</row>
    <row r="165" spans="1:19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</row>
    <row r="166" spans="1:19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</row>
    <row r="167" spans="1:19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</row>
    <row r="168" spans="1:19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</row>
    <row r="169" spans="1:1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1:19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</row>
    <row r="171" spans="1:19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</row>
    <row r="172" spans="1:19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</row>
    <row r="173" spans="1:19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</row>
    <row r="174" spans="1:19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</row>
    <row r="175" spans="1:19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</row>
    <row r="176" spans="1:19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</row>
    <row r="177" spans="1:19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</row>
    <row r="178" spans="1:19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</row>
    <row r="179" spans="1:1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</row>
    <row r="180" spans="1:19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</row>
    <row r="181" spans="1:19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</row>
    <row r="182" spans="1:19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</row>
    <row r="183" spans="1:19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</row>
    <row r="184" spans="1:19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</row>
    <row r="185" spans="1:19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</row>
    <row r="186" spans="1:19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</row>
    <row r="187" spans="1:19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</row>
    <row r="188" spans="1:19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</row>
    <row r="189" spans="1:1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</row>
    <row r="190" spans="1:19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</row>
    <row r="191" spans="1:19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</row>
    <row r="192" spans="1:19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</row>
    <row r="193" spans="1:19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</row>
    <row r="194" spans="1:19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</row>
    <row r="195" spans="1:19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</row>
    <row r="196" spans="1:19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</row>
    <row r="197" spans="1:19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</row>
    <row r="198" spans="1:19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</row>
    <row r="199" spans="1:1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</row>
    <row r="200" spans="1:19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</row>
    <row r="201" spans="1:19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</row>
    <row r="202" spans="1:19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</row>
    <row r="203" spans="1:19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</row>
    <row r="204" spans="1:19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</row>
    <row r="205" spans="1:19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</row>
    <row r="206" spans="1:19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</row>
    <row r="207" spans="1:19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</row>
    <row r="208" spans="1:19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</row>
    <row r="209" spans="1:1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</row>
    <row r="210" spans="1:19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</row>
    <row r="211" spans="1:19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</row>
    <row r="212" spans="1:19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</row>
    <row r="213" spans="1:19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</row>
    <row r="214" spans="1:19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</row>
    <row r="215" spans="1:19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</row>
    <row r="216" spans="1:19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</row>
    <row r="217" spans="1:19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</row>
    <row r="218" spans="1:19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</row>
    <row r="219" spans="1: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</row>
    <row r="220" spans="1:19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</row>
    <row r="221" spans="1:19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</row>
    <row r="222" spans="1:19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</row>
    <row r="223" spans="1:19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</row>
    <row r="224" spans="1:19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spans="1:19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</row>
    <row r="226" spans="1:19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</row>
    <row r="227" spans="1:19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</row>
    <row r="228" spans="1:19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</row>
    <row r="229" spans="1:1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</row>
    <row r="230" spans="1:19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</row>
    <row r="231" spans="1:19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</row>
    <row r="232" spans="1:19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</row>
    <row r="233" spans="1:19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</row>
    <row r="234" spans="1:19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</row>
    <row r="235" spans="1:19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spans="1:19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</row>
    <row r="237" spans="1:19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</row>
    <row r="238" spans="1:19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</row>
    <row r="239" spans="1:1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</row>
    <row r="240" spans="1:19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</row>
    <row r="241" spans="1:19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</row>
    <row r="242" spans="1:19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</row>
    <row r="243" spans="1:19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</row>
    <row r="244" spans="1:19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</row>
    <row r="245" spans="1:19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</row>
    <row r="246" spans="1:19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</row>
    <row r="247" spans="1:19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</row>
    <row r="248" spans="1:19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</row>
    <row r="249" spans="1:1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</row>
    <row r="250" spans="1:19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</row>
    <row r="251" spans="1:19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</row>
    <row r="252" spans="1:19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</row>
    <row r="253" spans="1:19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</row>
    <row r="254" spans="1:19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</row>
    <row r="255" spans="1:19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</row>
    <row r="256" spans="1:19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</row>
    <row r="257" spans="1:19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</row>
    <row r="258" spans="1:19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</row>
    <row r="259" spans="1:1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</row>
    <row r="260" spans="1:19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</row>
    <row r="261" spans="1:19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</row>
    <row r="262" spans="1:19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</row>
    <row r="263" spans="1:19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</row>
    <row r="264" spans="1:19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</row>
    <row r="265" spans="1:19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</row>
    <row r="266" spans="1:19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</row>
    <row r="267" spans="1:19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</row>
    <row r="268" spans="1:19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</row>
    <row r="269" spans="1:1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</row>
    <row r="270" spans="1:19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</row>
    <row r="271" spans="1:19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</row>
    <row r="272" spans="1:19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</row>
    <row r="273" spans="1:19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</row>
    <row r="274" spans="1:19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</row>
    <row r="275" spans="1:19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</row>
    <row r="276" spans="1:19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</row>
    <row r="277" spans="1:19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</row>
    <row r="278" spans="1:19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</row>
    <row r="279" spans="1:1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</row>
    <row r="280" spans="1:19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</row>
    <row r="281" spans="1:19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</row>
    <row r="282" spans="1:19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</row>
    <row r="283" spans="1:19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</row>
    <row r="284" spans="1:19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</row>
    <row r="285" spans="1:19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</row>
    <row r="286" spans="1:19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</row>
    <row r="287" spans="1:19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</row>
    <row r="288" spans="1:19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</row>
    <row r="289" spans="1:1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</row>
    <row r="290" spans="1:19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</row>
    <row r="291" spans="1:19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</row>
    <row r="292" spans="1:19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</row>
    <row r="293" spans="1:19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</row>
    <row r="294" spans="1:19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</row>
    <row r="295" spans="1:19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</row>
    <row r="296" spans="1:19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</row>
    <row r="297" spans="1:19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</row>
    <row r="298" spans="1:19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</row>
    <row r="299" spans="1:1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</row>
    <row r="300" spans="1:19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</row>
    <row r="301" spans="1:19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</row>
    <row r="302" spans="1:19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</row>
    <row r="303" spans="1:19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</row>
    <row r="304" spans="1:19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</row>
    <row r="305" spans="1:19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</row>
    <row r="306" spans="1:19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</row>
    <row r="307" spans="1:19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</row>
    <row r="308" spans="1:19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</row>
    <row r="309" spans="1:1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</row>
    <row r="310" spans="1:19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</row>
    <row r="311" spans="1:19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</row>
    <row r="312" spans="1:19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</row>
    <row r="313" spans="1:19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</row>
    <row r="314" spans="1:19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</row>
    <row r="315" spans="1:19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</row>
    <row r="316" spans="1:19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</row>
    <row r="317" spans="1:19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</row>
    <row r="318" spans="1:19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</row>
    <row r="319" spans="1: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</row>
    <row r="320" spans="1:19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</row>
    <row r="321" spans="1:19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</row>
    <row r="322" spans="1:19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</row>
    <row r="323" spans="1:19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</row>
    <row r="324" spans="1:19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</row>
    <row r="325" spans="1:19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</row>
    <row r="326" spans="1:19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</row>
    <row r="327" spans="1:19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</row>
    <row r="328" spans="1:19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</row>
    <row r="329" spans="1:1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</row>
    <row r="330" spans="1:19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</row>
    <row r="331" spans="1:19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</row>
    <row r="332" spans="1:19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</row>
    <row r="333" spans="1:19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</row>
    <row r="334" spans="1:19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</row>
    <row r="335" spans="1:19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</row>
    <row r="336" spans="1:19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</row>
    <row r="337" spans="1:19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</row>
    <row r="338" spans="1:19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</row>
    <row r="339" spans="1:1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</row>
    <row r="340" spans="1:19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</row>
    <row r="341" spans="1:19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</row>
    <row r="342" spans="1:19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</row>
    <row r="343" spans="1:19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</row>
    <row r="344" spans="1:19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</row>
    <row r="345" spans="1:19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</row>
    <row r="346" spans="1:19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</row>
    <row r="347" spans="1:19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</row>
    <row r="348" spans="1:19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</row>
    <row r="349" spans="1:1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</row>
    <row r="350" spans="1:19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</row>
    <row r="351" spans="1:19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</row>
    <row r="352" spans="1:19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</row>
    <row r="353" spans="1:19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</row>
    <row r="354" spans="1:19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</row>
    <row r="355" spans="1:19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</row>
    <row r="356" spans="1:19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</row>
    <row r="357" spans="1:19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</row>
    <row r="358" spans="1:19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</row>
    <row r="359" spans="1:1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</row>
    <row r="360" spans="1:19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</row>
    <row r="361" spans="1:19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</row>
    <row r="362" spans="1:19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</row>
    <row r="363" spans="1:19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</row>
    <row r="364" spans="1:19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</row>
    <row r="365" spans="1:19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</row>
    <row r="366" spans="1:19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</row>
    <row r="367" spans="1:19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</row>
    <row r="368" spans="1:19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</row>
    <row r="369" spans="1:1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</row>
    <row r="370" spans="1:19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</row>
    <row r="371" spans="1:19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</row>
    <row r="372" spans="1:19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</row>
    <row r="373" spans="1:19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</row>
    <row r="374" spans="1:19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</row>
    <row r="375" spans="1:19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</row>
    <row r="376" spans="1:19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</row>
    <row r="377" spans="1:19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</row>
    <row r="378" spans="1:19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</row>
    <row r="379" spans="1:1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</row>
    <row r="380" spans="1:19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</row>
    <row r="381" spans="1:19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</row>
    <row r="382" spans="1:19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</row>
    <row r="383" spans="1:19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</row>
    <row r="384" spans="1:19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</row>
    <row r="385" spans="1:19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</row>
    <row r="386" spans="1:19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</row>
    <row r="387" spans="1:19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</row>
    <row r="388" spans="1:19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</row>
    <row r="389" spans="1:1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</row>
    <row r="390" spans="1:19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</row>
    <row r="391" spans="1:19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</row>
    <row r="392" spans="1:19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</row>
    <row r="393" spans="1:19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</row>
    <row r="394" spans="1:19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</row>
    <row r="395" spans="1:19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</row>
    <row r="396" spans="1:19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</row>
    <row r="397" spans="1:19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</row>
    <row r="398" spans="1:19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</row>
    <row r="399" spans="1:1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</row>
    <row r="400" spans="1:19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</row>
    <row r="401" spans="1:19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</row>
    <row r="402" spans="1:19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</row>
    <row r="403" spans="1:19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</row>
    <row r="404" spans="1:19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</row>
    <row r="405" spans="1:19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</row>
    <row r="406" spans="1:19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</row>
    <row r="407" spans="1:19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</row>
    <row r="408" spans="1:19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</row>
    <row r="409" spans="1:1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</row>
    <row r="410" spans="1:19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</row>
    <row r="411" spans="1:19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</row>
    <row r="412" spans="1:19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</row>
    <row r="413" spans="1:19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</row>
    <row r="414" spans="1:19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</row>
    <row r="415" spans="1:19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</row>
    <row r="416" spans="1:19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</row>
    <row r="417" spans="1:19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</row>
    <row r="418" spans="1:19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</row>
    <row r="419" spans="1: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</row>
    <row r="420" spans="1:19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</row>
    <row r="421" spans="1:19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</row>
    <row r="422" spans="1:19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</row>
    <row r="423" spans="1:19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</row>
    <row r="424" spans="1:19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</row>
    <row r="425" spans="1:19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</row>
    <row r="426" spans="1:19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</row>
    <row r="427" spans="1:19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</row>
    <row r="428" spans="1:19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</row>
    <row r="429" spans="1:1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</row>
    <row r="430" spans="1:19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</row>
    <row r="431" spans="1:19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</row>
    <row r="432" spans="1:19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</row>
    <row r="433" spans="1:19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</row>
    <row r="434" spans="1:19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</row>
    <row r="435" spans="1:19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</row>
    <row r="436" spans="1:19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</row>
    <row r="437" spans="1:19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</row>
    <row r="438" spans="1:19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</row>
    <row r="439" spans="1:1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</row>
    <row r="440" spans="1:19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</row>
    <row r="441" spans="1:19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</row>
    <row r="442" spans="1:19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</row>
    <row r="443" spans="1:19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</row>
    <row r="444" spans="1:19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</row>
    <row r="445" spans="1:19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</row>
    <row r="446" spans="1:19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</row>
    <row r="447" spans="1:19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</row>
    <row r="448" spans="1:19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</row>
    <row r="449" spans="1:1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</row>
    <row r="450" spans="1:19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</row>
    <row r="451" spans="1:19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</row>
    <row r="452" spans="1:19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</row>
    <row r="453" spans="1:19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</row>
    <row r="454" spans="1:19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</row>
    <row r="455" spans="1:19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</row>
    <row r="456" spans="1:19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</row>
    <row r="457" spans="1:19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</row>
    <row r="458" spans="1:19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</row>
    <row r="459" spans="1:1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</row>
    <row r="460" spans="1:19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</row>
    <row r="461" spans="1:19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</row>
    <row r="462" spans="1:19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</row>
    <row r="463" spans="1:19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</row>
    <row r="464" spans="1:19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</row>
    <row r="465" spans="1:19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</row>
    <row r="466" spans="1:19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</row>
    <row r="467" spans="1:19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</row>
    <row r="468" spans="1:19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</row>
    <row r="469" spans="1:1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</row>
    <row r="470" spans="1:19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</row>
    <row r="471" spans="1:19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</row>
    <row r="472" spans="1:19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</row>
    <row r="473" spans="1:19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</row>
    <row r="474" spans="1:19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</row>
    <row r="475" spans="1:19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</row>
    <row r="476" spans="1:19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</row>
    <row r="477" spans="1:19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</row>
    <row r="478" spans="1:19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</row>
    <row r="479" spans="1:1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</row>
    <row r="480" spans="1:19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</row>
    <row r="481" spans="1:19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</row>
    <row r="482" spans="1:19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</row>
    <row r="483" spans="1:19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</row>
    <row r="484" spans="1:19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</row>
    <row r="485" spans="1:19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</row>
    <row r="486" spans="1:19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</row>
    <row r="487" spans="1:19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</row>
    <row r="488" spans="1:19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</row>
    <row r="489" spans="1:1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</row>
    <row r="490" spans="1:19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</row>
    <row r="491" spans="1:19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</row>
    <row r="492" spans="1:19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</row>
    <row r="493" spans="1:19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</row>
    <row r="494" spans="1:19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</row>
    <row r="495" spans="1:19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</row>
    <row r="496" spans="1:19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</row>
    <row r="497" spans="1:19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</row>
    <row r="498" spans="1:19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</row>
    <row r="499" spans="1:1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</row>
    <row r="500" spans="1:19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</row>
    <row r="501" spans="1:19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</row>
    <row r="502" spans="1:19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</row>
    <row r="503" spans="1:19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</row>
    <row r="504" spans="1:19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</row>
    <row r="505" spans="1:19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</row>
    <row r="506" spans="1:19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</row>
    <row r="507" spans="1:19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</row>
    <row r="508" spans="1:19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</row>
    <row r="509" spans="1:1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</row>
    <row r="510" spans="1:19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</row>
    <row r="511" spans="1:19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</row>
    <row r="512" spans="1:19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</row>
    <row r="513" spans="1:19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</row>
    <row r="514" spans="1:19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</row>
    <row r="515" spans="1:19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</row>
    <row r="516" spans="1:19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</row>
    <row r="517" spans="1:19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</row>
    <row r="518" spans="1:19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</row>
    <row r="519" spans="1: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</row>
    <row r="520" spans="1:19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</row>
    <row r="521" spans="1:19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</row>
    <row r="522" spans="1:19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</row>
    <row r="523" spans="1:19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</row>
    <row r="524" spans="1:19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</row>
    <row r="525" spans="1:19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</row>
    <row r="526" spans="1:19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</row>
    <row r="527" spans="1:19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</row>
    <row r="528" spans="1:19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</row>
    <row r="529" spans="1:1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</row>
    <row r="530" spans="1:19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</row>
    <row r="531" spans="1:19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</row>
    <row r="532" spans="1:19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</row>
    <row r="533" spans="1:19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</row>
    <row r="534" spans="1:19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</row>
    <row r="535" spans="1:19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</row>
    <row r="536" spans="1:19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</row>
    <row r="537" spans="1:19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</row>
    <row r="538" spans="1:19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</row>
    <row r="539" spans="1:1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</row>
    <row r="540" spans="1:19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</row>
    <row r="541" spans="1:19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</row>
    <row r="542" spans="1:19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</row>
    <row r="543" spans="1:19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</row>
    <row r="544" spans="1:19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</row>
    <row r="545" spans="1:19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</row>
    <row r="546" spans="1:19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</row>
    <row r="547" spans="1:19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</row>
    <row r="548" spans="1:19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</row>
    <row r="549" spans="1:1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</row>
    <row r="550" spans="1:19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</row>
    <row r="551" spans="1:19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</row>
    <row r="552" spans="1:19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</row>
    <row r="553" spans="1:19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</row>
    <row r="554" spans="1:19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</row>
    <row r="555" spans="1:19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</row>
    <row r="556" spans="1:19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</row>
    <row r="557" spans="1:19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</row>
    <row r="558" spans="1:19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</row>
    <row r="559" spans="1:1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</row>
    <row r="560" spans="1:19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</row>
    <row r="561" spans="1:19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</row>
    <row r="562" spans="1:19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</row>
    <row r="563" spans="1:19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</row>
    <row r="564" spans="1:19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</row>
    <row r="565" spans="1:19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</row>
    <row r="566" spans="1:19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</row>
    <row r="567" spans="1:19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</row>
    <row r="568" spans="1:19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</row>
    <row r="569" spans="1:1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</row>
    <row r="570" spans="1:19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</row>
    <row r="571" spans="1:19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</row>
    <row r="572" spans="1:19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</row>
    <row r="573" spans="1:19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</row>
    <row r="574" spans="1:19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</row>
    <row r="575" spans="1:19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</row>
    <row r="576" spans="1:19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</row>
    <row r="577" spans="1:19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</row>
    <row r="578" spans="1:19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</row>
    <row r="579" spans="1:1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</row>
    <row r="580" spans="1:19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</row>
    <row r="581" spans="1:19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</row>
    <row r="582" spans="1:19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</row>
    <row r="583" spans="1:19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</row>
    <row r="584" spans="1:19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</row>
    <row r="585" spans="1:19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</row>
    <row r="586" spans="1:19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</row>
    <row r="587" spans="1:19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</row>
    <row r="588" spans="1:19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</row>
    <row r="589" spans="1:1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</row>
    <row r="590" spans="1:19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</row>
    <row r="591" spans="1:19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</row>
    <row r="592" spans="1:19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</row>
    <row r="593" spans="1:19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</row>
    <row r="594" spans="1:19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</row>
    <row r="595" spans="1:19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</row>
    <row r="596" spans="1:19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</row>
    <row r="597" spans="1:19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</row>
    <row r="598" spans="1:19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</row>
    <row r="599" spans="1:1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</row>
    <row r="600" spans="1:19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</row>
    <row r="601" spans="1:19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</row>
    <row r="602" spans="1:19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</row>
    <row r="603" spans="1:19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</row>
    <row r="604" spans="1:19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</row>
    <row r="605" spans="1:19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</row>
    <row r="606" spans="1:19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</row>
    <row r="607" spans="1:19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</row>
    <row r="608" spans="1:19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</row>
    <row r="609" spans="1:1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</row>
    <row r="610" spans="1:19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</row>
    <row r="611" spans="1:19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</row>
    <row r="612" spans="1:19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</row>
    <row r="613" spans="1:19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</row>
    <row r="614" spans="1:19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</row>
    <row r="615" spans="1:19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</row>
    <row r="616" spans="1:19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</row>
    <row r="617" spans="1:19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</row>
    <row r="618" spans="1:19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</row>
    <row r="619" spans="1: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</row>
    <row r="620" spans="1:19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</row>
    <row r="621" spans="1:19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</row>
    <row r="622" spans="1:19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</row>
    <row r="623" spans="1:19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</row>
    <row r="624" spans="1:19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</row>
    <row r="625" spans="1:19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</row>
    <row r="626" spans="1:19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</row>
    <row r="627" spans="1:19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</row>
    <row r="628" spans="1:19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</row>
    <row r="629" spans="1:1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</row>
    <row r="630" spans="1:19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</row>
    <row r="631" spans="1:19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</row>
    <row r="632" spans="1:19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</row>
    <row r="633" spans="1:19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</row>
    <row r="634" spans="1:19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</row>
    <row r="635" spans="1:19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</row>
    <row r="636" spans="1:19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</row>
    <row r="637" spans="1:19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</row>
    <row r="638" spans="1:19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</row>
    <row r="639" spans="1:1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</row>
    <row r="640" spans="1:19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</row>
    <row r="641" spans="1:19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</row>
    <row r="642" spans="1:19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</row>
    <row r="643" spans="1:19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</row>
    <row r="644" spans="1:19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</row>
    <row r="645" spans="1:19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</row>
    <row r="646" spans="1:19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</row>
    <row r="647" spans="1:19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</row>
    <row r="648" spans="1:19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</row>
    <row r="649" spans="1:1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</row>
    <row r="650" spans="1:19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</row>
    <row r="651" spans="1:19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</row>
    <row r="652" spans="1:19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</row>
    <row r="653" spans="1:19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</row>
    <row r="654" spans="1:19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</row>
    <row r="655" spans="1:19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</row>
    <row r="656" spans="1:19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</row>
    <row r="657" spans="1:19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</row>
    <row r="658" spans="1:19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</row>
    <row r="659" spans="1:1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</row>
    <row r="660" spans="1:19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</row>
    <row r="661" spans="1:19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</row>
    <row r="662" spans="1:19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</row>
    <row r="663" spans="1:19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</row>
    <row r="664" spans="1:19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</row>
    <row r="665" spans="1:19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</row>
    <row r="666" spans="1:19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</row>
    <row r="667" spans="1:19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</row>
    <row r="668" spans="1:19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</row>
    <row r="669" spans="1:1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</row>
    <row r="670" spans="1:19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</row>
    <row r="671" spans="1:19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</row>
    <row r="672" spans="1:19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</row>
    <row r="673" spans="1:19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</row>
    <row r="674" spans="1:19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</row>
    <row r="675" spans="1:19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</row>
    <row r="676" spans="1:19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</row>
    <row r="677" spans="1:19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</row>
    <row r="678" spans="1:19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</row>
    <row r="679" spans="1:1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</row>
    <row r="680" spans="1:19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</row>
    <row r="681" spans="1:19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</row>
    <row r="682" spans="1:19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</row>
    <row r="683" spans="1:19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</row>
    <row r="684" spans="1:19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</row>
    <row r="685" spans="1:19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</row>
    <row r="686" spans="1:19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</row>
    <row r="687" spans="1:19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</row>
    <row r="688" spans="1:19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</row>
    <row r="689" spans="1:1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</row>
    <row r="690" spans="1:19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</row>
    <row r="691" spans="1:19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</row>
    <row r="692" spans="1:19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</row>
    <row r="693" spans="1:19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</row>
    <row r="694" spans="1:19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</row>
    <row r="695" spans="1:19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</row>
    <row r="696" spans="1:19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</row>
    <row r="697" spans="1:19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</row>
    <row r="698" spans="1:19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</row>
    <row r="699" spans="1:1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</row>
    <row r="700" spans="1:19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</row>
    <row r="701" spans="1:19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</row>
    <row r="702" spans="1:19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</row>
    <row r="703" spans="1:19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</row>
    <row r="704" spans="1:19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</row>
    <row r="705" spans="1:19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</row>
    <row r="706" spans="1:19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</row>
    <row r="707" spans="1:19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</row>
    <row r="708" spans="1:19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</row>
    <row r="709" spans="1:1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</row>
    <row r="710" spans="1:19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</row>
    <row r="711" spans="1:19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</row>
    <row r="712" spans="1:19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</row>
    <row r="713" spans="1:19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</row>
    <row r="714" spans="1:19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</row>
    <row r="715" spans="1:19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</row>
    <row r="716" spans="1:19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</row>
    <row r="717" spans="1:19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</row>
    <row r="718" spans="1:19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</row>
    <row r="719" spans="1: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</row>
    <row r="720" spans="1:19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</row>
    <row r="721" spans="1:19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</row>
    <row r="722" spans="1:19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</row>
    <row r="723" spans="1:19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</row>
    <row r="724" spans="1:19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</row>
    <row r="725" spans="1:19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</row>
    <row r="726" spans="1:19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</row>
    <row r="727" spans="1:19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</row>
    <row r="728" spans="1:19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</row>
    <row r="729" spans="1:1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</row>
    <row r="730" spans="1:19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</row>
    <row r="731" spans="1:19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</row>
    <row r="732" spans="1:19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</row>
    <row r="733" spans="1:19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</row>
    <row r="734" spans="1:19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</row>
    <row r="735" spans="1:19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</row>
    <row r="736" spans="1:19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</row>
    <row r="737" spans="1:19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</row>
    <row r="738" spans="1:19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</row>
    <row r="739" spans="1:1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</row>
    <row r="740" spans="1:19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</row>
    <row r="741" spans="1:19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</row>
    <row r="742" spans="1:19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</row>
    <row r="743" spans="1:19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</row>
    <row r="744" spans="1:19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</row>
    <row r="745" spans="1:19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</row>
    <row r="746" spans="1:19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</row>
    <row r="747" spans="1:19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</row>
    <row r="748" spans="1:19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</row>
    <row r="749" spans="1:1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</row>
    <row r="750" spans="1:19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</row>
    <row r="751" spans="1:19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</row>
    <row r="752" spans="1:19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</row>
    <row r="753" spans="1:19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</row>
    <row r="754" spans="1:19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</row>
    <row r="755" spans="1:19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</row>
    <row r="756" spans="1:19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</row>
    <row r="757" spans="1:19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</row>
    <row r="758" spans="1:19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</row>
    <row r="759" spans="1:1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</row>
    <row r="760" spans="1:19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</row>
    <row r="761" spans="1:19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</row>
    <row r="762" spans="1:19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</row>
    <row r="763" spans="1:19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</row>
    <row r="764" spans="1:19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</row>
    <row r="765" spans="1:19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</row>
    <row r="766" spans="1:19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</row>
    <row r="767" spans="1:19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</row>
    <row r="768" spans="1:19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</row>
    <row r="769" spans="1:1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</row>
    <row r="770" spans="1:19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</row>
    <row r="771" spans="1:19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</row>
    <row r="772" spans="1:19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</row>
    <row r="773" spans="1:19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</row>
    <row r="774" spans="1:19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</row>
    <row r="775" spans="1:19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</row>
    <row r="776" spans="1:19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</row>
    <row r="777" spans="1:19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</row>
    <row r="778" spans="1:19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</row>
    <row r="779" spans="1:1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</row>
    <row r="780" spans="1:19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</row>
    <row r="781" spans="1:19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</row>
    <row r="782" spans="1:19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</row>
    <row r="783" spans="1:19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</row>
    <row r="784" spans="1:19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</row>
    <row r="785" spans="1:19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</row>
    <row r="786" spans="1:19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</row>
    <row r="787" spans="1:19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</row>
    <row r="788" spans="1:19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</row>
    <row r="789" spans="1:1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</row>
    <row r="790" spans="1:19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</row>
    <row r="791" spans="1:19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</row>
    <row r="792" spans="1:19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</row>
    <row r="793" spans="1:19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</row>
    <row r="794" spans="1:19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</row>
    <row r="795" spans="1:19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</row>
    <row r="796" spans="1:19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</row>
    <row r="797" spans="1:19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</row>
    <row r="798" spans="1:19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</row>
    <row r="799" spans="1:1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</row>
    <row r="800" spans="1:19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</row>
    <row r="801" spans="1:19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</row>
    <row r="802" spans="1:19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</row>
    <row r="803" spans="1:19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</row>
    <row r="804" spans="1:19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</row>
    <row r="805" spans="1:19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</row>
    <row r="806" spans="1:19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</row>
    <row r="807" spans="1:19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</row>
    <row r="808" spans="1:19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</row>
    <row r="809" spans="1:1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</row>
    <row r="810" spans="1:19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</row>
    <row r="811" spans="1:19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</row>
    <row r="812" spans="1:19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</row>
    <row r="813" spans="1:19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</row>
    <row r="814" spans="1:19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</row>
    <row r="815" spans="1:19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</row>
    <row r="816" spans="1:19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</row>
    <row r="817" spans="1:19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</row>
    <row r="818" spans="1:19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</row>
    <row r="819" spans="1: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</row>
    <row r="820" spans="1:19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</row>
    <row r="821" spans="1:19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</row>
    <row r="822" spans="1:19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</row>
    <row r="823" spans="1:19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</row>
    <row r="824" spans="1:19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</row>
    <row r="825" spans="1:19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</row>
    <row r="826" spans="1:19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</row>
    <row r="827" spans="1:19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</row>
    <row r="828" spans="1:19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</row>
    <row r="829" spans="1:1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</row>
    <row r="830" spans="1:19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</row>
    <row r="831" spans="1:19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</row>
    <row r="832" spans="1:19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</row>
    <row r="833" spans="1:19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</row>
    <row r="834" spans="1:19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</row>
    <row r="835" spans="1:19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</row>
    <row r="836" spans="1:19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</row>
    <row r="837" spans="1:19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</row>
    <row r="838" spans="1:19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</row>
    <row r="839" spans="1:1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</row>
    <row r="840" spans="1:19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</row>
    <row r="841" spans="1:19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</row>
    <row r="842" spans="1:19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</row>
    <row r="843" spans="1:19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</row>
    <row r="844" spans="1:19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</row>
    <row r="845" spans="1:19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</row>
    <row r="846" spans="1:19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</row>
    <row r="847" spans="1:19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</row>
    <row r="848" spans="1:19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</row>
    <row r="849" spans="1:1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</row>
    <row r="850" spans="1:19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</row>
    <row r="851" spans="1:19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</row>
    <row r="852" spans="1:19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</row>
    <row r="853" spans="1:19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</row>
    <row r="854" spans="1:19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</row>
    <row r="855" spans="1:19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</row>
    <row r="856" spans="1:19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</row>
    <row r="857" spans="1:19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</row>
    <row r="858" spans="1:19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</row>
    <row r="859" spans="1:1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</row>
    <row r="860" spans="1:19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</row>
    <row r="861" spans="1:19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</row>
    <row r="862" spans="1:19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</row>
    <row r="863" spans="1:19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</row>
    <row r="864" spans="1:19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</row>
    <row r="865" spans="1:19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</row>
    <row r="866" spans="1:19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</row>
    <row r="867" spans="1:19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</row>
    <row r="868" spans="1:19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</row>
    <row r="869" spans="1:1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</row>
    <row r="870" spans="1:19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</row>
    <row r="871" spans="1:19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</row>
    <row r="872" spans="1:19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</row>
    <row r="873" spans="1:19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</row>
    <row r="874" spans="1:19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</row>
    <row r="875" spans="1:19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</row>
    <row r="876" spans="1:19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</row>
    <row r="877" spans="1:19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</row>
    <row r="878" spans="1:19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</row>
    <row r="879" spans="1:1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</row>
    <row r="880" spans="1:19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</row>
    <row r="881" spans="1:19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</row>
    <row r="882" spans="1:19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</row>
    <row r="883" spans="1:19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</row>
    <row r="884" spans="1:19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</row>
    <row r="885" spans="1:19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</row>
    <row r="886" spans="1:19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</row>
    <row r="887" spans="1:19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</row>
    <row r="888" spans="1:19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</row>
    <row r="889" spans="1:1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</row>
    <row r="890" spans="1:19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</row>
    <row r="891" spans="1:19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</row>
    <row r="892" spans="1:19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</row>
    <row r="893" spans="1:19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</row>
    <row r="894" spans="1:19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</row>
    <row r="895" spans="1:19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</row>
    <row r="896" spans="1:19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</row>
    <row r="897" spans="1:19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</row>
    <row r="898" spans="1:19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</row>
    <row r="899" spans="1:1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</row>
    <row r="900" spans="1:19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</row>
    <row r="901" spans="1:19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</row>
    <row r="902" spans="1:19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</row>
    <row r="903" spans="1:19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</row>
    <row r="904" spans="1:19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</row>
    <row r="905" spans="1:19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</row>
    <row r="906" spans="1:19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</row>
    <row r="907" spans="1:19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</row>
    <row r="908" spans="1:19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</row>
    <row r="909" spans="1:1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</row>
    <row r="910" spans="1:19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</row>
    <row r="911" spans="1:19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</row>
    <row r="912" spans="1:19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</row>
    <row r="913" spans="1:19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</row>
    <row r="914" spans="1:19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</row>
    <row r="915" spans="1:19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</row>
    <row r="916" spans="1:19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</row>
    <row r="917" spans="1:19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</row>
    <row r="918" spans="1:19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</row>
    <row r="919" spans="1: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</row>
    <row r="920" spans="1:19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</row>
    <row r="921" spans="1:19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</row>
    <row r="922" spans="1:19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</row>
    <row r="923" spans="1:19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</row>
    <row r="924" spans="1:19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</row>
    <row r="925" spans="1:19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</row>
    <row r="926" spans="1:19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</row>
    <row r="927" spans="1:19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</row>
    <row r="928" spans="1:19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</row>
    <row r="929" spans="1:1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</row>
    <row r="930" spans="1:19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</row>
    <row r="931" spans="1:19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</row>
    <row r="932" spans="1:19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</row>
    <row r="933" spans="1:19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</row>
    <row r="934" spans="1:19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</row>
    <row r="935" spans="1:19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</row>
    <row r="936" spans="1:19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</row>
    <row r="937" spans="1:19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</row>
    <row r="938" spans="1:19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</row>
    <row r="939" spans="1:1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</row>
    <row r="940" spans="1:19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</row>
    <row r="941" spans="1:19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</row>
    <row r="942" spans="1:19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</row>
    <row r="943" spans="1:19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</row>
    <row r="944" spans="1:19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</row>
    <row r="945" spans="1:19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</row>
    <row r="946" spans="1:19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</row>
    <row r="947" spans="1:19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</row>
    <row r="948" spans="1:19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</row>
    <row r="949" spans="1:1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</row>
    <row r="950" spans="1:19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</row>
    <row r="951" spans="1:19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</row>
    <row r="952" spans="1:19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</row>
    <row r="953" spans="1:19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</row>
    <row r="954" spans="1:19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</row>
    <row r="955" spans="1:19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</row>
    <row r="956" spans="1:19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</row>
    <row r="957" spans="1:19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</row>
    <row r="958" spans="1:19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</row>
    <row r="959" spans="1:1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</row>
    <row r="960" spans="1:19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</row>
    <row r="961" spans="1:19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</row>
    <row r="962" spans="1:19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</row>
    <row r="963" spans="1:19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</row>
    <row r="964" spans="1:19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</row>
    <row r="965" spans="1:19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</row>
    <row r="966" spans="1:19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</row>
    <row r="967" spans="1:19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</row>
    <row r="968" spans="1:19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</row>
    <row r="969" spans="1:1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</row>
    <row r="970" spans="1:19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</row>
    <row r="971" spans="1:19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</row>
    <row r="972" spans="1:19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</row>
    <row r="973" spans="1:19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</row>
    <row r="974" spans="1:19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</row>
    <row r="975" spans="1:19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</row>
    <row r="976" spans="1:19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</row>
    <row r="977" spans="1:19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</row>
    <row r="978" spans="1:19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</row>
    <row r="979" spans="1:1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</row>
    <row r="980" spans="1:19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</row>
    <row r="981" spans="1:19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</row>
    <row r="982" spans="1:19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</row>
    <row r="983" spans="1:19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</row>
    <row r="984" spans="1:19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</row>
    <row r="985" spans="1:19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</row>
    <row r="986" spans="1:19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</row>
    <row r="987" spans="1:19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</row>
    <row r="988" spans="1:19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</row>
    <row r="989" spans="1:1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</row>
    <row r="990" spans="1:19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</row>
    <row r="991" spans="1:19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</row>
    <row r="992" spans="1:19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</row>
    <row r="993" spans="1:19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</row>
    <row r="994" spans="1:19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</row>
    <row r="995" spans="1:19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</row>
    <row r="996" spans="1:19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</row>
    <row r="997" spans="1:19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</row>
    <row r="998" spans="1:19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</row>
    <row r="999" spans="1:1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</row>
    <row r="1000" spans="1:19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</row>
    <row r="1001" spans="1:19" ht="15.75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</row>
  </sheetData>
  <mergeCells count="1">
    <mergeCell ref="A1:A2"/>
  </mergeCells>
  <hyperlinks>
    <hyperlink ref="R12" r:id="rId1" location="data/FO" xr:uid="{00000000-0004-0000-0700-000000000000}"/>
    <hyperlink ref="R13" r:id="rId2" location="data/FO" xr:uid="{00000000-0004-0000-0700-000001000000}"/>
    <hyperlink ref="R14" r:id="rId3" location="data/FO" xr:uid="{00000000-0004-0000-0700-000002000000}"/>
    <hyperlink ref="R16" r:id="rId4" xr:uid="{00000000-0004-0000-0700-000003000000}"/>
    <hyperlink ref="R17" r:id="rId5" xr:uid="{00000000-0004-0000-0700-000004000000}"/>
    <hyperlink ref="R18" r:id="rId6" xr:uid="{00000000-0004-0000-0700-000005000000}"/>
    <hyperlink ref="R21" r:id="rId7" xr:uid="{00000000-0004-0000-0700-000007000000}"/>
    <hyperlink ref="R22" r:id="rId8" xr:uid="{00000000-0004-0000-0700-000008000000}"/>
    <hyperlink ref="R23" r:id="rId9" xr:uid="{00000000-0004-0000-0700-000009000000}"/>
    <hyperlink ref="R24" r:id="rId10" xr:uid="{00000000-0004-0000-0700-00000A000000}"/>
    <hyperlink ref="R25" r:id="rId11" location="data/FO" xr:uid="{00000000-0004-0000-0700-00000B000000}"/>
    <hyperlink ref="R26" r:id="rId12" xr:uid="{00000000-0004-0000-0700-00000C000000}"/>
    <hyperlink ref="R27" r:id="rId13" location="data/FO" xr:uid="{00000000-0004-0000-0700-00000D000000}"/>
    <hyperlink ref="R28" r:id="rId14" location="data/FO" xr:uid="{00000000-0004-0000-0700-00000E000000}"/>
    <hyperlink ref="R31" r:id="rId15" location="tab=Tables" xr:uid="{00000000-0004-0000-0700-00000F000000}"/>
    <hyperlink ref="R20" r:id="rId16" xr:uid="{9C2B9B72-D82F-4572-BD78-CBAD785E58E0}"/>
    <hyperlink ref="R15" r:id="rId17" location="table_data" xr:uid="{85617D42-DB6A-4DBC-B74B-467290C6B80E}"/>
  </hyperlinks>
  <pageMargins left="0.7" right="0.7" top="0.75" bottom="0.75" header="0" footer="0"/>
  <pageSetup orientation="portrait"/>
  <drawing r:id="rId1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8306C"/>
  </sheetPr>
  <dimension ref="A1:AE998"/>
  <sheetViews>
    <sheetView zoomScale="85" zoomScaleNormal="85" workbookViewId="0">
      <pane xSplit="1" ySplit="3" topLeftCell="E10" activePane="bottomRight" state="frozen"/>
      <selection pane="topRight" activeCell="B1" sqref="B1"/>
      <selection pane="bottomLeft" activeCell="A4" sqref="A4"/>
      <selection pane="bottomRight" activeCell="R4" sqref="R4"/>
    </sheetView>
  </sheetViews>
  <sheetFormatPr defaultColWidth="14.42578125" defaultRowHeight="15" customHeight="1"/>
  <cols>
    <col min="1" max="1" width="78.5703125" customWidth="1"/>
    <col min="2" max="16" width="11.7109375" customWidth="1"/>
    <col min="17" max="17" width="17.140625" customWidth="1"/>
    <col min="18" max="18" width="62.85546875" customWidth="1"/>
    <col min="19" max="19" width="25.85546875" customWidth="1"/>
    <col min="20" max="31" width="70.7109375" customWidth="1"/>
  </cols>
  <sheetData>
    <row r="1" spans="1:31">
      <c r="A1" s="639" t="s">
        <v>167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>
      <c r="A2" s="640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</row>
    <row r="3" spans="1:31">
      <c r="A3" s="27" t="s">
        <v>19</v>
      </c>
      <c r="B3" s="324">
        <v>2010</v>
      </c>
      <c r="C3" s="324">
        <v>2011</v>
      </c>
      <c r="D3" s="324">
        <v>2012</v>
      </c>
      <c r="E3" s="324">
        <v>2013</v>
      </c>
      <c r="F3" s="324">
        <v>2014</v>
      </c>
      <c r="G3" s="324">
        <v>2015</v>
      </c>
      <c r="H3" s="324">
        <v>2016</v>
      </c>
      <c r="I3" s="324">
        <v>2017</v>
      </c>
      <c r="J3" s="324">
        <v>2018</v>
      </c>
      <c r="K3" s="324">
        <v>2019</v>
      </c>
      <c r="L3" s="324">
        <v>2020</v>
      </c>
      <c r="M3" s="324">
        <v>2021</v>
      </c>
      <c r="N3" s="324">
        <v>2022</v>
      </c>
      <c r="O3" s="324">
        <v>2023</v>
      </c>
      <c r="P3" s="324">
        <v>2024</v>
      </c>
      <c r="Q3" s="28" t="s">
        <v>20</v>
      </c>
      <c r="R3" s="28" t="s">
        <v>21</v>
      </c>
      <c r="S3" s="27" t="s">
        <v>22</v>
      </c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>
      <c r="A4" s="33" t="s">
        <v>168</v>
      </c>
      <c r="B4" s="293">
        <v>86</v>
      </c>
      <c r="C4" s="439">
        <v>85</v>
      </c>
      <c r="D4" s="293">
        <v>85</v>
      </c>
      <c r="E4" s="293">
        <v>84</v>
      </c>
      <c r="F4" s="439">
        <v>84</v>
      </c>
      <c r="G4" s="293">
        <v>78</v>
      </c>
      <c r="H4" s="293">
        <v>77</v>
      </c>
      <c r="I4" s="440">
        <v>76</v>
      </c>
      <c r="J4" s="293">
        <v>75</v>
      </c>
      <c r="K4" s="293">
        <v>75</v>
      </c>
      <c r="L4" s="293">
        <v>64</v>
      </c>
      <c r="M4" s="293">
        <v>98</v>
      </c>
      <c r="N4" s="293">
        <v>60</v>
      </c>
      <c r="O4" s="293">
        <v>61</v>
      </c>
      <c r="P4" s="293">
        <v>56</v>
      </c>
      <c r="Q4" s="32" t="s">
        <v>39</v>
      </c>
      <c r="R4" s="81" t="s">
        <v>169</v>
      </c>
      <c r="S4" s="32" t="s">
        <v>492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</row>
    <row r="5" spans="1:31">
      <c r="A5" s="33" t="s">
        <v>170</v>
      </c>
      <c r="B5" s="293">
        <v>2</v>
      </c>
      <c r="C5" s="293">
        <v>0</v>
      </c>
      <c r="D5" s="293">
        <v>2</v>
      </c>
      <c r="E5" s="293">
        <v>2</v>
      </c>
      <c r="F5" s="293">
        <v>1</v>
      </c>
      <c r="G5" s="293">
        <v>0</v>
      </c>
      <c r="H5" s="293">
        <v>0</v>
      </c>
      <c r="I5" s="293">
        <v>0</v>
      </c>
      <c r="J5" s="293">
        <v>0</v>
      </c>
      <c r="K5" s="293">
        <v>0</v>
      </c>
      <c r="L5" s="377">
        <v>1</v>
      </c>
      <c r="M5" s="441">
        <v>2</v>
      </c>
      <c r="N5" s="293">
        <v>2</v>
      </c>
      <c r="O5" s="293">
        <v>3</v>
      </c>
      <c r="P5" s="293">
        <v>2</v>
      </c>
      <c r="Q5" s="33" t="s">
        <v>39</v>
      </c>
      <c r="R5" s="49" t="s">
        <v>169</v>
      </c>
      <c r="S5" s="32" t="s">
        <v>492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</row>
    <row r="6" spans="1:31">
      <c r="A6" s="33" t="s">
        <v>171</v>
      </c>
      <c r="B6" s="293">
        <v>2</v>
      </c>
      <c r="C6" s="293">
        <v>2</v>
      </c>
      <c r="D6" s="293">
        <v>2</v>
      </c>
      <c r="E6" s="293">
        <v>2</v>
      </c>
      <c r="F6" s="293">
        <v>2</v>
      </c>
      <c r="G6" s="293">
        <v>2</v>
      </c>
      <c r="H6" s="293">
        <v>1</v>
      </c>
      <c r="I6" s="293">
        <v>1</v>
      </c>
      <c r="J6" s="293">
        <v>1</v>
      </c>
      <c r="K6" s="293">
        <v>0</v>
      </c>
      <c r="L6" s="442">
        <v>2</v>
      </c>
      <c r="M6" s="126">
        <v>2</v>
      </c>
      <c r="N6" s="293">
        <v>0</v>
      </c>
      <c r="O6" s="293">
        <v>0</v>
      </c>
      <c r="P6" s="293">
        <v>2</v>
      </c>
      <c r="Q6" s="33" t="s">
        <v>39</v>
      </c>
      <c r="R6" s="49" t="s">
        <v>169</v>
      </c>
      <c r="S6" s="32" t="s">
        <v>492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</row>
    <row r="7" spans="1:31">
      <c r="A7" s="33" t="s">
        <v>172</v>
      </c>
      <c r="B7" s="293">
        <v>11</v>
      </c>
      <c r="C7" s="293">
        <v>10</v>
      </c>
      <c r="D7" s="293">
        <v>11</v>
      </c>
      <c r="E7" s="293">
        <v>13</v>
      </c>
      <c r="F7" s="293">
        <v>8</v>
      </c>
      <c r="G7" s="293">
        <v>9</v>
      </c>
      <c r="H7" s="293">
        <v>11</v>
      </c>
      <c r="I7" s="293">
        <v>11</v>
      </c>
      <c r="J7" s="293">
        <v>20</v>
      </c>
      <c r="K7" s="293">
        <v>16</v>
      </c>
      <c r="L7" s="442">
        <v>11</v>
      </c>
      <c r="M7" s="126">
        <v>13</v>
      </c>
      <c r="N7" s="293">
        <v>2</v>
      </c>
      <c r="O7" s="293">
        <v>0</v>
      </c>
      <c r="P7" s="293">
        <v>4</v>
      </c>
      <c r="Q7" s="33" t="s">
        <v>39</v>
      </c>
      <c r="R7" s="49" t="s">
        <v>169</v>
      </c>
      <c r="S7" s="32" t="s">
        <v>492</v>
      </c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</row>
    <row r="8" spans="1:31">
      <c r="A8" s="33" t="s">
        <v>173</v>
      </c>
      <c r="B8" s="293">
        <v>20</v>
      </c>
      <c r="C8" s="293">
        <v>20</v>
      </c>
      <c r="D8" s="293">
        <v>16</v>
      </c>
      <c r="E8" s="293">
        <v>13</v>
      </c>
      <c r="F8" s="293">
        <v>15</v>
      </c>
      <c r="G8" s="293">
        <v>15</v>
      </c>
      <c r="H8" s="293">
        <v>15</v>
      </c>
      <c r="I8" s="293">
        <v>10</v>
      </c>
      <c r="J8" s="293">
        <v>16</v>
      </c>
      <c r="K8" s="293">
        <v>13</v>
      </c>
      <c r="L8" s="442">
        <v>14</v>
      </c>
      <c r="M8" s="126">
        <v>13</v>
      </c>
      <c r="N8" s="293">
        <v>14</v>
      </c>
      <c r="O8" s="293">
        <v>14</v>
      </c>
      <c r="P8" s="293">
        <v>14</v>
      </c>
      <c r="Q8" s="33" t="s">
        <v>39</v>
      </c>
      <c r="R8" s="49" t="s">
        <v>169</v>
      </c>
      <c r="S8" s="32" t="s">
        <v>492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</row>
    <row r="9" spans="1:31">
      <c r="A9" s="33" t="s">
        <v>174</v>
      </c>
      <c r="B9" s="293">
        <v>9</v>
      </c>
      <c r="C9" s="293">
        <v>9</v>
      </c>
      <c r="D9" s="293">
        <v>7</v>
      </c>
      <c r="E9" s="293">
        <v>5</v>
      </c>
      <c r="F9" s="293">
        <v>7</v>
      </c>
      <c r="G9" s="293">
        <v>7</v>
      </c>
      <c r="H9" s="293">
        <v>7</v>
      </c>
      <c r="I9" s="293">
        <v>8</v>
      </c>
      <c r="J9" s="293">
        <v>6</v>
      </c>
      <c r="K9" s="293">
        <v>6</v>
      </c>
      <c r="L9" s="442">
        <v>8</v>
      </c>
      <c r="M9" s="126">
        <v>8</v>
      </c>
      <c r="N9" s="293">
        <v>8</v>
      </c>
      <c r="O9" s="293">
        <v>8</v>
      </c>
      <c r="P9" s="293">
        <v>8</v>
      </c>
      <c r="Q9" s="33" t="s">
        <v>39</v>
      </c>
      <c r="R9" s="49" t="s">
        <v>169</v>
      </c>
      <c r="S9" s="32" t="s">
        <v>492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1:31">
      <c r="A10" s="83"/>
      <c r="B10" s="443"/>
      <c r="C10" s="444"/>
      <c r="D10" s="444"/>
      <c r="E10" s="444"/>
      <c r="F10" s="444"/>
      <c r="G10" s="444"/>
      <c r="H10" s="444"/>
      <c r="I10" s="444"/>
      <c r="J10" s="444"/>
      <c r="K10" s="444"/>
      <c r="L10" s="444"/>
      <c r="M10" s="444"/>
      <c r="N10" s="444"/>
      <c r="O10" s="444"/>
      <c r="P10" s="445"/>
      <c r="Q10" s="84"/>
      <c r="R10" s="85"/>
      <c r="S10" s="86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1">
      <c r="A11" s="27" t="s">
        <v>37</v>
      </c>
      <c r="B11" s="324">
        <v>2010</v>
      </c>
      <c r="C11" s="324">
        <v>2011</v>
      </c>
      <c r="D11" s="324">
        <v>2012</v>
      </c>
      <c r="E11" s="324">
        <v>2013</v>
      </c>
      <c r="F11" s="324">
        <v>2014</v>
      </c>
      <c r="G11" s="324">
        <v>2015</v>
      </c>
      <c r="H11" s="324">
        <v>2016</v>
      </c>
      <c r="I11" s="324">
        <v>2017</v>
      </c>
      <c r="J11" s="324">
        <v>2018</v>
      </c>
      <c r="K11" s="324">
        <v>2019</v>
      </c>
      <c r="L11" s="324">
        <v>2020</v>
      </c>
      <c r="M11" s="324">
        <v>2021</v>
      </c>
      <c r="N11" s="324">
        <v>2022</v>
      </c>
      <c r="O11" s="324">
        <v>2023</v>
      </c>
      <c r="P11" s="324">
        <v>2024</v>
      </c>
      <c r="Q11" s="28" t="s">
        <v>20</v>
      </c>
      <c r="R11" s="28" t="s">
        <v>21</v>
      </c>
      <c r="S11" s="27" t="s">
        <v>22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31" ht="30">
      <c r="A12" s="33" t="s">
        <v>175</v>
      </c>
      <c r="B12" s="309">
        <f t="shared" ref="B12:H12" si="0">+SUM(B13:B15)</f>
        <v>251.05</v>
      </c>
      <c r="C12" s="309">
        <f t="shared" si="0"/>
        <v>250.5</v>
      </c>
      <c r="D12" s="309">
        <f t="shared" si="0"/>
        <v>251.83999999999997</v>
      </c>
      <c r="E12" s="309">
        <f t="shared" si="0"/>
        <v>255.02</v>
      </c>
      <c r="F12" s="309">
        <f t="shared" si="0"/>
        <v>258.95</v>
      </c>
      <c r="G12" s="309">
        <f t="shared" si="0"/>
        <v>262.11</v>
      </c>
      <c r="H12" s="309">
        <f t="shared" si="0"/>
        <v>266.77999999999997</v>
      </c>
      <c r="I12" s="309">
        <v>268.7</v>
      </c>
      <c r="J12" s="309">
        <v>292.39999999999998</v>
      </c>
      <c r="K12" s="300"/>
      <c r="L12" s="300"/>
      <c r="M12" s="300"/>
      <c r="N12" s="300"/>
      <c r="O12" s="300"/>
      <c r="P12" s="300"/>
      <c r="Q12" s="33" t="s">
        <v>69</v>
      </c>
      <c r="R12" s="87" t="s">
        <v>176</v>
      </c>
      <c r="S12" s="32" t="s">
        <v>177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31" ht="30">
      <c r="A13" s="33" t="s">
        <v>178</v>
      </c>
      <c r="B13" s="309">
        <f>65.26+20.17</f>
        <v>85.43</v>
      </c>
      <c r="C13" s="309">
        <v>87</v>
      </c>
      <c r="D13" s="309">
        <v>86.89</v>
      </c>
      <c r="E13" s="309">
        <v>87.56</v>
      </c>
      <c r="F13" s="309">
        <v>89.57</v>
      </c>
      <c r="G13" s="309">
        <f>67.56+23.39</f>
        <v>90.95</v>
      </c>
      <c r="H13" s="309">
        <v>93.7</v>
      </c>
      <c r="I13" s="309">
        <f>67.18+26.99</f>
        <v>94.17</v>
      </c>
      <c r="J13" s="309">
        <v>93.9</v>
      </c>
      <c r="K13" s="300"/>
      <c r="L13" s="300"/>
      <c r="M13" s="300"/>
      <c r="N13" s="300"/>
      <c r="O13" s="300"/>
      <c r="P13" s="300"/>
      <c r="Q13" s="33" t="s">
        <v>69</v>
      </c>
      <c r="R13" s="88" t="s">
        <v>179</v>
      </c>
      <c r="S13" s="32" t="s">
        <v>177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31" ht="30">
      <c r="A14" s="33" t="s">
        <v>180</v>
      </c>
      <c r="B14" s="309">
        <v>29.31</v>
      </c>
      <c r="C14" s="309">
        <v>31.8</v>
      </c>
      <c r="D14" s="309">
        <v>32.5</v>
      </c>
      <c r="E14" s="309">
        <v>33.159999999999997</v>
      </c>
      <c r="F14" s="309">
        <v>33.21</v>
      </c>
      <c r="G14" s="309">
        <v>33.549999999999997</v>
      </c>
      <c r="H14" s="309">
        <v>33.9</v>
      </c>
      <c r="I14" s="309">
        <v>34.03</v>
      </c>
      <c r="J14" s="309">
        <v>34.549999999999997</v>
      </c>
      <c r="K14" s="300"/>
      <c r="L14" s="300"/>
      <c r="M14" s="379"/>
      <c r="N14" s="300"/>
      <c r="O14" s="300"/>
      <c r="P14" s="300"/>
      <c r="Q14" s="33" t="s">
        <v>69</v>
      </c>
      <c r="R14" s="88" t="s">
        <v>179</v>
      </c>
      <c r="S14" s="32" t="s">
        <v>177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 spans="1:31" ht="30">
      <c r="A15" s="33" t="s">
        <v>181</v>
      </c>
      <c r="B15" s="366">
        <v>136.31</v>
      </c>
      <c r="C15" s="366">
        <v>131.69999999999999</v>
      </c>
      <c r="D15" s="366">
        <v>132.44999999999999</v>
      </c>
      <c r="E15" s="366">
        <v>134.30000000000001</v>
      </c>
      <c r="F15" s="366">
        <v>136.16999999999999</v>
      </c>
      <c r="G15" s="366">
        <v>137.61000000000001</v>
      </c>
      <c r="H15" s="366">
        <v>139.18</v>
      </c>
      <c r="I15" s="366">
        <v>139.59</v>
      </c>
      <c r="J15" s="366">
        <v>146.12</v>
      </c>
      <c r="K15" s="325"/>
      <c r="L15" s="383"/>
      <c r="M15" s="325"/>
      <c r="N15" s="325"/>
      <c r="O15" s="325"/>
      <c r="P15" s="325"/>
      <c r="Q15" s="33" t="s">
        <v>69</v>
      </c>
      <c r="R15" s="88" t="s">
        <v>179</v>
      </c>
      <c r="S15" s="32" t="s">
        <v>177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 spans="1:31" ht="30">
      <c r="A16" s="251" t="s">
        <v>182</v>
      </c>
      <c r="B16" s="316">
        <v>17.633246400000001</v>
      </c>
      <c r="C16" s="316">
        <v>15.396998400000001</v>
      </c>
      <c r="D16" s="316">
        <v>16.968</v>
      </c>
      <c r="E16" s="316">
        <v>17.007000000000001</v>
      </c>
      <c r="F16" s="316">
        <v>15.1556832</v>
      </c>
      <c r="G16" s="316">
        <v>15.0876432</v>
      </c>
      <c r="H16" s="316">
        <v>15.416956799999999</v>
      </c>
      <c r="I16" s="316">
        <v>14.830905599999999</v>
      </c>
      <c r="J16" s="316">
        <v>15.225537600000001</v>
      </c>
      <c r="K16" s="316">
        <v>14.1151248</v>
      </c>
      <c r="L16" s="316">
        <v>14.0761152</v>
      </c>
      <c r="M16" s="316">
        <v>13.810305600000001</v>
      </c>
      <c r="N16" s="316">
        <v>13.2351408</v>
      </c>
      <c r="O16" s="316">
        <v>12.6245952</v>
      </c>
      <c r="P16" s="316">
        <v>12.3705792</v>
      </c>
      <c r="Q16" s="232" t="s">
        <v>39</v>
      </c>
      <c r="R16" s="203" t="s">
        <v>183</v>
      </c>
      <c r="S16" s="32" t="s">
        <v>521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 spans="1:31" ht="30">
      <c r="A17" s="251" t="s">
        <v>184</v>
      </c>
      <c r="B17" s="316">
        <v>2.0747664000000001</v>
      </c>
      <c r="C17" s="316">
        <v>1.8180288</v>
      </c>
      <c r="D17" s="316">
        <v>1.986</v>
      </c>
      <c r="E17" s="316">
        <v>1.865</v>
      </c>
      <c r="F17" s="316">
        <v>1.773576</v>
      </c>
      <c r="G17" s="316">
        <v>1.8016992000000001</v>
      </c>
      <c r="H17" s="316">
        <v>2.0248704000000002</v>
      </c>
      <c r="I17" s="316">
        <v>1.9268928000000001</v>
      </c>
      <c r="J17" s="316">
        <v>1.8597599999999999</v>
      </c>
      <c r="K17" s="316">
        <v>1.5123024</v>
      </c>
      <c r="L17" s="316">
        <v>1.49688</v>
      </c>
      <c r="M17" s="316">
        <v>1.5531264</v>
      </c>
      <c r="N17" s="316">
        <v>1.4941584000000001</v>
      </c>
      <c r="O17" s="316">
        <v>1.5123024</v>
      </c>
      <c r="P17" s="316">
        <v>1.4614992</v>
      </c>
      <c r="Q17" s="232" t="s">
        <v>39</v>
      </c>
      <c r="R17" s="49" t="s">
        <v>185</v>
      </c>
      <c r="S17" s="32" t="s">
        <v>521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 spans="1:31" ht="30">
      <c r="A18" s="251" t="s">
        <v>186</v>
      </c>
      <c r="B18" s="316">
        <v>19.708920000000003</v>
      </c>
      <c r="C18" s="316">
        <v>17.251315199999997</v>
      </c>
      <c r="D18" s="316">
        <v>18.954000000000001</v>
      </c>
      <c r="E18" s="316">
        <v>18.870999999999999</v>
      </c>
      <c r="F18" s="316">
        <v>16.929259200000001</v>
      </c>
      <c r="G18" s="316">
        <v>16.8893424</v>
      </c>
      <c r="H18" s="316">
        <v>17.441827199999999</v>
      </c>
      <c r="I18" s="316">
        <v>16.758705599999999</v>
      </c>
      <c r="J18" s="316">
        <v>17.085297599999997</v>
      </c>
      <c r="K18" s="316">
        <v>15.626520000000001</v>
      </c>
      <c r="L18" s="316">
        <v>15.572995200000001</v>
      </c>
      <c r="M18" s="316">
        <v>15.362524800000001</v>
      </c>
      <c r="N18" s="316">
        <v>14.7292992</v>
      </c>
      <c r="O18" s="316">
        <v>14.1378048</v>
      </c>
      <c r="P18" s="316">
        <v>13.8320784</v>
      </c>
      <c r="Q18" s="232" t="s">
        <v>39</v>
      </c>
      <c r="R18" s="166" t="s">
        <v>187</v>
      </c>
      <c r="S18" s="32" t="s">
        <v>521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 spans="1:31" ht="30">
      <c r="A19" s="251" t="s">
        <v>188</v>
      </c>
      <c r="B19" s="318">
        <v>0.36469440000000003</v>
      </c>
      <c r="C19" s="318">
        <v>0.35199360000000002</v>
      </c>
      <c r="D19" s="318">
        <v>0.41799999999999998</v>
      </c>
      <c r="E19" s="318">
        <v>0.45600000000000002</v>
      </c>
      <c r="F19" s="316">
        <v>0.40279680000000001</v>
      </c>
      <c r="G19" s="316">
        <v>0.41005440000000004</v>
      </c>
      <c r="H19" s="316">
        <v>0.4209408</v>
      </c>
      <c r="I19" s="316">
        <v>0.38283839999999997</v>
      </c>
      <c r="J19" s="316">
        <v>0.42366240000000005</v>
      </c>
      <c r="K19" s="316">
        <v>0.26943839999999997</v>
      </c>
      <c r="L19" s="316">
        <v>0.25401600000000002</v>
      </c>
      <c r="M19" s="316">
        <v>0.2286144</v>
      </c>
      <c r="N19" s="316">
        <v>0.24857280000000001</v>
      </c>
      <c r="O19" s="316">
        <v>0.25673759999999995</v>
      </c>
      <c r="P19" s="316">
        <v>0.25673759999999995</v>
      </c>
      <c r="Q19" s="232" t="s">
        <v>39</v>
      </c>
      <c r="R19" s="49" t="s">
        <v>187</v>
      </c>
      <c r="S19" s="32" t="s">
        <v>521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 spans="1:31" ht="30">
      <c r="A20" s="251" t="s">
        <v>189</v>
      </c>
      <c r="B20" s="316">
        <v>15.985771199999999</v>
      </c>
      <c r="C20" s="316">
        <v>13.940942400000001</v>
      </c>
      <c r="D20" s="316">
        <v>14.757</v>
      </c>
      <c r="E20" s="316">
        <v>14.574</v>
      </c>
      <c r="F20" s="316">
        <v>13.1172048</v>
      </c>
      <c r="G20" s="316">
        <v>13.110854400000001</v>
      </c>
      <c r="H20" s="316">
        <v>13.461033599999999</v>
      </c>
      <c r="I20" s="316">
        <v>12.877704</v>
      </c>
      <c r="J20" s="316">
        <v>13.2550992</v>
      </c>
      <c r="K20" s="316">
        <v>12.4141248</v>
      </c>
      <c r="L20" s="316">
        <v>12.4576704</v>
      </c>
      <c r="M20" s="316">
        <v>12.079367999999999</v>
      </c>
      <c r="N20" s="316">
        <v>7.0280784000000001</v>
      </c>
      <c r="O20" s="316">
        <v>6.7205376000000001</v>
      </c>
      <c r="P20" s="316">
        <v>6.4755935999999998</v>
      </c>
      <c r="Q20" s="232" t="s">
        <v>39</v>
      </c>
      <c r="R20" s="49" t="s">
        <v>187</v>
      </c>
      <c r="S20" s="32" t="s">
        <v>521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spans="1:31" ht="30">
      <c r="A21" s="251" t="s">
        <v>190</v>
      </c>
      <c r="B21" s="318">
        <v>3.2196528</v>
      </c>
      <c r="C21" s="318">
        <v>2.8150416000000003</v>
      </c>
      <c r="D21" s="318">
        <v>3.577</v>
      </c>
      <c r="E21" s="318">
        <v>3.6459999999999999</v>
      </c>
      <c r="F21" s="316">
        <v>3.2214672000000002</v>
      </c>
      <c r="G21" s="316">
        <v>3.1770144</v>
      </c>
      <c r="H21" s="316">
        <v>3.3566400000000001</v>
      </c>
      <c r="I21" s="316">
        <v>3.3013007999999999</v>
      </c>
      <c r="J21" s="316">
        <v>3.2269104</v>
      </c>
      <c r="K21" s="316">
        <v>2.7642384</v>
      </c>
      <c r="L21" s="316">
        <v>2.6816832000000002</v>
      </c>
      <c r="M21" s="316">
        <v>2.8912464</v>
      </c>
      <c r="N21" s="316">
        <v>7.4526479999999999</v>
      </c>
      <c r="O21" s="316">
        <v>7.1596223999999999</v>
      </c>
      <c r="P21" s="316">
        <v>7.1006543999999998</v>
      </c>
      <c r="Q21" s="232" t="s">
        <v>39</v>
      </c>
      <c r="R21" s="128" t="s">
        <v>187</v>
      </c>
      <c r="S21" s="32" t="s">
        <v>521</v>
      </c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 spans="1:31" ht="30">
      <c r="A22" s="251" t="s">
        <v>153</v>
      </c>
      <c r="B22" s="318">
        <v>0.1378944</v>
      </c>
      <c r="C22" s="318">
        <v>0.14333760000000001</v>
      </c>
      <c r="D22" s="318">
        <v>0.20300000000000001</v>
      </c>
      <c r="E22" s="318">
        <v>0.19500000000000001</v>
      </c>
      <c r="F22" s="316">
        <v>0.1868832</v>
      </c>
      <c r="G22" s="316">
        <v>0.19141919999999998</v>
      </c>
      <c r="H22" s="316">
        <v>0.2032128</v>
      </c>
      <c r="I22" s="316">
        <v>0.1959552</v>
      </c>
      <c r="J22" s="316">
        <v>0.1787184</v>
      </c>
      <c r="K22" s="316">
        <v>0.1787184</v>
      </c>
      <c r="L22" s="316">
        <v>0.1796256</v>
      </c>
      <c r="M22" s="316">
        <v>0.163296</v>
      </c>
      <c r="N22" s="316">
        <v>0</v>
      </c>
      <c r="O22" s="316">
        <v>0</v>
      </c>
      <c r="P22" s="316">
        <v>0</v>
      </c>
      <c r="Q22" s="232" t="s">
        <v>39</v>
      </c>
      <c r="R22" s="49" t="s">
        <v>187</v>
      </c>
      <c r="S22" s="32" t="s">
        <v>521</v>
      </c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 spans="1:31" ht="15.75" customHeight="1">
      <c r="A23" s="33" t="s">
        <v>191</v>
      </c>
      <c r="B23" s="403">
        <v>144.934</v>
      </c>
      <c r="C23" s="403">
        <v>135.24100000000001</v>
      </c>
      <c r="D23" s="403">
        <v>135.73500000000001</v>
      </c>
      <c r="E23" s="317">
        <v>135.76400000000001</v>
      </c>
      <c r="F23" s="403">
        <v>134.40799999999999</v>
      </c>
      <c r="G23" s="403">
        <v>133.11699999999999</v>
      </c>
      <c r="H23" s="403">
        <v>135.95699999999999</v>
      </c>
      <c r="I23" s="403">
        <v>130.94200000000001</v>
      </c>
      <c r="J23" s="403">
        <v>134.465</v>
      </c>
      <c r="K23" s="403">
        <v>115.114</v>
      </c>
      <c r="L23" s="450">
        <v>114.81399999999999</v>
      </c>
      <c r="M23" s="390">
        <v>113.173</v>
      </c>
      <c r="N23" s="403">
        <v>108.508</v>
      </c>
      <c r="O23" s="403">
        <v>103.306</v>
      </c>
      <c r="P23" s="403">
        <v>100.831</v>
      </c>
      <c r="Q23" s="33" t="s">
        <v>39</v>
      </c>
      <c r="R23" s="203" t="s">
        <v>192</v>
      </c>
      <c r="S23" s="32" t="s">
        <v>492</v>
      </c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spans="1:31" ht="15.75" customHeight="1">
      <c r="A24" s="33" t="s">
        <v>193</v>
      </c>
      <c r="B24" s="309">
        <v>17.501999999999999</v>
      </c>
      <c r="C24" s="309">
        <v>16.765999999999998</v>
      </c>
      <c r="D24" s="309">
        <v>16.309999999999999</v>
      </c>
      <c r="E24" s="309">
        <v>15.167999999999999</v>
      </c>
      <c r="F24" s="309">
        <v>15.782999999999999</v>
      </c>
      <c r="G24" s="309">
        <v>16.623000000000001</v>
      </c>
      <c r="H24" s="309">
        <v>18.259</v>
      </c>
      <c r="I24" s="309">
        <v>17.72</v>
      </c>
      <c r="J24" s="309">
        <v>16.724</v>
      </c>
      <c r="K24" s="309">
        <v>12.308</v>
      </c>
      <c r="L24" s="446">
        <v>11.939</v>
      </c>
      <c r="M24" s="390">
        <v>12.721</v>
      </c>
      <c r="N24" s="309">
        <v>12.244</v>
      </c>
      <c r="O24" s="309">
        <v>12.535</v>
      </c>
      <c r="P24" s="309">
        <v>12.179</v>
      </c>
      <c r="Q24" s="33" t="s">
        <v>39</v>
      </c>
      <c r="R24" s="49" t="s">
        <v>194</v>
      </c>
      <c r="S24" s="32" t="s">
        <v>492</v>
      </c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 spans="1:31" ht="15.75" customHeight="1">
      <c r="A25" s="33" t="s">
        <v>195</v>
      </c>
      <c r="B25" s="309">
        <v>162.43600000000001</v>
      </c>
      <c r="C25" s="309"/>
      <c r="D25" s="309">
        <v>152.04499999999999</v>
      </c>
      <c r="E25" s="309">
        <v>150.93199999999999</v>
      </c>
      <c r="F25" s="309">
        <v>150.191</v>
      </c>
      <c r="G25" s="309">
        <v>149.74</v>
      </c>
      <c r="H25" s="309">
        <v>154.21600000000001</v>
      </c>
      <c r="I25" s="309">
        <v>148.66200000000001</v>
      </c>
      <c r="J25" s="309">
        <v>151.18799999999999</v>
      </c>
      <c r="K25" s="309">
        <v>127.422</v>
      </c>
      <c r="L25" s="446">
        <v>126.752</v>
      </c>
      <c r="M25" s="390">
        <v>125.89400000000001</v>
      </c>
      <c r="N25" s="309">
        <v>120.753</v>
      </c>
      <c r="O25" s="309">
        <v>115.84099999999999</v>
      </c>
      <c r="P25" s="309">
        <v>113.01</v>
      </c>
      <c r="Q25" s="33" t="s">
        <v>39</v>
      </c>
      <c r="R25" s="49" t="s">
        <v>196</v>
      </c>
      <c r="S25" s="32" t="s">
        <v>492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31" ht="15.75" customHeight="1">
      <c r="A26" s="33" t="s">
        <v>188</v>
      </c>
      <c r="B26" s="294">
        <v>3.3220000000000001</v>
      </c>
      <c r="C26" s="294">
        <v>3.4329999999999998</v>
      </c>
      <c r="D26" s="294">
        <v>3.91</v>
      </c>
      <c r="E26" s="294">
        <v>4.4589999999999996</v>
      </c>
      <c r="F26" s="294">
        <v>4.4290000000000003</v>
      </c>
      <c r="G26" s="294">
        <v>4.2949999999999999</v>
      </c>
      <c r="H26" s="294">
        <v>4.4340000000000002</v>
      </c>
      <c r="I26" s="294">
        <v>4.1719999999999997</v>
      </c>
      <c r="J26" s="294">
        <v>4.5679999999999996</v>
      </c>
      <c r="K26" s="294">
        <v>2.4540000000000002</v>
      </c>
      <c r="L26" s="447">
        <v>2.2839999999999998</v>
      </c>
      <c r="M26" s="430">
        <v>2.0289999999999999</v>
      </c>
      <c r="N26" s="294">
        <v>2.2120000000000002</v>
      </c>
      <c r="O26" s="309">
        <v>2.2749999999999999</v>
      </c>
      <c r="P26" s="309">
        <v>2.2730000000000001</v>
      </c>
      <c r="Q26" s="33" t="s">
        <v>39</v>
      </c>
      <c r="R26" s="49" t="s">
        <v>196</v>
      </c>
      <c r="S26" s="32" t="s">
        <v>492</v>
      </c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31" ht="15.75" customHeight="1">
      <c r="A27" s="33" t="s">
        <v>189</v>
      </c>
      <c r="B27" s="309">
        <v>130.46700000000001</v>
      </c>
      <c r="C27" s="309">
        <v>121.648</v>
      </c>
      <c r="D27" s="309">
        <v>117.598</v>
      </c>
      <c r="E27" s="309">
        <v>115.574</v>
      </c>
      <c r="F27" s="309">
        <v>115.709</v>
      </c>
      <c r="G27" s="309">
        <v>114.886</v>
      </c>
      <c r="H27" s="309">
        <v>17.88</v>
      </c>
      <c r="I27" s="309">
        <v>112.857</v>
      </c>
      <c r="J27" s="309">
        <v>116.339</v>
      </c>
      <c r="K27" s="309">
        <v>101</v>
      </c>
      <c r="L27" s="447">
        <v>101.36199999999999</v>
      </c>
      <c r="M27" s="390">
        <v>98.516000000000005</v>
      </c>
      <c r="N27" s="309">
        <v>57.216999999999999</v>
      </c>
      <c r="O27" s="309">
        <v>54.557000000000002</v>
      </c>
      <c r="P27" s="309">
        <v>52.395000000000003</v>
      </c>
      <c r="Q27" s="33" t="s">
        <v>39</v>
      </c>
      <c r="R27" s="166" t="s">
        <v>196</v>
      </c>
      <c r="S27" s="32" t="s">
        <v>492</v>
      </c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 spans="1:31" ht="15.75" customHeight="1">
      <c r="A28" s="33" t="s">
        <v>190</v>
      </c>
      <c r="B28" s="309">
        <v>27.509</v>
      </c>
      <c r="C28" s="309">
        <v>25.664000000000001</v>
      </c>
      <c r="D28" s="309">
        <v>28.922999999999998</v>
      </c>
      <c r="E28" s="309">
        <v>29.341999999999999</v>
      </c>
      <c r="F28" s="309">
        <v>28.411000000000001</v>
      </c>
      <c r="G28" s="309">
        <v>28.821000000000002</v>
      </c>
      <c r="H28" s="309">
        <v>30.094999999999999</v>
      </c>
      <c r="I28" s="309">
        <v>29.794</v>
      </c>
      <c r="J28" s="309">
        <v>28.686</v>
      </c>
      <c r="K28" s="309">
        <v>22.472999999999999</v>
      </c>
      <c r="L28" s="447">
        <v>21.629000000000001</v>
      </c>
      <c r="M28" s="390">
        <v>23.994</v>
      </c>
      <c r="N28" s="309">
        <v>61.323999999999998</v>
      </c>
      <c r="O28" s="309">
        <v>59.009</v>
      </c>
      <c r="P28" s="309">
        <v>58.341000000000001</v>
      </c>
      <c r="Q28" s="33" t="s">
        <v>39</v>
      </c>
      <c r="R28" s="128" t="s">
        <v>196</v>
      </c>
      <c r="S28" s="32" t="s">
        <v>492</v>
      </c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 spans="1:31" ht="15.75" customHeight="1">
      <c r="A29" s="33" t="s">
        <v>153</v>
      </c>
      <c r="B29" s="294">
        <v>1.1379999999999999</v>
      </c>
      <c r="C29" s="294">
        <v>1.262</v>
      </c>
      <c r="D29" s="294">
        <v>1.6140000000000001</v>
      </c>
      <c r="E29" s="294">
        <v>1.5569999999999999</v>
      </c>
      <c r="F29" s="294">
        <v>1.643</v>
      </c>
      <c r="G29" s="294">
        <v>1.7390000000000001</v>
      </c>
      <c r="H29" s="294">
        <v>1.806</v>
      </c>
      <c r="I29" s="294">
        <v>1.839</v>
      </c>
      <c r="J29" s="294">
        <v>1.5960000000000001</v>
      </c>
      <c r="K29" s="294">
        <v>1.4950000000000001</v>
      </c>
      <c r="L29" s="448">
        <v>1.478</v>
      </c>
      <c r="M29" s="430">
        <v>1.355</v>
      </c>
      <c r="N29" s="309">
        <v>0</v>
      </c>
      <c r="O29" s="309">
        <v>0</v>
      </c>
      <c r="P29" s="309">
        <v>0</v>
      </c>
      <c r="Q29" s="33" t="s">
        <v>39</v>
      </c>
      <c r="R29" s="49" t="s">
        <v>196</v>
      </c>
      <c r="S29" s="32" t="s">
        <v>492</v>
      </c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spans="1:31" ht="15.75" customHeight="1">
      <c r="A30" s="83"/>
      <c r="B30" s="444"/>
      <c r="C30" s="444"/>
      <c r="D30" s="444"/>
      <c r="E30" s="444"/>
      <c r="F30" s="444"/>
      <c r="G30" s="444"/>
      <c r="H30" s="444"/>
      <c r="I30" s="444"/>
      <c r="J30" s="444"/>
      <c r="K30" s="444"/>
      <c r="L30" s="444"/>
      <c r="M30" s="444"/>
      <c r="N30" s="444"/>
      <c r="O30" s="444"/>
      <c r="P30" s="445"/>
      <c r="Q30" s="84"/>
      <c r="R30" s="85"/>
      <c r="S30" s="86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spans="1:31" ht="15.75" customHeight="1">
      <c r="A31" s="134" t="s">
        <v>51</v>
      </c>
      <c r="B31" s="451">
        <v>2010</v>
      </c>
      <c r="C31" s="451">
        <v>2011</v>
      </c>
      <c r="D31" s="451">
        <v>2012</v>
      </c>
      <c r="E31" s="451">
        <v>2013</v>
      </c>
      <c r="F31" s="451">
        <v>2014</v>
      </c>
      <c r="G31" s="451">
        <v>2015</v>
      </c>
      <c r="H31" s="451">
        <v>2016</v>
      </c>
      <c r="I31" s="451">
        <v>2017</v>
      </c>
      <c r="J31" s="451">
        <v>2018</v>
      </c>
      <c r="K31" s="451">
        <v>2019</v>
      </c>
      <c r="L31" s="451">
        <v>2020</v>
      </c>
      <c r="M31" s="451">
        <v>2021</v>
      </c>
      <c r="N31" s="451">
        <v>2022</v>
      </c>
      <c r="O31" s="451">
        <v>2023</v>
      </c>
      <c r="P31" s="451">
        <v>2024</v>
      </c>
      <c r="Q31" s="28" t="s">
        <v>20</v>
      </c>
      <c r="R31" s="28" t="s">
        <v>21</v>
      </c>
      <c r="S31" s="27" t="s">
        <v>22</v>
      </c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 spans="1:31" ht="15.75" customHeight="1">
      <c r="A32" s="141" t="s">
        <v>197</v>
      </c>
      <c r="B32" s="249">
        <v>1732.7</v>
      </c>
      <c r="C32" s="249">
        <v>1734.3</v>
      </c>
      <c r="D32" s="249">
        <v>1709</v>
      </c>
      <c r="E32" s="249">
        <v>1678.2</v>
      </c>
      <c r="F32" s="249">
        <v>1721.8</v>
      </c>
      <c r="G32" s="249">
        <v>1699.5</v>
      </c>
      <c r="H32" s="249">
        <v>1685.4</v>
      </c>
      <c r="I32" s="249">
        <v>1615.8</v>
      </c>
      <c r="J32" s="249">
        <v>1600.5</v>
      </c>
      <c r="K32" s="249">
        <v>1524.9</v>
      </c>
      <c r="L32" s="249">
        <v>1509.1</v>
      </c>
      <c r="M32" s="249">
        <v>1518.2</v>
      </c>
      <c r="N32" s="249">
        <v>1496.7</v>
      </c>
      <c r="O32" s="249">
        <v>1426.1</v>
      </c>
      <c r="P32" s="249">
        <v>1383.4</v>
      </c>
      <c r="Q32" s="232" t="s">
        <v>522</v>
      </c>
      <c r="R32" s="205" t="s">
        <v>523</v>
      </c>
      <c r="S32" s="32" t="s">
        <v>492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15.75" customHeight="1">
      <c r="A33" s="136" t="s">
        <v>198</v>
      </c>
      <c r="B33" s="249">
        <v>2836</v>
      </c>
      <c r="C33" s="249">
        <v>2951</v>
      </c>
      <c r="D33" s="249">
        <v>3072</v>
      </c>
      <c r="E33" s="249">
        <v>2966</v>
      </c>
      <c r="F33" s="249">
        <v>2863</v>
      </c>
      <c r="G33" s="249">
        <v>2567</v>
      </c>
      <c r="H33" s="249">
        <v>2478</v>
      </c>
      <c r="I33" s="249">
        <v>2393</v>
      </c>
      <c r="J33" s="249">
        <v>2406</v>
      </c>
      <c r="K33" s="249">
        <v>2420</v>
      </c>
      <c r="L33" s="249">
        <v>2434</v>
      </c>
      <c r="M33" s="249">
        <v>2184</v>
      </c>
      <c r="N33" s="249">
        <v>1931</v>
      </c>
      <c r="O33" s="249">
        <v>1897</v>
      </c>
      <c r="P33" s="249">
        <v>1866</v>
      </c>
      <c r="Q33" s="232" t="s">
        <v>522</v>
      </c>
      <c r="R33" s="89" t="s">
        <v>523</v>
      </c>
      <c r="S33" s="32" t="s">
        <v>492</v>
      </c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  <row r="34" spans="1:31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spans="1:31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15.75" customHeight="1">
      <c r="A36" s="25"/>
      <c r="B36" s="25"/>
      <c r="C36" s="25"/>
      <c r="D36" s="25"/>
      <c r="E36" s="25"/>
      <c r="F36" s="25"/>
      <c r="G36" s="25"/>
      <c r="H36" s="25"/>
      <c r="I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spans="1:31" ht="15.75" customHeight="1">
      <c r="A37" s="25"/>
      <c r="B37" s="25"/>
      <c r="C37" s="25"/>
      <c r="D37" s="25"/>
      <c r="E37" s="25"/>
      <c r="F37" s="25"/>
      <c r="G37" s="25"/>
      <c r="H37" s="25"/>
      <c r="I37" s="25"/>
      <c r="R37" s="26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 spans="1:31" ht="15.75" customHeight="1">
      <c r="A38" s="25"/>
      <c r="B38" s="25"/>
      <c r="C38" s="25"/>
      <c r="D38" s="25"/>
      <c r="E38" s="25"/>
      <c r="F38" s="25"/>
      <c r="G38" s="25"/>
      <c r="H38" s="25"/>
      <c r="I38" s="25"/>
      <c r="R38" s="26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ht="15.75" customHeight="1">
      <c r="A39" s="25"/>
      <c r="B39" s="25"/>
      <c r="C39" s="25"/>
      <c r="D39" s="25"/>
      <c r="E39" s="25"/>
      <c r="F39" s="25"/>
      <c r="G39" s="25"/>
      <c r="H39" s="25"/>
      <c r="I39" s="25"/>
      <c r="R39" s="26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 spans="1:31" ht="15.75" customHeight="1">
      <c r="A40" s="25"/>
      <c r="B40" s="25"/>
      <c r="C40" s="25"/>
      <c r="D40" s="25"/>
      <c r="E40" s="25"/>
      <c r="F40" s="25"/>
      <c r="G40" s="25"/>
      <c r="H40" s="25"/>
      <c r="I40" s="25"/>
      <c r="R40" s="26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spans="1:31" ht="15.75" customHeight="1">
      <c r="A41" s="25"/>
      <c r="B41" s="25"/>
      <c r="C41" s="25"/>
      <c r="D41" s="25"/>
      <c r="E41" s="25"/>
      <c r="F41" s="25"/>
      <c r="G41" s="25"/>
      <c r="H41" s="25"/>
      <c r="I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 spans="1:31" ht="15.75" customHeight="1">
      <c r="A42" s="25"/>
      <c r="B42" s="25"/>
      <c r="C42" s="25"/>
      <c r="D42" s="25"/>
      <c r="E42" s="25"/>
      <c r="F42" s="25"/>
      <c r="G42" s="25"/>
      <c r="H42" s="25"/>
      <c r="I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spans="1:31" ht="15.75" customHeight="1">
      <c r="A43" s="25"/>
      <c r="B43" s="25"/>
      <c r="C43" s="25"/>
      <c r="D43" s="25"/>
      <c r="E43" s="25"/>
      <c r="F43" s="25"/>
      <c r="G43" s="25"/>
      <c r="H43" s="25"/>
      <c r="I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 spans="1:31" ht="15.75" customHeight="1">
      <c r="A44" s="25"/>
      <c r="B44" s="25"/>
      <c r="C44" s="25"/>
      <c r="D44" s="25"/>
      <c r="E44" s="25"/>
      <c r="F44" s="25"/>
      <c r="G44" s="25"/>
      <c r="H44" s="25"/>
      <c r="I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spans="1:31" ht="15.75" customHeight="1">
      <c r="A45" s="25"/>
      <c r="B45" s="25"/>
      <c r="C45" s="25"/>
      <c r="D45" s="25"/>
      <c r="E45" s="25"/>
      <c r="F45" s="25"/>
      <c r="G45" s="25"/>
      <c r="H45" s="25"/>
      <c r="I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15.75" customHeight="1">
      <c r="A46" s="25"/>
      <c r="B46" s="25"/>
      <c r="C46" s="25"/>
      <c r="D46" s="25"/>
      <c r="E46" s="25"/>
      <c r="F46" s="25"/>
      <c r="G46" s="25"/>
      <c r="H46" s="25"/>
      <c r="I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15.75" customHeight="1">
      <c r="A47" s="25"/>
      <c r="B47" s="25"/>
      <c r="C47" s="25"/>
      <c r="D47" s="25"/>
      <c r="E47" s="25"/>
      <c r="F47" s="25"/>
      <c r="G47" s="25"/>
      <c r="H47" s="25"/>
      <c r="I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 spans="1:31" ht="15.75" customHeight="1">
      <c r="A48" s="25"/>
      <c r="B48" s="25"/>
      <c r="C48" s="25"/>
      <c r="D48" s="25"/>
      <c r="E48" s="25"/>
      <c r="F48" s="25"/>
      <c r="G48" s="25"/>
      <c r="H48" s="25"/>
      <c r="I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spans="1:31" ht="15.75" customHeight="1">
      <c r="A49" s="25"/>
      <c r="B49" s="25"/>
      <c r="C49" s="25"/>
      <c r="D49" s="25"/>
      <c r="E49" s="25"/>
      <c r="F49" s="25"/>
      <c r="G49" s="25"/>
      <c r="H49" s="25"/>
      <c r="I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15.75" customHeight="1">
      <c r="A50" s="25"/>
      <c r="B50" s="25"/>
      <c r="C50" s="25"/>
      <c r="D50" s="25"/>
      <c r="E50" s="25"/>
      <c r="F50" s="25"/>
      <c r="G50" s="25"/>
      <c r="H50" s="25"/>
      <c r="I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spans="1:31" ht="15.75" customHeight="1">
      <c r="A51" s="25"/>
      <c r="B51" s="25"/>
      <c r="C51" s="25"/>
      <c r="D51" s="25"/>
      <c r="E51" s="25"/>
      <c r="F51" s="25"/>
      <c r="G51" s="25"/>
      <c r="H51" s="25"/>
      <c r="I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15.75" customHeight="1">
      <c r="A52" s="25"/>
      <c r="B52" s="25"/>
      <c r="C52" s="25"/>
      <c r="D52" s="25"/>
      <c r="E52" s="25"/>
      <c r="F52" s="25"/>
      <c r="G52" s="25"/>
      <c r="H52" s="25"/>
      <c r="I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spans="1:31" ht="15.75" customHeight="1">
      <c r="A53" s="25"/>
      <c r="B53" s="25"/>
      <c r="C53" s="25"/>
      <c r="D53" s="25"/>
      <c r="E53" s="25"/>
      <c r="F53" s="25"/>
      <c r="G53" s="25"/>
      <c r="H53" s="25"/>
      <c r="I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1:31" ht="15.75" customHeight="1">
      <c r="A54" s="25"/>
      <c r="B54" s="25"/>
      <c r="C54" s="25"/>
      <c r="D54" s="25"/>
      <c r="E54" s="25"/>
      <c r="F54" s="25"/>
      <c r="G54" s="25"/>
      <c r="H54" s="25"/>
      <c r="I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spans="1:31" ht="15.75" customHeight="1">
      <c r="A55" s="25"/>
      <c r="B55" s="25"/>
      <c r="C55" s="25"/>
      <c r="D55" s="25"/>
      <c r="E55" s="25"/>
      <c r="F55" s="25"/>
      <c r="G55" s="25"/>
      <c r="H55" s="25"/>
      <c r="I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 spans="1:31" ht="15.75" customHeight="1">
      <c r="A56" s="25"/>
      <c r="B56" s="25"/>
      <c r="C56" s="25"/>
      <c r="D56" s="25"/>
      <c r="E56" s="25"/>
      <c r="F56" s="25"/>
      <c r="G56" s="25"/>
      <c r="H56" s="25"/>
      <c r="I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spans="1:31" ht="15.75" customHeight="1">
      <c r="A57" s="25"/>
      <c r="B57" s="25"/>
      <c r="C57" s="25"/>
      <c r="D57" s="25"/>
      <c r="E57" s="25"/>
      <c r="F57" s="25"/>
      <c r="G57" s="25"/>
      <c r="H57" s="25"/>
      <c r="I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 spans="1:31" ht="15.75" customHeight="1">
      <c r="A58" s="25"/>
      <c r="B58" s="25"/>
      <c r="C58" s="25"/>
      <c r="D58" s="25"/>
      <c r="E58" s="25"/>
      <c r="F58" s="25"/>
      <c r="G58" s="25"/>
      <c r="H58" s="25"/>
      <c r="I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spans="1:31" ht="15.75" customHeight="1">
      <c r="A59" s="25"/>
      <c r="B59" s="25"/>
      <c r="C59" s="25"/>
      <c r="D59" s="25"/>
      <c r="E59" s="25"/>
      <c r="F59" s="25"/>
      <c r="G59" s="25"/>
      <c r="H59" s="25"/>
      <c r="I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 spans="1:31" ht="15.75" customHeight="1">
      <c r="A60" s="25"/>
      <c r="B60" s="25"/>
      <c r="C60" s="25"/>
      <c r="D60" s="25"/>
      <c r="E60" s="25"/>
      <c r="F60" s="25"/>
      <c r="G60" s="25"/>
      <c r="H60" s="25"/>
      <c r="I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spans="1:31" ht="15.75" customHeight="1">
      <c r="A61" s="25"/>
      <c r="B61" s="25"/>
      <c r="C61" s="25"/>
      <c r="D61" s="25"/>
      <c r="E61" s="25"/>
      <c r="F61" s="25"/>
      <c r="G61" s="25"/>
      <c r="H61" s="25"/>
      <c r="I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 ht="15.75" customHeight="1">
      <c r="A62" s="25"/>
      <c r="B62" s="25"/>
      <c r="C62" s="25"/>
      <c r="D62" s="25"/>
      <c r="E62" s="25"/>
      <c r="F62" s="25"/>
      <c r="G62" s="25"/>
      <c r="H62" s="25"/>
      <c r="I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spans="1:31" ht="15.75" customHeight="1">
      <c r="A63" s="25"/>
      <c r="B63" s="25"/>
      <c r="C63" s="25"/>
      <c r="D63" s="25"/>
      <c r="E63" s="25"/>
      <c r="F63" s="25"/>
      <c r="G63" s="25"/>
      <c r="H63" s="25"/>
      <c r="I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 spans="1:31" ht="15.75" customHeight="1">
      <c r="A64" s="25"/>
      <c r="B64" s="25"/>
      <c r="C64" s="25"/>
      <c r="D64" s="25"/>
      <c r="E64" s="25"/>
      <c r="F64" s="25"/>
      <c r="G64" s="25"/>
      <c r="H64" s="25"/>
      <c r="I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spans="1:31" ht="15.75" customHeight="1">
      <c r="A65" s="25"/>
      <c r="B65" s="25"/>
      <c r="C65" s="25"/>
      <c r="D65" s="25"/>
      <c r="E65" s="25"/>
      <c r="F65" s="25"/>
      <c r="G65" s="25"/>
      <c r="H65" s="25"/>
      <c r="I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 spans="1:31" ht="15.75" customHeight="1">
      <c r="A66" s="25"/>
      <c r="B66" s="25"/>
      <c r="C66" s="25"/>
      <c r="D66" s="25"/>
      <c r="E66" s="25"/>
      <c r="F66" s="25"/>
      <c r="G66" s="25"/>
      <c r="H66" s="25"/>
      <c r="I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ht="15.75" customHeight="1">
      <c r="A67" s="25"/>
      <c r="B67" s="25"/>
      <c r="C67" s="25"/>
      <c r="D67" s="25"/>
      <c r="E67" s="25"/>
      <c r="F67" s="25"/>
      <c r="G67" s="25"/>
      <c r="H67" s="25"/>
      <c r="I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 spans="1:31" ht="15.75" customHeight="1">
      <c r="A68" s="25"/>
      <c r="B68" s="25"/>
      <c r="C68" s="25"/>
      <c r="D68" s="25"/>
      <c r="E68" s="25"/>
      <c r="F68" s="25"/>
      <c r="G68" s="25"/>
      <c r="H68" s="25"/>
      <c r="I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spans="1:31" ht="15.75" customHeight="1">
      <c r="A69" s="25"/>
      <c r="B69" s="25"/>
      <c r="C69" s="25"/>
      <c r="D69" s="25"/>
      <c r="E69" s="25"/>
      <c r="F69" s="25"/>
      <c r="G69" s="25"/>
      <c r="H69" s="25"/>
      <c r="I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 spans="1:31" ht="15.75" customHeight="1">
      <c r="A70" s="25"/>
      <c r="B70" s="25"/>
      <c r="C70" s="25"/>
      <c r="D70" s="25"/>
      <c r="E70" s="25"/>
      <c r="F70" s="25"/>
      <c r="G70" s="25"/>
      <c r="H70" s="25"/>
      <c r="I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spans="1:31" ht="15.75" customHeight="1">
      <c r="A71" s="25"/>
      <c r="B71" s="25"/>
      <c r="C71" s="25"/>
      <c r="D71" s="25"/>
      <c r="E71" s="25"/>
      <c r="F71" s="25"/>
      <c r="G71" s="25"/>
      <c r="H71" s="25"/>
      <c r="I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 spans="1:31" ht="15.75" customHeight="1">
      <c r="A72" s="25"/>
      <c r="B72" s="25"/>
      <c r="C72" s="25"/>
      <c r="D72" s="25"/>
      <c r="E72" s="25"/>
      <c r="F72" s="25"/>
      <c r="G72" s="25"/>
      <c r="H72" s="25"/>
      <c r="I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spans="1:31" ht="15.75" customHeight="1">
      <c r="A73" s="25"/>
      <c r="B73" s="25"/>
      <c r="C73" s="25"/>
      <c r="D73" s="25"/>
      <c r="E73" s="25"/>
      <c r="F73" s="25"/>
      <c r="G73" s="25"/>
      <c r="H73" s="25"/>
      <c r="I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 spans="1:31" ht="15.75" customHeight="1">
      <c r="A74" s="25"/>
      <c r="B74" s="25"/>
      <c r="C74" s="25"/>
      <c r="D74" s="25"/>
      <c r="E74" s="25"/>
      <c r="F74" s="25"/>
      <c r="G74" s="25"/>
      <c r="H74" s="25"/>
      <c r="I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 ht="15.75" customHeight="1">
      <c r="A75" s="25"/>
      <c r="B75" s="25"/>
      <c r="C75" s="25"/>
      <c r="D75" s="25"/>
      <c r="E75" s="25"/>
      <c r="F75" s="25"/>
      <c r="G75" s="25"/>
      <c r="H75" s="25"/>
      <c r="I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 spans="1:31" ht="15.75" customHeight="1">
      <c r="A76" s="25"/>
      <c r="B76" s="25"/>
      <c r="C76" s="25"/>
      <c r="D76" s="25"/>
      <c r="E76" s="25"/>
      <c r="F76" s="25"/>
      <c r="G76" s="25"/>
      <c r="H76" s="25"/>
      <c r="I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ht="15.75" customHeight="1">
      <c r="A77" s="25"/>
      <c r="B77" s="25"/>
      <c r="C77" s="25"/>
      <c r="D77" s="25"/>
      <c r="E77" s="25"/>
      <c r="F77" s="25"/>
      <c r="G77" s="25"/>
      <c r="H77" s="25"/>
      <c r="I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5.75" customHeight="1">
      <c r="A78" s="25"/>
      <c r="B78" s="25"/>
      <c r="C78" s="25"/>
      <c r="D78" s="25"/>
      <c r="E78" s="25"/>
      <c r="F78" s="25"/>
      <c r="G78" s="25"/>
      <c r="H78" s="25"/>
      <c r="I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spans="1:31" ht="15.75" customHeight="1">
      <c r="A79" s="25"/>
      <c r="B79" s="25"/>
      <c r="C79" s="25"/>
      <c r="D79" s="25"/>
      <c r="E79" s="25"/>
      <c r="F79" s="25"/>
      <c r="G79" s="25"/>
      <c r="H79" s="25"/>
      <c r="I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5.75" customHeight="1">
      <c r="A80" s="25"/>
      <c r="B80" s="25"/>
      <c r="C80" s="25"/>
      <c r="D80" s="25"/>
      <c r="E80" s="25"/>
      <c r="F80" s="25"/>
      <c r="G80" s="25"/>
      <c r="H80" s="25"/>
      <c r="I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5.75" customHeight="1">
      <c r="A81" s="25"/>
      <c r="B81" s="25"/>
      <c r="C81" s="25"/>
      <c r="D81" s="25"/>
      <c r="E81" s="25"/>
      <c r="F81" s="25"/>
      <c r="G81" s="25"/>
      <c r="H81" s="25"/>
      <c r="I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 spans="1:31" ht="15.75" customHeight="1">
      <c r="A82" s="25"/>
      <c r="B82" s="25"/>
      <c r="C82" s="25"/>
      <c r="D82" s="25"/>
      <c r="E82" s="25"/>
      <c r="F82" s="25"/>
      <c r="G82" s="25"/>
      <c r="H82" s="25"/>
      <c r="I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spans="1:31" ht="15.75" customHeight="1">
      <c r="A83" s="25"/>
      <c r="B83" s="25"/>
      <c r="C83" s="25"/>
      <c r="D83" s="25"/>
      <c r="E83" s="25"/>
      <c r="F83" s="25"/>
      <c r="G83" s="25"/>
      <c r="H83" s="25"/>
      <c r="I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 spans="1:31" ht="15.75" customHeight="1">
      <c r="A84" s="25"/>
      <c r="B84" s="25"/>
      <c r="C84" s="25"/>
      <c r="D84" s="25"/>
      <c r="E84" s="25"/>
      <c r="F84" s="25"/>
      <c r="G84" s="25"/>
      <c r="H84" s="25"/>
      <c r="I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spans="1:31" ht="15.75" customHeight="1">
      <c r="A85" s="25"/>
      <c r="B85" s="25"/>
      <c r="C85" s="25"/>
      <c r="D85" s="25"/>
      <c r="E85" s="25"/>
      <c r="F85" s="25"/>
      <c r="G85" s="25"/>
      <c r="H85" s="25"/>
      <c r="I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 spans="1:31" ht="15.75" customHeight="1">
      <c r="A86" s="25"/>
      <c r="B86" s="25"/>
      <c r="C86" s="25"/>
      <c r="D86" s="25"/>
      <c r="E86" s="25"/>
      <c r="F86" s="25"/>
      <c r="G86" s="25"/>
      <c r="H86" s="25"/>
      <c r="I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spans="1:31" ht="15.75" customHeight="1">
      <c r="A87" s="25"/>
      <c r="B87" s="25"/>
      <c r="C87" s="25"/>
      <c r="D87" s="25"/>
      <c r="E87" s="25"/>
      <c r="F87" s="25"/>
      <c r="G87" s="25"/>
      <c r="H87" s="25"/>
      <c r="I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 spans="1:31" ht="15.75" customHeight="1">
      <c r="A88" s="25"/>
      <c r="B88" s="25"/>
      <c r="C88" s="25"/>
      <c r="D88" s="25"/>
      <c r="E88" s="25"/>
      <c r="F88" s="25"/>
      <c r="G88" s="25"/>
      <c r="H88" s="25"/>
      <c r="I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spans="1:31" ht="15.75" customHeight="1">
      <c r="A89" s="25"/>
      <c r="B89" s="25"/>
      <c r="C89" s="25"/>
      <c r="D89" s="25"/>
      <c r="E89" s="25"/>
      <c r="F89" s="25"/>
      <c r="G89" s="25"/>
      <c r="H89" s="25"/>
      <c r="I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 spans="1:31" ht="15.75" customHeight="1">
      <c r="A90" s="25"/>
      <c r="B90" s="25"/>
      <c r="C90" s="25"/>
      <c r="D90" s="25"/>
      <c r="E90" s="25"/>
      <c r="F90" s="25"/>
      <c r="G90" s="25"/>
      <c r="H90" s="25"/>
      <c r="I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spans="1:31" ht="15.75" customHeight="1">
      <c r="A91" s="25"/>
      <c r="B91" s="25"/>
      <c r="C91" s="25"/>
      <c r="D91" s="25"/>
      <c r="E91" s="25"/>
      <c r="F91" s="25"/>
      <c r="G91" s="25"/>
      <c r="H91" s="25"/>
      <c r="I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 spans="1:31" ht="15.75" customHeight="1">
      <c r="A92" s="25"/>
      <c r="B92" s="25"/>
      <c r="C92" s="25"/>
      <c r="D92" s="25"/>
      <c r="E92" s="25"/>
      <c r="F92" s="25"/>
      <c r="G92" s="25"/>
      <c r="H92" s="25"/>
      <c r="I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 spans="1:31" ht="15.75" customHeight="1">
      <c r="A93" s="25"/>
      <c r="B93" s="25"/>
      <c r="C93" s="25"/>
      <c r="D93" s="25"/>
      <c r="E93" s="25"/>
      <c r="F93" s="25"/>
      <c r="G93" s="25"/>
      <c r="H93" s="25"/>
      <c r="I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 spans="1:31" ht="15.75" customHeight="1">
      <c r="A94" s="25"/>
      <c r="B94" s="25"/>
      <c r="C94" s="25"/>
      <c r="D94" s="25"/>
      <c r="E94" s="25"/>
      <c r="F94" s="25"/>
      <c r="G94" s="25"/>
      <c r="H94" s="25"/>
      <c r="I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 spans="1:31" ht="15.75" customHeight="1">
      <c r="A95" s="25"/>
      <c r="B95" s="25"/>
      <c r="C95" s="25"/>
      <c r="D95" s="25"/>
      <c r="E95" s="25"/>
      <c r="F95" s="25"/>
      <c r="G95" s="25"/>
      <c r="H95" s="25"/>
      <c r="I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 spans="1:31" ht="15.75" customHeight="1">
      <c r="A96" s="25"/>
      <c r="B96" s="25"/>
      <c r="C96" s="25"/>
      <c r="D96" s="25"/>
      <c r="E96" s="25"/>
      <c r="F96" s="25"/>
      <c r="G96" s="25"/>
      <c r="H96" s="25"/>
      <c r="I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 spans="1:31" ht="15.75" customHeight="1">
      <c r="A97" s="25"/>
      <c r="B97" s="25"/>
      <c r="C97" s="25"/>
      <c r="D97" s="25"/>
      <c r="E97" s="25"/>
      <c r="F97" s="25"/>
      <c r="G97" s="25"/>
      <c r="H97" s="25"/>
      <c r="I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 spans="1:31" ht="15.75" customHeight="1">
      <c r="A98" s="25"/>
      <c r="B98" s="25"/>
      <c r="C98" s="25"/>
      <c r="D98" s="25"/>
      <c r="E98" s="25"/>
      <c r="F98" s="25"/>
      <c r="G98" s="25"/>
      <c r="H98" s="25"/>
      <c r="I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 spans="1:31" ht="15.75" customHeight="1">
      <c r="A99" s="25"/>
      <c r="B99" s="25"/>
      <c r="C99" s="25"/>
      <c r="D99" s="25"/>
      <c r="E99" s="25"/>
      <c r="F99" s="25"/>
      <c r="G99" s="25"/>
      <c r="H99" s="25"/>
      <c r="I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 spans="1:31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 spans="1:3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 spans="1:31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 spans="1:31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 spans="1:31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 spans="1:31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 spans="1:31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 spans="1:31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 spans="1:31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 spans="1:31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 spans="1:3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 spans="1:31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 spans="1:31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 spans="1:31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 spans="1:31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 spans="1:31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 spans="1:31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 spans="1:31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 spans="1:31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 spans="1:31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 spans="1:3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1:31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 spans="1:31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 spans="1:31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 spans="1:31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spans="1:31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1:31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1:31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 spans="1:31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 spans="1:31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 spans="1:31" ht="15.75" customHeight="1">
      <c r="A134" s="25"/>
      <c r="J134" s="57"/>
      <c r="K134" s="57"/>
      <c r="L134" s="57"/>
      <c r="M134" s="57"/>
      <c r="N134" s="57"/>
      <c r="O134" s="57"/>
      <c r="P134" s="57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 spans="1:31" ht="15.75" customHeight="1">
      <c r="A135" s="25"/>
      <c r="J135" s="57"/>
      <c r="K135" s="57"/>
      <c r="L135" s="57"/>
      <c r="M135" s="57"/>
      <c r="N135" s="57"/>
      <c r="O135" s="57"/>
      <c r="P135" s="57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 spans="1:31" ht="15.75" customHeight="1">
      <c r="A136" s="25"/>
      <c r="J136" s="57"/>
      <c r="K136" s="57"/>
      <c r="L136" s="57"/>
      <c r="M136" s="57"/>
      <c r="N136" s="57"/>
      <c r="O136" s="57"/>
      <c r="P136" s="57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 spans="1:31" ht="15.75" customHeight="1">
      <c r="A137" s="25"/>
      <c r="J137" s="57"/>
      <c r="K137" s="57"/>
      <c r="L137" s="57"/>
      <c r="M137" s="57"/>
      <c r="N137" s="57"/>
      <c r="O137" s="57"/>
      <c r="P137" s="57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 spans="1:31" ht="15.75" customHeight="1">
      <c r="A138" s="25"/>
      <c r="J138" s="57"/>
      <c r="K138" s="57"/>
      <c r="L138" s="57"/>
      <c r="M138" s="57"/>
      <c r="N138" s="57"/>
      <c r="O138" s="57"/>
      <c r="P138" s="57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 spans="1:31" ht="15.75" customHeight="1">
      <c r="A139" s="25"/>
      <c r="J139" s="57"/>
      <c r="K139" s="57"/>
      <c r="L139" s="57"/>
      <c r="M139" s="57"/>
      <c r="N139" s="57"/>
      <c r="O139" s="57"/>
      <c r="P139" s="57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 spans="1:31" ht="15.75" customHeight="1">
      <c r="A140" s="25"/>
      <c r="J140" s="57"/>
      <c r="K140" s="57"/>
      <c r="L140" s="57"/>
      <c r="M140" s="57"/>
      <c r="N140" s="57"/>
      <c r="O140" s="57"/>
      <c r="P140" s="57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 spans="1:31" ht="15.75" customHeight="1">
      <c r="A141" s="25"/>
      <c r="J141" s="57"/>
      <c r="K141" s="57"/>
      <c r="L141" s="57"/>
      <c r="M141" s="57"/>
      <c r="N141" s="57"/>
      <c r="O141" s="57"/>
      <c r="P141" s="57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 spans="1:31" ht="15.75" customHeight="1">
      <c r="A142" s="25"/>
      <c r="J142" s="57"/>
      <c r="K142" s="57"/>
      <c r="L142" s="57"/>
      <c r="M142" s="57"/>
      <c r="N142" s="57"/>
      <c r="O142" s="57"/>
      <c r="P142" s="57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 spans="1:31" ht="15.75" customHeight="1">
      <c r="A143" s="25"/>
      <c r="J143" s="57"/>
      <c r="K143" s="57"/>
      <c r="L143" s="57"/>
      <c r="M143" s="57"/>
      <c r="N143" s="57"/>
      <c r="O143" s="57"/>
      <c r="P143" s="57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 spans="1:31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 spans="1:31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 spans="1:31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 spans="1:31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 spans="1:31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 spans="1:31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 spans="1:31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 spans="1:31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spans="1:31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 spans="1:31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 spans="1:31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 spans="1:31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 spans="1:31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 spans="1:31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 spans="1:31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 spans="1:31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 spans="1:3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 spans="1:31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 spans="1:31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 spans="1:31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 spans="1:31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 spans="1:31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 spans="1:31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 spans="1:31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 spans="1:31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 spans="1:31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 spans="1:3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 spans="1:31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 spans="1:31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 spans="1:31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 spans="1:31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 spans="1:31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 spans="1:31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 spans="1:31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 spans="1:31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 spans="1:31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 spans="1:3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 spans="1:31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 spans="1:31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 spans="1:31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 spans="1:31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 spans="1:31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 spans="1:31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 spans="1:31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 spans="1:31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 spans="1:31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 spans="1:3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 spans="1:31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 spans="1:31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 spans="1:31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 spans="1:31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 spans="1:31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 spans="1:31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 spans="1:31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 spans="1:31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 spans="1:31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 spans="1:3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 spans="1:31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 spans="1:31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 spans="1:31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 spans="1:31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 spans="1:31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 spans="1:31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 spans="1:31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 spans="1:31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 spans="1:31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 spans="1:3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 spans="1:31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 spans="1:31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 spans="1:31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 spans="1:31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 spans="1:31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 spans="1:31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 spans="1:31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 spans="1:31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 spans="1:31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 spans="1:3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 spans="1:31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 spans="1:31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 spans="1:31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 spans="1:31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 spans="1:31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 spans="1:31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 spans="1:31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 spans="1:31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 spans="1:31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 spans="1: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 spans="1:31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 spans="1:31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 spans="1:31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 spans="1:31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 spans="1:31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 spans="1:31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 spans="1:31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 spans="1:31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 spans="1:31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 spans="1:3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 spans="1:31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 spans="1:31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 spans="1:31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 spans="1:31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 spans="1:31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 spans="1:31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 spans="1:31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 spans="1:31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 spans="1:31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 spans="1:3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 spans="1:31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 spans="1:31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 spans="1:31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 spans="1:31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 spans="1:31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 spans="1:31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 spans="1:31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 spans="1:31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 spans="1:31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spans="1:3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spans="1:31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spans="1:31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spans="1:31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</sheetData>
  <mergeCells count="1">
    <mergeCell ref="A1:A2"/>
  </mergeCells>
  <hyperlinks>
    <hyperlink ref="R4" r:id="rId1" xr:uid="{00000000-0004-0000-0800-000000000000}"/>
    <hyperlink ref="R5" r:id="rId2" xr:uid="{00000000-0004-0000-0800-000001000000}"/>
    <hyperlink ref="R6" r:id="rId3" xr:uid="{00000000-0004-0000-0800-000002000000}"/>
    <hyperlink ref="R7" r:id="rId4" xr:uid="{00000000-0004-0000-0800-000003000000}"/>
    <hyperlink ref="R8" r:id="rId5" xr:uid="{00000000-0004-0000-0800-000004000000}"/>
    <hyperlink ref="R9" r:id="rId6" xr:uid="{00000000-0004-0000-0800-000005000000}"/>
    <hyperlink ref="R12" r:id="rId7" xr:uid="{00000000-0004-0000-0800-000006000000}"/>
    <hyperlink ref="R13" r:id="rId8" xr:uid="{00000000-0004-0000-0800-000007000000}"/>
    <hyperlink ref="R14" r:id="rId9" xr:uid="{00000000-0004-0000-0800-000008000000}"/>
    <hyperlink ref="R15" r:id="rId10" xr:uid="{00000000-0004-0000-0800-000009000000}"/>
    <hyperlink ref="R16" r:id="rId11" xr:uid="{00000000-0004-0000-0800-00000A000000}"/>
    <hyperlink ref="R17" r:id="rId12" xr:uid="{00000000-0004-0000-0800-00000B000000}"/>
    <hyperlink ref="R18" r:id="rId13" xr:uid="{00000000-0004-0000-0800-00000C000000}"/>
    <hyperlink ref="R23" r:id="rId14" xr:uid="{00000000-0004-0000-0800-00000D000000}"/>
    <hyperlink ref="R24" r:id="rId15" xr:uid="{00000000-0004-0000-0800-00000E000000}"/>
    <hyperlink ref="R25" r:id="rId16" xr:uid="{00000000-0004-0000-0800-00000F000000}"/>
    <hyperlink ref="R26" r:id="rId17" xr:uid="{00000000-0004-0000-0800-000010000000}"/>
    <hyperlink ref="R27" r:id="rId18" xr:uid="{00000000-0004-0000-0800-000011000000}"/>
    <hyperlink ref="R28" r:id="rId19" xr:uid="{00000000-0004-0000-0800-000012000000}"/>
    <hyperlink ref="R29" r:id="rId20" xr:uid="{00000000-0004-0000-0800-000013000000}"/>
    <hyperlink ref="R32" r:id="rId21" location=":~:text=The%20market%20size%20of%20the,industry%20in%20the%20United%20States?" xr:uid="{05439D41-E8B9-4EE2-8283-11DBEF9E77D9}"/>
  </hyperlinks>
  <pageMargins left="0.7" right="0.7" top="0.75" bottom="0.75" header="0" footer="0"/>
  <pageSetup orientation="portrait" r:id="rId22"/>
  <drawing r:id="rId2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306C"/>
  </sheetPr>
  <dimension ref="A1:AE999"/>
  <sheetViews>
    <sheetView zoomScaleNormal="100" workbookViewId="0">
      <pane xSplit="1" ySplit="3" topLeftCell="H18" activePane="bottomRight" state="frozen"/>
      <selection pane="topRight" activeCell="B1" sqref="B1"/>
      <selection pane="bottomLeft" activeCell="A4" sqref="A4"/>
      <selection pane="bottomRight" activeCell="P31" sqref="P31"/>
    </sheetView>
  </sheetViews>
  <sheetFormatPr defaultColWidth="14.42578125" defaultRowHeight="15" customHeight="1"/>
  <cols>
    <col min="1" max="1" width="86" customWidth="1"/>
    <col min="2" max="16" width="11.7109375" customWidth="1"/>
    <col min="17" max="17" width="24.140625" customWidth="1"/>
    <col min="18" max="18" width="70.85546875" customWidth="1"/>
    <col min="19" max="19" width="24.7109375" customWidth="1"/>
    <col min="20" max="20" width="20.5703125" customWidth="1"/>
    <col min="21" max="31" width="8.85546875" customWidth="1"/>
  </cols>
  <sheetData>
    <row r="1" spans="1:31">
      <c r="A1" s="639" t="s">
        <v>199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>
      <c r="A2" s="640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</row>
    <row r="3" spans="1:31">
      <c r="A3" s="27" t="s">
        <v>19</v>
      </c>
      <c r="B3" s="324">
        <v>2010</v>
      </c>
      <c r="C3" s="324">
        <v>2011</v>
      </c>
      <c r="D3" s="324">
        <v>2012</v>
      </c>
      <c r="E3" s="324">
        <v>2013</v>
      </c>
      <c r="F3" s="324">
        <v>2014</v>
      </c>
      <c r="G3" s="324">
        <v>2015</v>
      </c>
      <c r="H3" s="324">
        <v>2016</v>
      </c>
      <c r="I3" s="324">
        <v>2017</v>
      </c>
      <c r="J3" s="324">
        <v>2018</v>
      </c>
      <c r="K3" s="324">
        <v>2019</v>
      </c>
      <c r="L3" s="324">
        <v>2020</v>
      </c>
      <c r="M3" s="324">
        <v>2021</v>
      </c>
      <c r="N3" s="324">
        <v>2022</v>
      </c>
      <c r="O3" s="324">
        <v>2023</v>
      </c>
      <c r="P3" s="324">
        <v>2024</v>
      </c>
      <c r="Q3" s="28" t="s">
        <v>20</v>
      </c>
      <c r="R3" s="28" t="s">
        <v>21</v>
      </c>
      <c r="S3" s="27" t="s">
        <v>22</v>
      </c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>
      <c r="A4" s="33" t="s">
        <v>200</v>
      </c>
      <c r="B4" s="293">
        <v>133</v>
      </c>
      <c r="C4" s="293">
        <v>158</v>
      </c>
      <c r="D4" s="293">
        <v>183</v>
      </c>
      <c r="E4" s="293">
        <v>209</v>
      </c>
      <c r="F4" s="293">
        <v>218</v>
      </c>
      <c r="G4" s="377">
        <v>225</v>
      </c>
      <c r="H4" s="441">
        <v>229</v>
      </c>
      <c r="I4" s="441">
        <v>234</v>
      </c>
      <c r="J4" s="441">
        <v>245</v>
      </c>
      <c r="K4" s="441">
        <v>257</v>
      </c>
      <c r="L4" s="441">
        <v>282</v>
      </c>
      <c r="M4" s="441">
        <v>341</v>
      </c>
      <c r="N4" s="293">
        <v>400</v>
      </c>
      <c r="O4" s="293">
        <v>429</v>
      </c>
      <c r="P4" s="293">
        <v>400</v>
      </c>
      <c r="Q4" s="32" t="s">
        <v>69</v>
      </c>
      <c r="R4" s="49" t="s">
        <v>201</v>
      </c>
      <c r="S4" s="32" t="s">
        <v>492</v>
      </c>
      <c r="T4" s="5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</row>
    <row r="5" spans="1:31">
      <c r="A5" s="32" t="s">
        <v>202</v>
      </c>
      <c r="B5" s="293">
        <v>25</v>
      </c>
      <c r="C5" s="293">
        <v>38</v>
      </c>
      <c r="D5" s="293">
        <v>50</v>
      </c>
      <c r="E5" s="293">
        <v>61</v>
      </c>
      <c r="F5" s="293">
        <v>64</v>
      </c>
      <c r="G5" s="442">
        <v>65</v>
      </c>
      <c r="H5" s="126">
        <v>68</v>
      </c>
      <c r="I5" s="126">
        <v>71</v>
      </c>
      <c r="J5" s="126">
        <v>75</v>
      </c>
      <c r="K5" s="126">
        <v>95</v>
      </c>
      <c r="L5" s="126">
        <v>97</v>
      </c>
      <c r="M5" s="126">
        <v>101</v>
      </c>
      <c r="N5" s="293">
        <v>100</v>
      </c>
      <c r="O5" s="293">
        <v>100</v>
      </c>
      <c r="P5" s="293">
        <v>91</v>
      </c>
      <c r="Q5" s="32" t="s">
        <v>69</v>
      </c>
      <c r="R5" s="49" t="s">
        <v>201</v>
      </c>
      <c r="S5" s="32" t="s">
        <v>492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</row>
    <row r="6" spans="1:31">
      <c r="A6" s="32" t="s">
        <v>203</v>
      </c>
      <c r="B6" s="293">
        <v>14</v>
      </c>
      <c r="C6" s="293">
        <v>14</v>
      </c>
      <c r="D6" s="293">
        <v>14</v>
      </c>
      <c r="E6" s="293">
        <v>14</v>
      </c>
      <c r="F6" s="293">
        <v>14</v>
      </c>
      <c r="G6" s="442">
        <v>14</v>
      </c>
      <c r="H6" s="126">
        <v>14</v>
      </c>
      <c r="I6" s="126">
        <v>14</v>
      </c>
      <c r="J6" s="126">
        <v>14</v>
      </c>
      <c r="K6" s="126">
        <v>11</v>
      </c>
      <c r="L6" s="126">
        <v>29</v>
      </c>
      <c r="M6" s="126">
        <v>29</v>
      </c>
      <c r="N6" s="293">
        <v>15</v>
      </c>
      <c r="O6" s="293">
        <v>15</v>
      </c>
      <c r="P6" s="293">
        <v>28</v>
      </c>
      <c r="Q6" s="32" t="s">
        <v>69</v>
      </c>
      <c r="R6" s="49" t="s">
        <v>201</v>
      </c>
      <c r="S6" s="32" t="s">
        <v>492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</row>
    <row r="7" spans="1:31">
      <c r="A7" s="32" t="s">
        <v>204</v>
      </c>
      <c r="B7" s="293">
        <v>13</v>
      </c>
      <c r="C7" s="293">
        <v>13</v>
      </c>
      <c r="D7" s="293">
        <v>13</v>
      </c>
      <c r="E7" s="293">
        <v>13</v>
      </c>
      <c r="F7" s="293">
        <v>13</v>
      </c>
      <c r="G7" s="442">
        <v>13</v>
      </c>
      <c r="H7" s="126">
        <v>13</v>
      </c>
      <c r="I7" s="126">
        <v>13</v>
      </c>
      <c r="J7" s="126">
        <v>13</v>
      </c>
      <c r="K7" s="126">
        <v>11</v>
      </c>
      <c r="L7" s="126">
        <v>10</v>
      </c>
      <c r="M7" s="126">
        <v>10</v>
      </c>
      <c r="N7" s="293">
        <v>12</v>
      </c>
      <c r="O7" s="293">
        <v>12</v>
      </c>
      <c r="P7" s="293">
        <v>13</v>
      </c>
      <c r="Q7" s="32" t="s">
        <v>69</v>
      </c>
      <c r="R7" s="49" t="s">
        <v>201</v>
      </c>
      <c r="S7" s="32" t="s">
        <v>492</v>
      </c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</row>
    <row r="8" spans="1:31">
      <c r="A8" s="32" t="s">
        <v>205</v>
      </c>
      <c r="B8" s="293">
        <v>81</v>
      </c>
      <c r="C8" s="293">
        <v>93</v>
      </c>
      <c r="D8" s="293">
        <v>106</v>
      </c>
      <c r="E8" s="293">
        <v>121</v>
      </c>
      <c r="F8" s="293">
        <v>127</v>
      </c>
      <c r="G8" s="442">
        <v>133</v>
      </c>
      <c r="H8" s="126">
        <v>134</v>
      </c>
      <c r="I8" s="126">
        <v>136</v>
      </c>
      <c r="J8" s="126">
        <v>143</v>
      </c>
      <c r="K8" s="126">
        <v>107</v>
      </c>
      <c r="L8" s="126">
        <v>119</v>
      </c>
      <c r="M8" s="126">
        <v>119</v>
      </c>
      <c r="N8" s="293">
        <v>101</v>
      </c>
      <c r="O8" s="293">
        <v>101</v>
      </c>
      <c r="P8" s="293">
        <v>109</v>
      </c>
      <c r="Q8" s="32" t="s">
        <v>69</v>
      </c>
      <c r="R8" s="49" t="s">
        <v>201</v>
      </c>
      <c r="S8" s="32" t="s">
        <v>492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</row>
    <row r="9" spans="1:31">
      <c r="A9" s="33" t="s">
        <v>206</v>
      </c>
      <c r="B9" s="293">
        <v>0</v>
      </c>
      <c r="C9" s="293">
        <v>1</v>
      </c>
      <c r="D9" s="293">
        <v>4</v>
      </c>
      <c r="E9" s="293">
        <v>1</v>
      </c>
      <c r="F9" s="293">
        <v>0</v>
      </c>
      <c r="G9" s="442">
        <v>0</v>
      </c>
      <c r="H9" s="126">
        <v>0</v>
      </c>
      <c r="I9" s="126">
        <v>1</v>
      </c>
      <c r="J9" s="126">
        <v>3</v>
      </c>
      <c r="K9" s="126">
        <v>6</v>
      </c>
      <c r="L9" s="126">
        <v>7</v>
      </c>
      <c r="M9" s="126">
        <v>15</v>
      </c>
      <c r="N9" s="293">
        <v>24</v>
      </c>
      <c r="O9" s="293">
        <v>29</v>
      </c>
      <c r="P9" s="293">
        <v>73</v>
      </c>
      <c r="Q9" s="32" t="s">
        <v>69</v>
      </c>
      <c r="R9" s="49" t="s">
        <v>201</v>
      </c>
      <c r="S9" s="32" t="s">
        <v>492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1:31">
      <c r="A10" s="33" t="s">
        <v>207</v>
      </c>
      <c r="B10" s="439">
        <v>3</v>
      </c>
      <c r="C10" s="439">
        <v>8</v>
      </c>
      <c r="D10" s="439">
        <v>1</v>
      </c>
      <c r="E10" s="439">
        <v>3</v>
      </c>
      <c r="F10" s="439">
        <v>5</v>
      </c>
      <c r="G10" s="452">
        <v>4</v>
      </c>
      <c r="H10" s="126">
        <v>9</v>
      </c>
      <c r="I10" s="126">
        <v>4</v>
      </c>
      <c r="J10" s="126">
        <v>2</v>
      </c>
      <c r="K10" s="126">
        <v>3</v>
      </c>
      <c r="L10" s="126">
        <v>1</v>
      </c>
      <c r="M10" s="126">
        <v>0</v>
      </c>
      <c r="N10" s="293">
        <v>2</v>
      </c>
      <c r="O10" s="293">
        <v>0</v>
      </c>
      <c r="P10" s="293">
        <v>0</v>
      </c>
      <c r="Q10" s="32" t="s">
        <v>69</v>
      </c>
      <c r="R10" s="49" t="s">
        <v>201</v>
      </c>
      <c r="S10" s="32" t="s">
        <v>492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1">
      <c r="A11" s="33" t="s">
        <v>208</v>
      </c>
      <c r="B11" s="439">
        <v>29</v>
      </c>
      <c r="C11" s="439">
        <v>34</v>
      </c>
      <c r="D11" s="439">
        <v>35</v>
      </c>
      <c r="E11" s="439">
        <v>36</v>
      </c>
      <c r="F11" s="439">
        <v>36</v>
      </c>
      <c r="G11" s="452">
        <v>36</v>
      </c>
      <c r="H11" s="453">
        <v>36</v>
      </c>
      <c r="I11" s="126">
        <v>36</v>
      </c>
      <c r="J11" s="126">
        <v>36</v>
      </c>
      <c r="K11" s="126">
        <v>36</v>
      </c>
      <c r="L11" s="126">
        <v>35</v>
      </c>
      <c r="M11" s="126">
        <v>35</v>
      </c>
      <c r="N11" s="293">
        <v>34</v>
      </c>
      <c r="O11" s="293">
        <v>35</v>
      </c>
      <c r="P11" s="293">
        <v>38</v>
      </c>
      <c r="Q11" s="32" t="s">
        <v>69</v>
      </c>
      <c r="R11" s="49" t="s">
        <v>201</v>
      </c>
      <c r="S11" s="32" t="s">
        <v>492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 ht="30">
      <c r="A12" s="33" t="s">
        <v>209</v>
      </c>
      <c r="B12" s="293">
        <v>359</v>
      </c>
      <c r="C12" s="293">
        <v>394</v>
      </c>
      <c r="D12" s="293">
        <v>425</v>
      </c>
      <c r="E12" s="293">
        <v>451</v>
      </c>
      <c r="F12" s="293">
        <v>474</v>
      </c>
      <c r="G12" s="293">
        <v>483</v>
      </c>
      <c r="H12" s="293">
        <v>490</v>
      </c>
      <c r="I12" s="293">
        <v>497</v>
      </c>
      <c r="J12" s="293">
        <v>514</v>
      </c>
      <c r="K12" s="293">
        <v>565</v>
      </c>
      <c r="L12" s="293">
        <v>545</v>
      </c>
      <c r="M12" s="293">
        <v>549</v>
      </c>
      <c r="N12" s="293">
        <v>516</v>
      </c>
      <c r="O12" s="293">
        <v>535</v>
      </c>
      <c r="P12" s="293">
        <v>542</v>
      </c>
      <c r="Q12" s="33" t="s">
        <v>69</v>
      </c>
      <c r="R12" s="91" t="s">
        <v>210</v>
      </c>
      <c r="S12" s="32" t="s">
        <v>73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30">
      <c r="A13" s="33" t="s">
        <v>211</v>
      </c>
      <c r="B13" s="293">
        <v>46</v>
      </c>
      <c r="C13" s="293">
        <v>46</v>
      </c>
      <c r="D13" s="293">
        <v>48</v>
      </c>
      <c r="E13" s="293">
        <v>48</v>
      </c>
      <c r="F13" s="293">
        <v>49</v>
      </c>
      <c r="G13" s="293">
        <v>49</v>
      </c>
      <c r="H13" s="293">
        <v>49</v>
      </c>
      <c r="I13" s="293">
        <v>49</v>
      </c>
      <c r="J13" s="293">
        <v>49</v>
      </c>
      <c r="K13" s="293">
        <v>49</v>
      </c>
      <c r="L13" s="293">
        <v>49</v>
      </c>
      <c r="M13" s="293">
        <v>49</v>
      </c>
      <c r="N13" s="293">
        <v>49</v>
      </c>
      <c r="O13" s="293">
        <v>45</v>
      </c>
      <c r="P13" s="293">
        <v>45</v>
      </c>
      <c r="Q13" s="33" t="s">
        <v>69</v>
      </c>
      <c r="R13" s="92" t="s">
        <v>212</v>
      </c>
      <c r="S13" s="32" t="s">
        <v>73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>
      <c r="A14" s="83"/>
      <c r="B14" s="444"/>
      <c r="C14" s="444"/>
      <c r="D14" s="444"/>
      <c r="E14" s="444"/>
      <c r="F14" s="444"/>
      <c r="G14" s="444"/>
      <c r="H14" s="444"/>
      <c r="I14" s="444"/>
      <c r="J14" s="443"/>
      <c r="K14" s="443"/>
      <c r="L14" s="443"/>
      <c r="M14" s="454"/>
      <c r="N14" s="443"/>
      <c r="O14" s="443"/>
      <c r="P14" s="455"/>
      <c r="Q14" s="85"/>
      <c r="R14" s="85"/>
      <c r="S14" s="93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>
      <c r="A15" s="27" t="s">
        <v>213</v>
      </c>
      <c r="B15" s="324">
        <v>2010</v>
      </c>
      <c r="C15" s="324">
        <v>2011</v>
      </c>
      <c r="D15" s="324">
        <v>2012</v>
      </c>
      <c r="E15" s="324">
        <v>2013</v>
      </c>
      <c r="F15" s="324">
        <v>2014</v>
      </c>
      <c r="G15" s="324">
        <v>2015</v>
      </c>
      <c r="H15" s="324">
        <v>2016</v>
      </c>
      <c r="I15" s="324">
        <v>2017</v>
      </c>
      <c r="J15" s="324">
        <v>2018</v>
      </c>
      <c r="K15" s="324">
        <v>2019</v>
      </c>
      <c r="L15" s="456">
        <v>2020</v>
      </c>
      <c r="M15" s="457">
        <v>2021</v>
      </c>
      <c r="N15" s="324">
        <v>2022</v>
      </c>
      <c r="O15" s="324">
        <v>2023</v>
      </c>
      <c r="P15" s="324">
        <v>2024</v>
      </c>
      <c r="Q15" s="28" t="s">
        <v>20</v>
      </c>
      <c r="R15" s="28" t="s">
        <v>21</v>
      </c>
      <c r="S15" s="27" t="s">
        <v>22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 spans="1:31">
      <c r="A16" s="33" t="s">
        <v>214</v>
      </c>
      <c r="B16" s="458"/>
      <c r="C16" s="458"/>
      <c r="D16" s="458"/>
      <c r="E16" s="458"/>
      <c r="F16" s="459"/>
      <c r="G16" s="459"/>
      <c r="H16" s="459"/>
      <c r="I16" s="459"/>
      <c r="J16" s="309">
        <v>125.12774973833359</v>
      </c>
      <c r="K16" s="460"/>
      <c r="L16" s="446">
        <v>344.75902719999999</v>
      </c>
      <c r="M16" s="390">
        <v>346.13106220000003</v>
      </c>
      <c r="N16" s="309">
        <v>434.83679999999998</v>
      </c>
      <c r="O16" s="309">
        <v>435.87349999999998</v>
      </c>
      <c r="P16" s="309">
        <v>497</v>
      </c>
      <c r="Q16" s="32" t="s">
        <v>69</v>
      </c>
      <c r="R16" s="205" t="s">
        <v>450</v>
      </c>
      <c r="S16" s="32" t="s">
        <v>492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 ht="30">
      <c r="A17" s="33" t="s">
        <v>215</v>
      </c>
      <c r="B17" s="458"/>
      <c r="C17" s="458"/>
      <c r="D17" s="458"/>
      <c r="E17" s="458"/>
      <c r="F17" s="459"/>
      <c r="G17" s="459"/>
      <c r="H17" s="459"/>
      <c r="I17" s="459"/>
      <c r="J17" s="309">
        <v>132</v>
      </c>
      <c r="K17" s="460"/>
      <c r="L17" s="309">
        <v>147</v>
      </c>
      <c r="M17" s="461"/>
      <c r="N17" s="460"/>
      <c r="O17" s="309">
        <v>147.08000000000001</v>
      </c>
      <c r="P17" s="461"/>
      <c r="Q17" s="32" t="s">
        <v>216</v>
      </c>
      <c r="R17" s="96" t="s">
        <v>217</v>
      </c>
      <c r="S17" s="32" t="s">
        <v>492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</row>
    <row r="18" spans="1:31" ht="30">
      <c r="A18" s="33" t="s">
        <v>218</v>
      </c>
      <c r="B18" s="458"/>
      <c r="C18" s="458"/>
      <c r="D18" s="458"/>
      <c r="E18" s="458"/>
      <c r="F18" s="459"/>
      <c r="G18" s="459"/>
      <c r="H18" s="459"/>
      <c r="I18" s="459"/>
      <c r="J18" s="338">
        <v>1124</v>
      </c>
      <c r="K18" s="467"/>
      <c r="L18" s="338">
        <v>1157</v>
      </c>
      <c r="M18" s="468"/>
      <c r="N18" s="467"/>
      <c r="O18" s="338">
        <v>1277.8889999999999</v>
      </c>
      <c r="P18" s="468"/>
      <c r="Q18" s="32" t="s">
        <v>216</v>
      </c>
      <c r="R18" s="97" t="s">
        <v>219</v>
      </c>
      <c r="S18" s="32" t="s">
        <v>492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ht="30">
      <c r="A19" s="33" t="s">
        <v>220</v>
      </c>
      <c r="B19" s="294">
        <v>0.94784544532000004</v>
      </c>
      <c r="C19" s="294">
        <v>1.3818346454280002</v>
      </c>
      <c r="D19" s="294">
        <v>1.6778588646600001</v>
      </c>
      <c r="E19" s="294">
        <v>2.0842330495920001</v>
      </c>
      <c r="F19" s="294">
        <v>2.1646238639919999</v>
      </c>
      <c r="G19" s="294">
        <v>2.1646238639919999</v>
      </c>
      <c r="H19" s="294">
        <v>2.1866800590039999</v>
      </c>
      <c r="I19" s="294">
        <v>2.1870212590039997</v>
      </c>
      <c r="J19" s="294">
        <v>2.3303904964439996</v>
      </c>
      <c r="K19" s="294">
        <v>2.3785148286639997</v>
      </c>
      <c r="L19" s="294">
        <v>2.4109288286639998</v>
      </c>
      <c r="M19" s="294">
        <v>2.4109288286639998</v>
      </c>
      <c r="N19" s="294">
        <v>2.4109288286639998</v>
      </c>
      <c r="O19" s="294">
        <v>2.4109288286639998</v>
      </c>
      <c r="P19" s="294">
        <v>2.2488247086639999</v>
      </c>
      <c r="Q19" s="32" t="s">
        <v>69</v>
      </c>
      <c r="R19" s="128" t="s">
        <v>201</v>
      </c>
      <c r="S19" s="61" t="s">
        <v>524</v>
      </c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</row>
    <row r="20" spans="1:31" ht="15.75" customHeight="1">
      <c r="A20" s="33" t="s">
        <v>221</v>
      </c>
      <c r="B20" s="294">
        <v>5.3880716000000026</v>
      </c>
      <c r="C20" s="294">
        <v>5.5375620950000028</v>
      </c>
      <c r="D20" s="294">
        <v>5.9042283200000032</v>
      </c>
      <c r="E20" s="294">
        <v>7.1320503600000027</v>
      </c>
      <c r="F20" s="294">
        <v>7.1768723600000026</v>
      </c>
      <c r="G20" s="294">
        <v>7.8956303600000028</v>
      </c>
      <c r="H20" s="294">
        <v>7.8956303600000028</v>
      </c>
      <c r="I20" s="294">
        <v>7.8956303600000028</v>
      </c>
      <c r="J20" s="294">
        <v>9.7217618600000026</v>
      </c>
      <c r="K20" s="294">
        <v>10.652238110000003</v>
      </c>
      <c r="L20" s="294">
        <v>12.763315985000002</v>
      </c>
      <c r="M20" s="294">
        <v>17.167976115000002</v>
      </c>
      <c r="N20" s="294">
        <v>18.214613615000001</v>
      </c>
      <c r="O20" s="294">
        <v>18.251769155000002</v>
      </c>
      <c r="P20" s="294">
        <v>23.144699639999999</v>
      </c>
      <c r="Q20" s="32" t="s">
        <v>69</v>
      </c>
      <c r="R20" s="49" t="s">
        <v>201</v>
      </c>
      <c r="S20" s="32" t="s">
        <v>492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1" ht="15.75" customHeight="1">
      <c r="A21" s="33" t="s">
        <v>222</v>
      </c>
      <c r="B21" s="294">
        <v>1.8173375676396248</v>
      </c>
      <c r="C21" s="294">
        <v>2.3786014937462703</v>
      </c>
      <c r="D21" s="294">
        <v>3.0289899970258229</v>
      </c>
      <c r="E21" s="294">
        <v>3.5291746615061301</v>
      </c>
      <c r="F21" s="294">
        <v>3.723025227346159</v>
      </c>
      <c r="G21" s="294">
        <v>3.8045922425502354</v>
      </c>
      <c r="H21" s="294">
        <v>4.0303677316089201</v>
      </c>
      <c r="I21" s="294">
        <v>4.2102567296590419</v>
      </c>
      <c r="J21" s="294">
        <v>4.9356798236985568</v>
      </c>
      <c r="K21" s="294">
        <v>5.7714268882248847</v>
      </c>
      <c r="L21" s="294">
        <v>7.404395031459039</v>
      </c>
      <c r="M21" s="294">
        <v>9.7669785861637131</v>
      </c>
      <c r="N21" s="294">
        <v>10.486236226389488</v>
      </c>
      <c r="O21" s="294">
        <v>10.504499451395025</v>
      </c>
      <c r="P21" s="294">
        <v>18.182938806062069</v>
      </c>
      <c r="Q21" s="32" t="s">
        <v>69</v>
      </c>
      <c r="R21" s="128" t="s">
        <v>201</v>
      </c>
      <c r="S21" s="32" t="s">
        <v>492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 ht="30">
      <c r="A22" s="33" t="s">
        <v>223</v>
      </c>
      <c r="B22" s="294">
        <v>271.10000000000002</v>
      </c>
      <c r="C22" s="294">
        <v>264.86</v>
      </c>
      <c r="D22" s="294">
        <v>264.39</v>
      </c>
      <c r="E22" s="294">
        <v>259.24</v>
      </c>
      <c r="F22" s="294">
        <v>258.45999999999998</v>
      </c>
      <c r="G22" s="294">
        <v>266.56</v>
      </c>
      <c r="H22" s="294">
        <v>274.02999999999997</v>
      </c>
      <c r="I22" s="294">
        <v>277.5</v>
      </c>
      <c r="J22" s="294">
        <v>281.20999999999998</v>
      </c>
      <c r="K22" s="294">
        <v>280.37</v>
      </c>
      <c r="L22" s="402">
        <v>281.02</v>
      </c>
      <c r="M22" s="462">
        <v>278.23</v>
      </c>
      <c r="N22" s="462">
        <v>274.3</v>
      </c>
      <c r="O22" s="458"/>
      <c r="P22" s="458"/>
      <c r="Q22" s="32" t="s">
        <v>69</v>
      </c>
      <c r="R22" s="49" t="s">
        <v>224</v>
      </c>
      <c r="S22" s="32" t="s">
        <v>73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ht="15.75" customHeight="1">
      <c r="A23" s="33" t="s">
        <v>225</v>
      </c>
      <c r="B23" s="309">
        <v>106.681</v>
      </c>
      <c r="C23" s="309">
        <v>114.173</v>
      </c>
      <c r="D23" s="309">
        <v>125.92700000000001</v>
      </c>
      <c r="E23" s="309">
        <v>133.18</v>
      </c>
      <c r="F23" s="463">
        <v>141.63200000000001</v>
      </c>
      <c r="G23" s="309">
        <v>138.84100000000001</v>
      </c>
      <c r="H23" s="309">
        <v>137.6</v>
      </c>
      <c r="I23" s="309">
        <v>139.83099999999999</v>
      </c>
      <c r="J23" s="309">
        <v>135.92099999999999</v>
      </c>
      <c r="K23" s="309">
        <v>129.5</v>
      </c>
      <c r="L23" s="446">
        <v>126.872</v>
      </c>
      <c r="M23" s="390">
        <v>116.04900000000001</v>
      </c>
      <c r="N23" s="309">
        <v>105.99299999999999</v>
      </c>
      <c r="O23" s="309">
        <v>97.56</v>
      </c>
      <c r="P23" s="309">
        <v>91.335999999999999</v>
      </c>
      <c r="Q23" s="32" t="s">
        <v>39</v>
      </c>
      <c r="R23" s="49" t="s">
        <v>226</v>
      </c>
      <c r="S23" s="32" t="s">
        <v>492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 ht="15.75" customHeight="1">
      <c r="A24" s="33" t="s">
        <v>227</v>
      </c>
      <c r="B24" s="309">
        <v>219.95400000000001</v>
      </c>
      <c r="C24" s="309">
        <v>235.99</v>
      </c>
      <c r="D24" s="309">
        <v>259.56400000000002</v>
      </c>
      <c r="E24" s="309">
        <v>272.798</v>
      </c>
      <c r="F24" s="463">
        <v>287.69200000000001</v>
      </c>
      <c r="G24" s="309">
        <v>284.05200000000002</v>
      </c>
      <c r="H24" s="309">
        <v>277.72000000000003</v>
      </c>
      <c r="I24" s="309">
        <v>282.05099999999999</v>
      </c>
      <c r="J24" s="309">
        <v>273.85599999999999</v>
      </c>
      <c r="K24" s="309">
        <v>261.06400000000002</v>
      </c>
      <c r="L24" s="446">
        <v>256.512</v>
      </c>
      <c r="M24" s="390">
        <v>235.90600000000001</v>
      </c>
      <c r="N24" s="309">
        <v>216.14599999999999</v>
      </c>
      <c r="O24" s="309">
        <v>197.71199999999999</v>
      </c>
      <c r="P24" s="309">
        <v>184.874</v>
      </c>
      <c r="Q24" s="32" t="s">
        <v>39</v>
      </c>
      <c r="R24" s="52" t="s">
        <v>228</v>
      </c>
      <c r="S24" s="32" t="s">
        <v>492</v>
      </c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ht="15.75" customHeight="1">
      <c r="A25" s="33" t="s">
        <v>229</v>
      </c>
      <c r="B25" s="309">
        <v>64.168769999999981</v>
      </c>
      <c r="C25" s="309">
        <v>71.994010000000017</v>
      </c>
      <c r="D25" s="309">
        <v>80.27265000000007</v>
      </c>
      <c r="E25" s="309">
        <v>89.394360000000091</v>
      </c>
      <c r="F25" s="309">
        <v>96.577120000000036</v>
      </c>
      <c r="G25" s="309">
        <v>99.470280000000031</v>
      </c>
      <c r="H25" s="309">
        <v>105.34576000000007</v>
      </c>
      <c r="I25" s="309">
        <v>108.25581000000007</v>
      </c>
      <c r="J25" s="309">
        <v>115.4852600000001</v>
      </c>
      <c r="K25" s="309">
        <v>90.052050000000008</v>
      </c>
      <c r="L25" s="446">
        <v>93.594800000000006</v>
      </c>
      <c r="M25" s="390">
        <v>94.378799999999998</v>
      </c>
      <c r="N25" s="309">
        <v>94.853300000000004</v>
      </c>
      <c r="O25" s="309">
        <v>95.1357</v>
      </c>
      <c r="P25" s="309">
        <v>89.309060000000088</v>
      </c>
      <c r="Q25" s="32" t="s">
        <v>69</v>
      </c>
      <c r="R25" s="55" t="s">
        <v>230</v>
      </c>
      <c r="S25" s="32" t="s">
        <v>492</v>
      </c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</row>
    <row r="26" spans="1:31" ht="15.75" customHeight="1">
      <c r="A26" s="33" t="s">
        <v>231</v>
      </c>
      <c r="B26" s="309">
        <v>163.1</v>
      </c>
      <c r="C26" s="309">
        <v>153.87</v>
      </c>
      <c r="D26" s="309">
        <v>155.63</v>
      </c>
      <c r="E26" s="309">
        <v>151.69</v>
      </c>
      <c r="F26" s="309">
        <v>151.38999999999999</v>
      </c>
      <c r="G26" s="309">
        <v>150.22</v>
      </c>
      <c r="H26" s="309">
        <v>146.27000000000001</v>
      </c>
      <c r="I26" s="309">
        <v>147.9</v>
      </c>
      <c r="J26" s="309">
        <v>150.22999999999999</v>
      </c>
      <c r="K26" s="309">
        <v>152.36000000000001</v>
      </c>
      <c r="L26" s="450">
        <v>147.6</v>
      </c>
      <c r="M26" s="390">
        <v>145.28</v>
      </c>
      <c r="N26" s="309">
        <v>143.16999999999999</v>
      </c>
      <c r="O26" s="458"/>
      <c r="P26" s="458"/>
      <c r="Q26" s="32" t="s">
        <v>69</v>
      </c>
      <c r="R26" s="67" t="s">
        <v>224</v>
      </c>
      <c r="S26" s="32" t="s">
        <v>418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spans="1:31" ht="15.75" customHeight="1">
      <c r="A27" s="83"/>
      <c r="B27" s="444"/>
      <c r="C27" s="444"/>
      <c r="D27" s="444"/>
      <c r="E27" s="444"/>
      <c r="F27" s="444"/>
      <c r="G27" s="444"/>
      <c r="H27" s="464"/>
      <c r="I27" s="464"/>
      <c r="J27" s="464"/>
      <c r="K27" s="464"/>
      <c r="L27" s="464"/>
      <c r="M27" s="464"/>
      <c r="N27" s="464"/>
      <c r="O27" s="464"/>
      <c r="P27" s="465"/>
      <c r="Q27" s="85"/>
      <c r="R27" s="85"/>
      <c r="S27" s="93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</row>
    <row r="28" spans="1:31" ht="15.75" customHeight="1">
      <c r="A28" s="27" t="s">
        <v>232</v>
      </c>
      <c r="B28" s="324">
        <v>2010</v>
      </c>
      <c r="C28" s="324">
        <v>2011</v>
      </c>
      <c r="D28" s="324">
        <v>2012</v>
      </c>
      <c r="E28" s="324">
        <v>2013</v>
      </c>
      <c r="F28" s="324">
        <v>2014</v>
      </c>
      <c r="G28" s="324">
        <v>2015</v>
      </c>
      <c r="H28" s="324">
        <v>2016</v>
      </c>
      <c r="I28" s="324">
        <v>2107</v>
      </c>
      <c r="J28" s="324">
        <v>2018</v>
      </c>
      <c r="K28" s="324">
        <v>2019</v>
      </c>
      <c r="L28" s="324">
        <v>2020</v>
      </c>
      <c r="M28" s="324">
        <v>2021</v>
      </c>
      <c r="N28" s="324">
        <v>2022</v>
      </c>
      <c r="O28" s="324">
        <v>2023</v>
      </c>
      <c r="P28" s="324">
        <v>2024</v>
      </c>
      <c r="Q28" s="28" t="s">
        <v>20</v>
      </c>
      <c r="R28" s="28" t="s">
        <v>21</v>
      </c>
      <c r="S28" s="27" t="s">
        <v>22</v>
      </c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 spans="1:31" ht="15.75" customHeight="1">
      <c r="A29" s="33" t="s">
        <v>233</v>
      </c>
      <c r="B29" s="379"/>
      <c r="C29" s="300"/>
      <c r="D29" s="300"/>
      <c r="E29" s="300"/>
      <c r="F29" s="300"/>
      <c r="G29" s="300"/>
      <c r="H29" s="379"/>
      <c r="I29" s="300"/>
      <c r="J29" s="300"/>
      <c r="K29" s="300"/>
      <c r="L29" s="300"/>
      <c r="M29" s="300"/>
      <c r="N29" s="300"/>
      <c r="O29" s="300"/>
      <c r="P29" s="634"/>
      <c r="Q29" s="32" t="s">
        <v>69</v>
      </c>
      <c r="R29" s="49"/>
      <c r="S29" s="33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ht="15.75" customHeight="1">
      <c r="A30" s="33" t="s">
        <v>234</v>
      </c>
      <c r="B30" s="300"/>
      <c r="C30" s="300"/>
      <c r="D30" s="300"/>
      <c r="E30" s="300"/>
      <c r="F30" s="449">
        <v>275000</v>
      </c>
      <c r="G30" s="300"/>
      <c r="H30" s="379"/>
      <c r="I30" s="379"/>
      <c r="J30" s="379"/>
      <c r="K30" s="379"/>
      <c r="L30" s="449">
        <v>372870</v>
      </c>
      <c r="M30" s="379"/>
      <c r="N30" s="379"/>
      <c r="O30" s="379"/>
      <c r="P30" s="635"/>
      <c r="Q30" s="32" t="s">
        <v>69</v>
      </c>
      <c r="R30" s="91" t="s">
        <v>235</v>
      </c>
      <c r="S30" s="33" t="s">
        <v>73</v>
      </c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spans="1:31" ht="15.75" customHeight="1">
      <c r="A31" s="33" t="s">
        <v>236</v>
      </c>
      <c r="B31" s="300"/>
      <c r="C31" s="300"/>
      <c r="D31" s="300"/>
      <c r="E31" s="300"/>
      <c r="F31" s="449">
        <v>18000</v>
      </c>
      <c r="G31" s="300"/>
      <c r="H31" s="300"/>
      <c r="I31" s="300"/>
      <c r="J31" s="300"/>
      <c r="K31" s="300"/>
      <c r="L31" s="449">
        <v>24826</v>
      </c>
      <c r="M31" s="300"/>
      <c r="N31" s="300"/>
      <c r="O31" s="300"/>
      <c r="P31" s="300"/>
      <c r="Q31" s="32" t="s">
        <v>69</v>
      </c>
      <c r="R31" s="98" t="s">
        <v>235</v>
      </c>
      <c r="S31" s="33" t="s">
        <v>73</v>
      </c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1" ht="30">
      <c r="A32" s="32" t="s">
        <v>237</v>
      </c>
      <c r="B32" s="300"/>
      <c r="C32" s="300"/>
      <c r="D32" s="300"/>
      <c r="E32" s="300"/>
      <c r="F32" s="449">
        <v>2.9</v>
      </c>
      <c r="G32" s="300"/>
      <c r="H32" s="300"/>
      <c r="I32" s="300"/>
      <c r="J32" s="300"/>
      <c r="K32" s="300"/>
      <c r="L32" s="300"/>
      <c r="M32" s="300"/>
      <c r="N32" s="300"/>
      <c r="O32" s="300"/>
      <c r="P32" s="300"/>
      <c r="Q32" s="32" t="s">
        <v>69</v>
      </c>
      <c r="R32" s="49" t="s">
        <v>238</v>
      </c>
      <c r="S32" s="33" t="s">
        <v>73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15.75" customHeight="1">
      <c r="A33" s="216"/>
      <c r="B33" s="466"/>
      <c r="C33" s="466"/>
      <c r="D33" s="466"/>
      <c r="E33" s="466"/>
      <c r="F33" s="466"/>
      <c r="G33" s="466"/>
      <c r="H33" s="466"/>
      <c r="I33" s="466"/>
      <c r="J33" s="466"/>
      <c r="K33" s="466"/>
      <c r="L33" s="466"/>
      <c r="M33" s="466"/>
      <c r="N33" s="466"/>
      <c r="O33" s="466"/>
      <c r="P33" s="466"/>
      <c r="Q33" s="216"/>
      <c r="R33" s="216"/>
      <c r="S33" s="216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  <row r="34" spans="1:31" ht="15.75" customHeight="1">
      <c r="A34" s="134" t="s">
        <v>423</v>
      </c>
      <c r="B34" s="451">
        <v>2010</v>
      </c>
      <c r="C34" s="451">
        <v>2011</v>
      </c>
      <c r="D34" s="451">
        <v>2012</v>
      </c>
      <c r="E34" s="451">
        <v>2013</v>
      </c>
      <c r="F34" s="451">
        <v>2014</v>
      </c>
      <c r="G34" s="451">
        <v>2015</v>
      </c>
      <c r="H34" s="451">
        <v>2016</v>
      </c>
      <c r="I34" s="451">
        <v>2017</v>
      </c>
      <c r="J34" s="451">
        <v>2018</v>
      </c>
      <c r="K34" s="451">
        <v>2019</v>
      </c>
      <c r="L34" s="451">
        <v>2020</v>
      </c>
      <c r="M34" s="451">
        <v>2021</v>
      </c>
      <c r="N34" s="451">
        <v>2022</v>
      </c>
      <c r="O34" s="451">
        <v>2023</v>
      </c>
      <c r="P34" s="451">
        <v>2024</v>
      </c>
      <c r="Q34" s="134" t="s">
        <v>20</v>
      </c>
      <c r="R34" s="134" t="s">
        <v>21</v>
      </c>
      <c r="S34" s="134" t="s">
        <v>22</v>
      </c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</row>
    <row r="35" spans="1:31" ht="15.75" customHeight="1">
      <c r="A35" s="136" t="s">
        <v>424</v>
      </c>
      <c r="B35" s="306">
        <v>7</v>
      </c>
      <c r="C35" s="306">
        <v>5</v>
      </c>
      <c r="D35" s="306">
        <v>6</v>
      </c>
      <c r="E35" s="306">
        <v>6</v>
      </c>
      <c r="F35" s="306">
        <v>5</v>
      </c>
      <c r="G35" s="306">
        <v>6</v>
      </c>
      <c r="H35" s="306">
        <v>5</v>
      </c>
      <c r="I35" s="306">
        <v>7</v>
      </c>
      <c r="J35" s="306">
        <v>14</v>
      </c>
      <c r="K35" s="306">
        <v>29</v>
      </c>
      <c r="L35" s="306">
        <v>53</v>
      </c>
      <c r="M35" s="306">
        <v>97</v>
      </c>
      <c r="N35" s="306">
        <v>109</v>
      </c>
      <c r="O35" s="306">
        <v>135</v>
      </c>
      <c r="P35" s="306"/>
      <c r="Q35" s="136" t="s">
        <v>69</v>
      </c>
      <c r="R35" s="218" t="s">
        <v>425</v>
      </c>
      <c r="S35" s="136" t="s">
        <v>426</v>
      </c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15.75" customHeight="1">
      <c r="A36" s="136" t="s">
        <v>427</v>
      </c>
      <c r="B36" s="306">
        <v>30</v>
      </c>
      <c r="C36" s="306">
        <v>32</v>
      </c>
      <c r="D36" s="306">
        <v>33</v>
      </c>
      <c r="E36" s="306">
        <v>38</v>
      </c>
      <c r="F36" s="306">
        <v>39</v>
      </c>
      <c r="G36" s="306">
        <v>41</v>
      </c>
      <c r="H36" s="306">
        <v>41</v>
      </c>
      <c r="I36" s="306">
        <v>45</v>
      </c>
      <c r="J36" s="306">
        <v>58</v>
      </c>
      <c r="K36" s="306">
        <v>63</v>
      </c>
      <c r="L36" s="306">
        <v>70</v>
      </c>
      <c r="M36" s="306">
        <v>76</v>
      </c>
      <c r="N36" s="306">
        <v>82</v>
      </c>
      <c r="O36" s="306">
        <v>102</v>
      </c>
      <c r="P36" s="306"/>
      <c r="Q36" s="136" t="s">
        <v>69</v>
      </c>
      <c r="R36" s="625" t="s">
        <v>425</v>
      </c>
      <c r="S36" s="136" t="s">
        <v>428</v>
      </c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spans="1:31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 spans="1:31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 spans="1:31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spans="1:3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 spans="1:31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spans="1:31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 spans="1:31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spans="1:31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 spans="1:31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spans="1:31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spans="1:3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spans="1:31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1:31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spans="1:31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 spans="1:31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spans="1:31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 spans="1:31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spans="1:31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 spans="1:31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spans="1:3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spans="1:31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 spans="1:31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spans="1:31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 spans="1:31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 spans="1:31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spans="1:31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 spans="1:31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spans="1:3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 spans="1:31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spans="1:31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 spans="1:31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 spans="1:31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spans="1:31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 spans="1:31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spans="1:31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 spans="1:31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spans="1:31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 spans="1:31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spans="1:31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 spans="1:31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spans="1:31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 spans="1:31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spans="1:3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 spans="1:31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 spans="1:31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 spans="1:31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 spans="1:31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 spans="1:31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 spans="1:31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 spans="1:31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 spans="1:31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 spans="1:31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 spans="1:3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 spans="1:31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 spans="1:31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 spans="1:31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 spans="1:31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 spans="1:31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 spans="1:31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 spans="1:31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 spans="1:31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 spans="1:3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 spans="1:31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 spans="1:31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 spans="1:31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 spans="1:31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 spans="1:31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 spans="1:31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 spans="1:31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 spans="1:31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 spans="1:31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 spans="1:3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1:31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 spans="1:31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 spans="1:31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 spans="1:31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spans="1:31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1:31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1:31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 spans="1:31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 spans="1:31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 spans="1:31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 spans="1:31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 spans="1:31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 spans="1:31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 spans="1:31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 spans="1:31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 spans="1:31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 spans="1:3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 spans="1:31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 spans="1:31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 spans="1:31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 spans="1:31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 spans="1:31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 spans="1:31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 spans="1:31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 spans="1:31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 spans="1:31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 spans="1:31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spans="1:31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 spans="1:31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 spans="1:31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 spans="1:31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 spans="1:31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 spans="1:31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 spans="1:31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 spans="1:31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 spans="1:3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 spans="1:31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 spans="1:31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 spans="1:31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 spans="1:31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 spans="1:31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 spans="1:31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 spans="1:31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 spans="1:31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 spans="1:31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 spans="1:3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 spans="1:31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 spans="1:31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 spans="1:31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 spans="1:31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 spans="1:31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 spans="1:31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 spans="1:31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 spans="1:31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 spans="1:31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 spans="1:3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 spans="1:31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 spans="1:31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 spans="1:31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 spans="1:31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 spans="1:31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 spans="1:31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 spans="1:31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 spans="1:31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 spans="1:31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 spans="1:3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 spans="1:31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 spans="1:31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 spans="1:31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 spans="1:31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 spans="1:31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 spans="1:31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 spans="1:31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 spans="1:31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 spans="1:31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 spans="1:3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 spans="1:31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 spans="1:31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 spans="1:31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 spans="1:31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 spans="1:31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 spans="1:31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 spans="1:31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 spans="1:31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 spans="1:31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 spans="1:3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 spans="1:31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 spans="1:31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 spans="1:31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 spans="1:31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 spans="1:31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 spans="1:31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 spans="1:31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 spans="1:31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 spans="1:31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 spans="1:3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 spans="1:31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 spans="1:31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 spans="1:31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 spans="1:31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 spans="1:31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 spans="1:31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 spans="1:31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 spans="1:31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 spans="1:31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 spans="1: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 spans="1:31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 spans="1:31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 spans="1:31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 spans="1:31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 spans="1:31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 spans="1:31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 spans="1:31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 spans="1:31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 spans="1:31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 spans="1:3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 spans="1:31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 spans="1:31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 spans="1:31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 spans="1:31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 spans="1:31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 spans="1:31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 spans="1:31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 spans="1:31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 spans="1:31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 spans="1:3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 spans="1:31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 spans="1:31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 spans="1:31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 spans="1:31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 spans="1:31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 spans="1:31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 spans="1:31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 spans="1:31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 spans="1:31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spans="1:3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spans="1:31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spans="1:31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spans="1:31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 spans="1:31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</sheetData>
  <mergeCells count="1">
    <mergeCell ref="A1:A2"/>
  </mergeCells>
  <hyperlinks>
    <hyperlink ref="R4" r:id="rId1" xr:uid="{00000000-0004-0000-0900-000000000000}"/>
    <hyperlink ref="R5" r:id="rId2" xr:uid="{00000000-0004-0000-0900-000001000000}"/>
    <hyperlink ref="R6" r:id="rId3" xr:uid="{00000000-0004-0000-0900-000002000000}"/>
    <hyperlink ref="R7" r:id="rId4" xr:uid="{00000000-0004-0000-0900-000003000000}"/>
    <hyperlink ref="R8" r:id="rId5" xr:uid="{00000000-0004-0000-0900-000004000000}"/>
    <hyperlink ref="R9" r:id="rId6" xr:uid="{00000000-0004-0000-0900-000005000000}"/>
    <hyperlink ref="R10" r:id="rId7" xr:uid="{00000000-0004-0000-0900-000007000000}"/>
    <hyperlink ref="R11" r:id="rId8" xr:uid="{00000000-0004-0000-0900-000008000000}"/>
    <hyperlink ref="R12" r:id="rId9" xr:uid="{00000000-0004-0000-0900-000009000000}"/>
    <hyperlink ref="R13" r:id="rId10" xr:uid="{00000000-0004-0000-0900-00000A000000}"/>
    <hyperlink ref="R17" r:id="rId11" xr:uid="{00000000-0004-0000-0900-00000B000000}"/>
    <hyperlink ref="R18" r:id="rId12" xr:uid="{00000000-0004-0000-0900-00000C000000}"/>
    <hyperlink ref="R19" r:id="rId13" xr:uid="{00000000-0004-0000-0900-00000D000000}"/>
    <hyperlink ref="R20" r:id="rId14" xr:uid="{00000000-0004-0000-0900-00000E000000}"/>
    <hyperlink ref="R21" r:id="rId15" xr:uid="{00000000-0004-0000-0900-00000F000000}"/>
    <hyperlink ref="R22" r:id="rId16" location="iallsectors/methane/inventsect/all" xr:uid="{00000000-0004-0000-0900-000010000000}"/>
    <hyperlink ref="R23" r:id="rId17" xr:uid="{00000000-0004-0000-0900-000011000000}"/>
    <hyperlink ref="R24" r:id="rId18" xr:uid="{00000000-0004-0000-0900-000012000000}"/>
    <hyperlink ref="R25" r:id="rId19" xr:uid="{00000000-0004-0000-0900-000013000000}"/>
    <hyperlink ref="R26" r:id="rId20" location="iallsectors/methane/inventsect/all" xr:uid="{00000000-0004-0000-0900-000014000000}"/>
    <hyperlink ref="R30" r:id="rId21" xr:uid="{00000000-0004-0000-0900-000015000000}"/>
    <hyperlink ref="R31" r:id="rId22" xr:uid="{00000000-0004-0000-0900-000016000000}"/>
    <hyperlink ref="R32" r:id="rId23" xr:uid="{00000000-0004-0000-0900-000017000000}"/>
    <hyperlink ref="R35" r:id="rId24" xr:uid="{6355303C-ACD8-4038-9B19-98AEABC8A6CA}"/>
    <hyperlink ref="R36" r:id="rId25" xr:uid="{7A972DDA-7A69-4C39-959D-1FF0CBEDE12E}"/>
    <hyperlink ref="R16" r:id="rId26" xr:uid="{E72718BE-F49B-4E04-97A3-1B691150E4C7}"/>
  </hyperlinks>
  <pageMargins left="0.7" right="0.7" top="0.75" bottom="0.75" header="0" footer="0"/>
  <pageSetup orientation="portrait"/>
  <drawing r:id="rId27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F2DB-A3E4-4C65-957C-B8E94F4AAD65}">
  <sheetPr>
    <tabColor rgb="FF08306C"/>
  </sheetPr>
  <dimension ref="A1:AI954"/>
  <sheetViews>
    <sheetView workbookViewId="0">
      <selection activeCell="G2" sqref="G2"/>
    </sheetView>
  </sheetViews>
  <sheetFormatPr defaultColWidth="14.42578125" defaultRowHeight="15"/>
  <cols>
    <col min="1" max="1" width="15.28515625" customWidth="1"/>
    <col min="2" max="2" width="14.140625" customWidth="1"/>
    <col min="3" max="3" width="14.5703125" bestFit="1" customWidth="1"/>
    <col min="4" max="4" width="14.85546875" customWidth="1"/>
    <col min="5" max="5" width="20.28515625" bestFit="1" customWidth="1"/>
    <col min="6" max="6" width="9.140625" customWidth="1"/>
    <col min="7" max="7" width="22.42578125" customWidth="1"/>
    <col min="8" max="8" width="18" customWidth="1"/>
    <col min="9" max="9" width="9.140625" customWidth="1"/>
    <col min="10" max="10" width="21.85546875" customWidth="1"/>
    <col min="11" max="11" width="11" customWidth="1"/>
    <col min="12" max="12" width="1.7109375" customWidth="1"/>
    <col min="13" max="13" width="17.42578125" customWidth="1"/>
    <col min="14" max="14" width="14.140625" bestFit="1" customWidth="1"/>
    <col min="15" max="15" width="9.140625" customWidth="1"/>
    <col min="16" max="16" width="16" customWidth="1"/>
    <col min="17" max="17" width="14.140625" bestFit="1" customWidth="1"/>
    <col min="18" max="18" width="9.140625" customWidth="1"/>
    <col min="19" max="19" width="18.140625" customWidth="1"/>
    <col min="20" max="20" width="19" customWidth="1"/>
    <col min="21" max="21" width="5.28515625" customWidth="1"/>
    <col min="22" max="22" width="17" customWidth="1"/>
    <col min="23" max="23" width="20.5703125" customWidth="1"/>
    <col min="24" max="24" width="2.42578125" customWidth="1"/>
    <col min="25" max="25" width="22" customWidth="1"/>
    <col min="26" max="27" width="9.140625" customWidth="1"/>
    <col min="28" max="28" width="14.5703125" customWidth="1"/>
    <col min="29" max="29" width="13.5703125" customWidth="1"/>
    <col min="30" max="30" width="9.140625" customWidth="1"/>
    <col min="31" max="31" width="17.85546875" customWidth="1"/>
    <col min="32" max="32" width="19" bestFit="1" customWidth="1"/>
    <col min="33" max="33" width="9.140625" customWidth="1"/>
    <col min="34" max="34" width="14.7109375" customWidth="1"/>
    <col min="35" max="35" width="11.140625" customWidth="1"/>
  </cols>
  <sheetData>
    <row r="1" spans="1:23" ht="14.25" customHeight="1">
      <c r="A1" s="180" t="s">
        <v>589</v>
      </c>
      <c r="B1" s="181"/>
      <c r="C1" s="181"/>
      <c r="D1" s="181"/>
      <c r="E1" s="181"/>
      <c r="F1" s="181"/>
      <c r="G1" s="182"/>
      <c r="H1" s="182"/>
      <c r="I1" s="182"/>
      <c r="J1" s="181"/>
      <c r="K1" s="181"/>
      <c r="L1" s="181"/>
      <c r="M1" s="180" t="s">
        <v>370</v>
      </c>
      <c r="N1" s="181"/>
      <c r="O1" s="181"/>
      <c r="P1" s="181"/>
      <c r="Q1" s="181"/>
      <c r="R1" s="181"/>
      <c r="S1" s="182"/>
      <c r="T1" s="182"/>
      <c r="U1" s="182"/>
      <c r="V1" s="181"/>
      <c r="W1" s="181"/>
    </row>
    <row r="2" spans="1:23" ht="14.25" customHeight="1">
      <c r="A2" s="94" t="s">
        <v>2</v>
      </c>
      <c r="B2" s="94" t="s">
        <v>373</v>
      </c>
      <c r="C2" s="184"/>
      <c r="D2" s="208" t="s">
        <v>349</v>
      </c>
      <c r="E2" s="208" t="s">
        <v>373</v>
      </c>
      <c r="F2" s="184"/>
      <c r="G2" s="94" t="s">
        <v>7</v>
      </c>
      <c r="H2" s="94" t="s">
        <v>374</v>
      </c>
      <c r="I2" s="184"/>
      <c r="J2" s="94" t="s">
        <v>375</v>
      </c>
      <c r="K2" s="456" t="s">
        <v>376</v>
      </c>
      <c r="L2" s="185"/>
      <c r="M2" s="94" t="s">
        <v>2</v>
      </c>
      <c r="N2" s="94" t="s">
        <v>373</v>
      </c>
      <c r="O2" s="184"/>
      <c r="P2" s="208" t="s">
        <v>349</v>
      </c>
      <c r="Q2" s="208" t="s">
        <v>373</v>
      </c>
      <c r="R2" s="184"/>
      <c r="S2" s="94" t="s">
        <v>7</v>
      </c>
      <c r="T2" s="94" t="s">
        <v>374</v>
      </c>
      <c r="U2" s="184"/>
      <c r="V2" s="94" t="s">
        <v>375</v>
      </c>
      <c r="W2" s="94" t="s">
        <v>376</v>
      </c>
    </row>
    <row r="3" spans="1:23" ht="14.25" customHeight="1">
      <c r="A3" s="48" t="s">
        <v>378</v>
      </c>
      <c r="B3" s="313">
        <v>698.79600000000005</v>
      </c>
      <c r="C3" s="186"/>
      <c r="D3" s="175" t="s">
        <v>378</v>
      </c>
      <c r="E3" s="434">
        <v>154.22399999999999</v>
      </c>
      <c r="F3" s="186"/>
      <c r="G3" s="48" t="s">
        <v>379</v>
      </c>
      <c r="H3" s="498">
        <v>7.00430522</v>
      </c>
      <c r="I3" s="186"/>
      <c r="J3" s="82" t="s">
        <v>378</v>
      </c>
      <c r="K3" s="313">
        <v>6624</v>
      </c>
      <c r="L3" s="187"/>
      <c r="M3" s="48" t="s">
        <v>378</v>
      </c>
      <c r="N3" s="48">
        <v>625.63199999999995</v>
      </c>
      <c r="O3" s="186"/>
      <c r="P3" s="175" t="s">
        <v>378</v>
      </c>
      <c r="Q3" s="175">
        <v>230.66399999999999</v>
      </c>
      <c r="R3" s="186"/>
      <c r="S3" s="48" t="s">
        <v>379</v>
      </c>
      <c r="T3" s="242">
        <v>5.2877929669999997</v>
      </c>
      <c r="U3" s="186"/>
      <c r="V3" s="82" t="s">
        <v>378</v>
      </c>
      <c r="W3" s="48">
        <v>6477</v>
      </c>
    </row>
    <row r="4" spans="1:23" ht="14.25" customHeight="1">
      <c r="A4" s="48" t="s">
        <v>379</v>
      </c>
      <c r="B4" s="313">
        <v>242.42400000000001</v>
      </c>
      <c r="C4" s="186"/>
      <c r="D4" s="175" t="s">
        <v>382</v>
      </c>
      <c r="E4" s="434">
        <v>24.864000000000001</v>
      </c>
      <c r="F4" s="186"/>
      <c r="G4" s="489" t="s">
        <v>402</v>
      </c>
      <c r="H4" s="551">
        <v>1.1500327960000001</v>
      </c>
      <c r="I4" s="237"/>
      <c r="J4" s="82" t="s">
        <v>387</v>
      </c>
      <c r="K4" s="313">
        <v>6479</v>
      </c>
      <c r="L4" s="187"/>
      <c r="M4" s="48" t="s">
        <v>379</v>
      </c>
      <c r="N4" s="48">
        <v>160.06200000000001</v>
      </c>
      <c r="O4" s="186"/>
      <c r="P4" s="175" t="s">
        <v>382</v>
      </c>
      <c r="Q4" s="175">
        <v>26.628</v>
      </c>
      <c r="R4" s="186"/>
      <c r="S4" s="48" t="s">
        <v>380</v>
      </c>
      <c r="T4" s="242">
        <v>1.4244955370000001</v>
      </c>
      <c r="U4" s="237"/>
      <c r="V4" s="82" t="s">
        <v>387</v>
      </c>
      <c r="W4" s="48">
        <v>4957</v>
      </c>
    </row>
    <row r="5" spans="1:23" ht="14.25" customHeight="1">
      <c r="A5" s="48" t="s">
        <v>384</v>
      </c>
      <c r="B5" s="313">
        <v>189.714</v>
      </c>
      <c r="C5" s="186"/>
      <c r="D5" s="175" t="s">
        <v>393</v>
      </c>
      <c r="E5" s="434">
        <v>0.67200000000000004</v>
      </c>
      <c r="F5" s="186"/>
      <c r="G5" s="48" t="s">
        <v>380</v>
      </c>
      <c r="H5" s="315">
        <v>0.65937796400000004</v>
      </c>
      <c r="I5" s="237"/>
      <c r="J5" s="82" t="s">
        <v>386</v>
      </c>
      <c r="K5" s="313">
        <v>4219</v>
      </c>
      <c r="L5" s="187"/>
      <c r="M5" s="48" t="s">
        <v>380</v>
      </c>
      <c r="N5" s="48">
        <v>114.324</v>
      </c>
      <c r="O5" s="186"/>
      <c r="P5" s="175" t="s">
        <v>393</v>
      </c>
      <c r="Q5" s="175">
        <v>0.71399999999999997</v>
      </c>
      <c r="R5" s="186"/>
      <c r="S5" s="48" t="s">
        <v>402</v>
      </c>
      <c r="T5" s="242">
        <v>1.393638232</v>
      </c>
      <c r="U5" s="237"/>
      <c r="V5" s="82" t="s">
        <v>386</v>
      </c>
      <c r="W5" s="48">
        <v>3048</v>
      </c>
    </row>
    <row r="6" spans="1:23" ht="14.25" customHeight="1">
      <c r="A6" s="48" t="s">
        <v>380</v>
      </c>
      <c r="B6" s="313">
        <v>140.11199999999999</v>
      </c>
      <c r="C6" s="186"/>
      <c r="D6" s="489" t="s">
        <v>390</v>
      </c>
      <c r="E6" s="551">
        <v>0.42</v>
      </c>
      <c r="F6" s="186"/>
      <c r="G6" s="48" t="s">
        <v>385</v>
      </c>
      <c r="H6" s="313">
        <v>0.64864760600000004</v>
      </c>
      <c r="I6" s="237"/>
      <c r="J6" s="82" t="s">
        <v>394</v>
      </c>
      <c r="K6" s="313">
        <v>1641</v>
      </c>
      <c r="L6" s="187"/>
      <c r="M6" s="48" t="s">
        <v>464</v>
      </c>
      <c r="N6" s="48">
        <v>99.456000000000003</v>
      </c>
      <c r="O6" s="186"/>
      <c r="Q6" s="248">
        <f>+Q3+Q4+Q5</f>
        <v>258.00599999999997</v>
      </c>
      <c r="R6" s="186"/>
      <c r="S6" s="48" t="s">
        <v>385</v>
      </c>
      <c r="T6" s="242">
        <v>1.393638232</v>
      </c>
      <c r="U6" s="237"/>
      <c r="V6" s="82" t="s">
        <v>394</v>
      </c>
      <c r="W6" s="48">
        <v>1232</v>
      </c>
    </row>
    <row r="7" spans="1:23" ht="14.25" customHeight="1">
      <c r="A7" s="48" t="s">
        <v>392</v>
      </c>
      <c r="B7" s="313">
        <v>133.77000000000001</v>
      </c>
      <c r="C7" s="186"/>
      <c r="D7" s="489" t="s">
        <v>591</v>
      </c>
      <c r="E7" s="434">
        <v>0.29399999999999998</v>
      </c>
      <c r="F7" s="186"/>
      <c r="G7" s="48" t="s">
        <v>391</v>
      </c>
      <c r="H7" s="313">
        <v>0.37844592900000001</v>
      </c>
      <c r="I7" s="186"/>
      <c r="J7" s="82" t="s">
        <v>415</v>
      </c>
      <c r="K7" s="313">
        <v>1184</v>
      </c>
      <c r="L7" s="187"/>
      <c r="M7" s="48" t="s">
        <v>384</v>
      </c>
      <c r="N7" s="48">
        <v>83.873999999999995</v>
      </c>
      <c r="O7" s="186"/>
      <c r="P7" s="206"/>
      <c r="Q7" s="206"/>
      <c r="R7" s="186"/>
      <c r="S7" s="48" t="s">
        <v>391</v>
      </c>
      <c r="T7" s="48">
        <v>0.32424067299999998</v>
      </c>
      <c r="U7" s="186"/>
      <c r="V7" s="82" t="s">
        <v>415</v>
      </c>
      <c r="W7" s="48">
        <v>1171</v>
      </c>
    </row>
    <row r="8" spans="1:23" ht="14.25" customHeight="1">
      <c r="C8" s="188"/>
      <c r="D8" s="207"/>
      <c r="E8" s="207"/>
      <c r="F8" s="188"/>
      <c r="G8" s="188"/>
      <c r="I8" s="186"/>
      <c r="J8" s="188"/>
      <c r="K8" s="188"/>
      <c r="L8" s="189"/>
      <c r="O8" s="188"/>
      <c r="P8" s="207"/>
      <c r="Q8" s="207"/>
      <c r="R8" s="188"/>
      <c r="S8" s="188"/>
      <c r="T8" s="235">
        <f>+T4+T3+T5+T6+T7</f>
        <v>9.8238056410000016</v>
      </c>
      <c r="U8" s="186"/>
      <c r="V8" s="188"/>
      <c r="W8" s="188"/>
    </row>
    <row r="9" spans="1:23" ht="14.25" customHeight="1">
      <c r="C9" s="184"/>
      <c r="D9" s="184"/>
      <c r="E9" s="184"/>
      <c r="F9" s="184"/>
      <c r="G9" s="184"/>
      <c r="H9" s="243"/>
      <c r="I9" s="184"/>
      <c r="J9" s="184"/>
      <c r="K9" s="184"/>
      <c r="L9" s="185"/>
      <c r="O9" s="184"/>
      <c r="P9" s="184"/>
      <c r="Q9" s="184"/>
      <c r="R9" s="184"/>
      <c r="S9" s="184"/>
      <c r="T9" s="243"/>
      <c r="U9" s="184"/>
      <c r="V9" s="184"/>
      <c r="W9" s="184"/>
    </row>
    <row r="10" spans="1:23" ht="14.25" customHeight="1">
      <c r="A10" s="184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5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</row>
    <row r="11" spans="1:23" ht="14.25" customHeight="1">
      <c r="A11" s="184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5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</row>
    <row r="12" spans="1:23" ht="14.25" customHeight="1">
      <c r="A12" s="94" t="s">
        <v>396</v>
      </c>
      <c r="B12" s="456" t="s">
        <v>376</v>
      </c>
      <c r="C12" s="184"/>
      <c r="D12" s="94" t="s">
        <v>397</v>
      </c>
      <c r="E12" s="456" t="s">
        <v>376</v>
      </c>
      <c r="F12" s="184"/>
      <c r="G12" s="94" t="s">
        <v>398</v>
      </c>
      <c r="H12" s="456" t="s">
        <v>376</v>
      </c>
      <c r="I12" s="184"/>
      <c r="J12" s="208" t="s">
        <v>399</v>
      </c>
      <c r="K12" s="506" t="s">
        <v>376</v>
      </c>
      <c r="L12" s="185"/>
      <c r="M12" s="94" t="s">
        <v>396</v>
      </c>
      <c r="N12" s="94" t="s">
        <v>376</v>
      </c>
      <c r="O12" s="184"/>
      <c r="P12" s="94" t="s">
        <v>397</v>
      </c>
      <c r="Q12" s="94" t="s">
        <v>376</v>
      </c>
      <c r="R12" s="184"/>
      <c r="S12" s="94" t="s">
        <v>398</v>
      </c>
      <c r="T12" s="94" t="s">
        <v>376</v>
      </c>
      <c r="U12" s="184"/>
      <c r="V12" s="208" t="s">
        <v>399</v>
      </c>
      <c r="W12" s="208" t="s">
        <v>376</v>
      </c>
    </row>
    <row r="13" spans="1:23" ht="14.25" customHeight="1">
      <c r="A13" s="82" t="s">
        <v>378</v>
      </c>
      <c r="B13" s="313">
        <v>69650</v>
      </c>
      <c r="C13" s="188"/>
      <c r="D13" s="82" t="s">
        <v>386</v>
      </c>
      <c r="E13" s="313">
        <v>53998</v>
      </c>
      <c r="F13" s="188"/>
      <c r="G13" s="82" t="s">
        <v>386</v>
      </c>
      <c r="H13" s="313">
        <v>48884</v>
      </c>
      <c r="I13" s="188"/>
      <c r="J13" s="198" t="s">
        <v>386</v>
      </c>
      <c r="K13" s="434">
        <v>208</v>
      </c>
      <c r="L13" s="189"/>
      <c r="M13" s="82" t="s">
        <v>378</v>
      </c>
      <c r="N13" s="48">
        <v>45420</v>
      </c>
      <c r="O13" s="188"/>
      <c r="P13" s="82" t="s">
        <v>386</v>
      </c>
      <c r="Q13" s="48">
        <v>43177</v>
      </c>
      <c r="R13" s="188"/>
      <c r="S13" s="82" t="s">
        <v>390</v>
      </c>
      <c r="T13" s="48">
        <v>78264</v>
      </c>
      <c r="U13" s="188"/>
      <c r="V13" s="198" t="s">
        <v>386</v>
      </c>
      <c r="W13" s="175">
        <v>107</v>
      </c>
    </row>
    <row r="14" spans="1:23" ht="14.25" customHeight="1">
      <c r="A14" s="82" t="s">
        <v>386</v>
      </c>
      <c r="B14" s="313">
        <v>24825</v>
      </c>
      <c r="C14" s="188"/>
      <c r="D14" s="82" t="s">
        <v>378</v>
      </c>
      <c r="E14" s="313">
        <v>1314</v>
      </c>
      <c r="F14" s="188"/>
      <c r="G14" s="82" t="s">
        <v>378</v>
      </c>
      <c r="H14" s="313">
        <v>38430</v>
      </c>
      <c r="I14" s="188"/>
      <c r="J14" s="207"/>
      <c r="K14" s="206"/>
      <c r="L14" s="189"/>
      <c r="M14" s="82" t="s">
        <v>386</v>
      </c>
      <c r="N14" s="48">
        <v>38946</v>
      </c>
      <c r="O14" s="188"/>
      <c r="P14" s="82" t="s">
        <v>378</v>
      </c>
      <c r="Q14" s="48">
        <v>1504</v>
      </c>
      <c r="R14" s="188"/>
      <c r="S14" s="82" t="s">
        <v>386</v>
      </c>
      <c r="T14" s="48">
        <v>62095</v>
      </c>
      <c r="U14" s="188"/>
      <c r="V14" s="207"/>
      <c r="W14" s="206"/>
    </row>
    <row r="15" spans="1:23" ht="14.25" customHeight="1">
      <c r="A15" s="82" t="s">
        <v>390</v>
      </c>
      <c r="B15" s="313">
        <v>22428</v>
      </c>
      <c r="C15" s="188"/>
      <c r="D15" s="82" t="s">
        <v>389</v>
      </c>
      <c r="E15" s="377">
        <v>387</v>
      </c>
      <c r="F15" s="188"/>
      <c r="G15" s="82" t="s">
        <v>390</v>
      </c>
      <c r="H15" s="313">
        <v>18421</v>
      </c>
      <c r="I15" s="188"/>
      <c r="J15" s="174" t="s">
        <v>465</v>
      </c>
      <c r="K15" s="174" t="s">
        <v>376</v>
      </c>
      <c r="L15" s="189"/>
      <c r="M15" s="82" t="s">
        <v>390</v>
      </c>
      <c r="N15" s="48">
        <v>21950</v>
      </c>
      <c r="O15" s="188"/>
      <c r="P15" s="196" t="s">
        <v>389</v>
      </c>
      <c r="Q15" s="196">
        <v>1001</v>
      </c>
      <c r="R15" s="188"/>
      <c r="S15" s="82" t="s">
        <v>378</v>
      </c>
      <c r="T15" s="48">
        <v>24459</v>
      </c>
      <c r="U15" s="188"/>
      <c r="V15" s="174" t="s">
        <v>465</v>
      </c>
      <c r="W15" s="174" t="s">
        <v>376</v>
      </c>
    </row>
    <row r="16" spans="1:23" ht="14.25" customHeight="1">
      <c r="A16" s="82" t="s">
        <v>416</v>
      </c>
      <c r="B16" s="313">
        <v>756</v>
      </c>
      <c r="C16" s="188"/>
      <c r="D16" s="188"/>
      <c r="E16" s="188"/>
      <c r="F16" s="188"/>
      <c r="G16" s="48" t="s">
        <v>380</v>
      </c>
      <c r="H16" s="313">
        <v>17993</v>
      </c>
      <c r="I16" s="188"/>
      <c r="J16" s="198" t="s">
        <v>386</v>
      </c>
      <c r="K16" s="434">
        <f>+B14+E13</f>
        <v>78823</v>
      </c>
      <c r="L16" s="189"/>
      <c r="M16" s="82" t="s">
        <v>416</v>
      </c>
      <c r="N16" s="48">
        <v>1977</v>
      </c>
      <c r="O16" s="188"/>
      <c r="P16" s="198" t="s">
        <v>593</v>
      </c>
      <c r="Q16" s="198">
        <v>49</v>
      </c>
      <c r="R16" s="188"/>
      <c r="S16" s="82" t="s">
        <v>417</v>
      </c>
      <c r="T16" s="48">
        <v>4931</v>
      </c>
      <c r="U16" s="188"/>
      <c r="V16" s="198" t="s">
        <v>386</v>
      </c>
      <c r="W16" s="175">
        <f>+N14+Q13</f>
        <v>82123</v>
      </c>
    </row>
    <row r="17" spans="1:35" ht="14.25" customHeight="1">
      <c r="A17" s="82" t="s">
        <v>401</v>
      </c>
      <c r="B17" s="313">
        <v>40</v>
      </c>
      <c r="C17" s="188"/>
      <c r="D17" s="188"/>
      <c r="E17" s="188"/>
      <c r="F17" s="188"/>
      <c r="G17" s="82" t="s">
        <v>417</v>
      </c>
      <c r="H17" s="313">
        <v>2972</v>
      </c>
      <c r="I17" s="188"/>
      <c r="J17" s="198" t="s">
        <v>378</v>
      </c>
      <c r="K17" s="434">
        <f>+E14+B13</f>
        <v>70964</v>
      </c>
      <c r="L17" s="189"/>
      <c r="M17" s="82" t="s">
        <v>401</v>
      </c>
      <c r="N17" s="48">
        <v>60</v>
      </c>
      <c r="O17" s="188"/>
      <c r="P17" s="188"/>
      <c r="Q17" s="188"/>
      <c r="R17" s="188"/>
      <c r="S17" s="82" t="s">
        <v>394</v>
      </c>
      <c r="T17" s="48">
        <v>4370</v>
      </c>
      <c r="U17" s="188"/>
      <c r="V17" s="198" t="s">
        <v>378</v>
      </c>
      <c r="W17" s="175">
        <f>+Q14+N13</f>
        <v>46924</v>
      </c>
    </row>
    <row r="18" spans="1:35" ht="14.25" customHeight="1">
      <c r="A18" s="188"/>
      <c r="B18" s="188"/>
      <c r="C18" s="188"/>
      <c r="D18" s="188"/>
      <c r="E18" s="188"/>
      <c r="F18" s="188"/>
      <c r="H18" s="188"/>
      <c r="I18" s="188"/>
      <c r="J18" s="198" t="s">
        <v>390</v>
      </c>
      <c r="K18" s="551">
        <f>+B15</f>
        <v>22428</v>
      </c>
      <c r="L18" s="189"/>
      <c r="M18" s="188"/>
      <c r="N18" s="188"/>
      <c r="O18" s="188"/>
      <c r="P18" s="188"/>
      <c r="Q18" s="188"/>
      <c r="R18" s="188"/>
      <c r="S18" s="188"/>
      <c r="T18" s="188"/>
      <c r="U18" s="188"/>
      <c r="V18" s="198" t="s">
        <v>390</v>
      </c>
      <c r="W18" s="249">
        <f>+N15</f>
        <v>21950</v>
      </c>
    </row>
    <row r="19" spans="1:35" ht="14.25" customHeight="1">
      <c r="A19" s="188"/>
      <c r="B19" s="188"/>
      <c r="C19" s="188"/>
      <c r="D19" s="188"/>
      <c r="E19" s="188"/>
      <c r="F19" s="188"/>
      <c r="G19" s="188"/>
      <c r="H19" s="188"/>
      <c r="I19" s="188"/>
      <c r="J19" s="198" t="s">
        <v>416</v>
      </c>
      <c r="K19" s="434">
        <f>B16</f>
        <v>756</v>
      </c>
      <c r="L19" s="189"/>
      <c r="M19" s="188"/>
      <c r="N19" s="188"/>
      <c r="O19" s="188"/>
      <c r="P19" s="188"/>
      <c r="Q19" s="188"/>
      <c r="R19" s="188"/>
      <c r="S19" s="188"/>
      <c r="T19" s="188"/>
      <c r="U19" s="188"/>
      <c r="V19" s="198" t="s">
        <v>416</v>
      </c>
      <c r="W19" s="175">
        <v>1977</v>
      </c>
    </row>
    <row r="20" spans="1:35" ht="14.25" customHeight="1">
      <c r="A20" s="188"/>
      <c r="B20" s="188"/>
      <c r="C20" s="188"/>
      <c r="D20" s="188"/>
      <c r="E20" s="188"/>
      <c r="F20" s="188"/>
      <c r="G20" s="188"/>
      <c r="H20" s="188"/>
      <c r="I20" s="188"/>
      <c r="J20" s="198" t="s">
        <v>389</v>
      </c>
      <c r="K20" s="546">
        <f>E15</f>
        <v>387</v>
      </c>
      <c r="L20" s="189"/>
      <c r="M20" s="188"/>
      <c r="N20" s="188"/>
      <c r="O20" s="188"/>
      <c r="P20" s="188"/>
      <c r="Q20" s="188"/>
      <c r="R20" s="188"/>
      <c r="S20" s="188"/>
      <c r="T20" s="188"/>
      <c r="U20" s="188"/>
      <c r="V20" s="198" t="s">
        <v>389</v>
      </c>
      <c r="W20" s="198">
        <v>1001</v>
      </c>
    </row>
    <row r="21" spans="1:35" ht="14.25" customHeight="1">
      <c r="A21" s="180" t="s">
        <v>590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0" t="s">
        <v>407</v>
      </c>
      <c r="N21" s="189"/>
      <c r="O21" s="189"/>
      <c r="P21" s="189"/>
      <c r="Q21" s="189"/>
      <c r="R21" s="189"/>
      <c r="S21" s="189"/>
      <c r="T21" s="189"/>
      <c r="U21" s="189"/>
      <c r="V21" s="189"/>
      <c r="W21" s="189"/>
    </row>
    <row r="22" spans="1:35" ht="14.25" customHeight="1">
      <c r="A22" s="191" t="s">
        <v>2</v>
      </c>
      <c r="B22" s="192" t="s">
        <v>373</v>
      </c>
      <c r="C22" s="188"/>
      <c r="D22" s="191" t="s">
        <v>349</v>
      </c>
      <c r="E22" s="192" t="s">
        <v>373</v>
      </c>
      <c r="F22" s="188"/>
      <c r="G22" s="209" t="s">
        <v>7</v>
      </c>
      <c r="H22" s="552" t="s">
        <v>410</v>
      </c>
      <c r="I22" s="188"/>
      <c r="J22" s="188"/>
      <c r="K22" s="188"/>
      <c r="L22" s="194"/>
      <c r="M22" s="191" t="s">
        <v>2</v>
      </c>
      <c r="N22" s="192" t="s">
        <v>373</v>
      </c>
      <c r="O22" s="188"/>
      <c r="P22" s="191" t="s">
        <v>349</v>
      </c>
      <c r="Q22" s="192" t="s">
        <v>373</v>
      </c>
      <c r="R22" s="188"/>
      <c r="S22" s="209" t="s">
        <v>7</v>
      </c>
      <c r="T22" s="210" t="s">
        <v>410</v>
      </c>
      <c r="U22" s="188"/>
      <c r="V22" s="188"/>
      <c r="W22" s="188"/>
    </row>
    <row r="23" spans="1:35" ht="14.25" customHeight="1">
      <c r="A23" s="82" t="s">
        <v>377</v>
      </c>
      <c r="B23" s="313">
        <v>4</v>
      </c>
      <c r="C23" s="188"/>
      <c r="D23" s="82" t="s">
        <v>393</v>
      </c>
      <c r="E23" s="313">
        <v>129.90600000000001</v>
      </c>
      <c r="F23" s="188"/>
      <c r="G23" s="198" t="s">
        <v>378</v>
      </c>
      <c r="H23" s="471">
        <v>160.077988</v>
      </c>
      <c r="I23" s="70"/>
      <c r="J23" s="188"/>
      <c r="K23" s="188"/>
      <c r="L23" s="194"/>
      <c r="M23" s="82" t="s">
        <v>377</v>
      </c>
      <c r="N23" s="48">
        <v>27.257999999999999</v>
      </c>
      <c r="O23" s="188"/>
      <c r="P23" s="82" t="s">
        <v>378</v>
      </c>
      <c r="Q23" s="48">
        <v>140.07</v>
      </c>
      <c r="R23" s="188"/>
      <c r="S23" s="198" t="s">
        <v>378</v>
      </c>
      <c r="T23" s="175">
        <v>176.511788</v>
      </c>
      <c r="U23" s="70"/>
      <c r="V23" s="188"/>
      <c r="W23" s="188"/>
    </row>
    <row r="24" spans="1:35" ht="14.25" customHeight="1">
      <c r="B24" s="188"/>
      <c r="D24" s="82" t="s">
        <v>378</v>
      </c>
      <c r="E24" s="313">
        <v>128.77199999999999</v>
      </c>
      <c r="F24" s="188"/>
      <c r="G24" s="198" t="s">
        <v>592</v>
      </c>
      <c r="H24" s="553">
        <v>7.9113000000000003E-2</v>
      </c>
      <c r="I24" s="70"/>
      <c r="J24" s="244"/>
      <c r="K24" s="245"/>
      <c r="L24" s="194"/>
      <c r="N24" s="188"/>
      <c r="O24" s="188"/>
      <c r="P24" s="82" t="s">
        <v>393</v>
      </c>
      <c r="Q24" s="48">
        <v>174.72</v>
      </c>
      <c r="R24" s="188"/>
      <c r="S24" s="240" t="s">
        <v>402</v>
      </c>
      <c r="T24" s="241">
        <v>0.15021300000000001</v>
      </c>
      <c r="U24" s="70"/>
      <c r="V24" s="244"/>
      <c r="W24" s="245"/>
    </row>
    <row r="25" spans="1:35" ht="14.25" customHeight="1">
      <c r="A25" s="188"/>
      <c r="B25" s="188"/>
      <c r="C25" s="188"/>
      <c r="D25" s="82" t="s">
        <v>412</v>
      </c>
      <c r="E25" s="313">
        <v>89.46</v>
      </c>
      <c r="F25" s="188"/>
      <c r="G25" s="198" t="s">
        <v>402</v>
      </c>
      <c r="H25" s="553">
        <v>7.1655999999999997E-2</v>
      </c>
      <c r="I25" s="70"/>
      <c r="J25" s="244"/>
      <c r="K25" s="245"/>
      <c r="L25" s="194"/>
      <c r="M25" s="188"/>
      <c r="N25" s="188"/>
      <c r="O25" s="188"/>
      <c r="P25" s="82" t="s">
        <v>383</v>
      </c>
      <c r="Q25" s="48">
        <v>33.054000000000002</v>
      </c>
      <c r="R25" s="188"/>
      <c r="S25" s="198" t="s">
        <v>414</v>
      </c>
      <c r="T25" s="241">
        <v>6.2274000000000003E-2</v>
      </c>
      <c r="U25" s="70"/>
      <c r="V25" s="244"/>
      <c r="W25" s="245"/>
    </row>
    <row r="26" spans="1:35" ht="14.25" customHeight="1">
      <c r="A26" s="188"/>
      <c r="B26" s="188"/>
      <c r="D26" s="82" t="s">
        <v>413</v>
      </c>
      <c r="E26" s="313">
        <v>40.026000000000003</v>
      </c>
      <c r="F26" s="188"/>
      <c r="G26" s="198" t="s">
        <v>414</v>
      </c>
      <c r="H26" s="553">
        <v>6.9439000000000001E-2</v>
      </c>
      <c r="I26" s="70"/>
      <c r="J26" s="244"/>
      <c r="K26" s="245"/>
      <c r="L26" s="194"/>
      <c r="M26" s="188"/>
      <c r="N26" s="188"/>
      <c r="O26" s="188"/>
      <c r="P26" s="82" t="s">
        <v>413</v>
      </c>
      <c r="Q26" s="48">
        <v>44.73</v>
      </c>
      <c r="R26" s="188"/>
      <c r="S26" s="198" t="s">
        <v>389</v>
      </c>
      <c r="T26" s="241">
        <v>4.8161000000000002E-2</v>
      </c>
      <c r="U26" s="70"/>
      <c r="V26" s="244"/>
      <c r="W26" s="245"/>
    </row>
    <row r="27" spans="1:35" ht="14.25" customHeight="1">
      <c r="A27" s="188"/>
      <c r="B27" s="188"/>
      <c r="C27" s="188"/>
      <c r="D27" s="82" t="s">
        <v>383</v>
      </c>
      <c r="E27" s="313">
        <v>17.388000000000002</v>
      </c>
      <c r="F27" s="188"/>
      <c r="G27" s="198" t="s">
        <v>386</v>
      </c>
      <c r="H27" s="553">
        <v>4.4311999999999997E-2</v>
      </c>
      <c r="I27" s="70"/>
      <c r="J27" s="188"/>
      <c r="K27" s="188"/>
      <c r="L27" s="194"/>
      <c r="M27" s="188"/>
      <c r="N27" s="188"/>
      <c r="O27" s="188"/>
      <c r="P27" s="82" t="s">
        <v>412</v>
      </c>
      <c r="Q27" s="48">
        <v>84.462000000000003</v>
      </c>
      <c r="R27" s="188"/>
      <c r="S27" s="198" t="s">
        <v>449</v>
      </c>
      <c r="T27" s="241">
        <v>2.8171999999999999E-2</v>
      </c>
      <c r="U27" s="70"/>
      <c r="V27" s="188"/>
      <c r="W27" s="188"/>
    </row>
    <row r="28" spans="1:35" ht="14.25" customHeight="1">
      <c r="A28" s="188"/>
      <c r="B28" s="188"/>
      <c r="C28" s="188"/>
      <c r="D28" s="188"/>
      <c r="E28" s="186"/>
      <c r="F28" s="188"/>
      <c r="G28" s="188"/>
      <c r="H28" s="188"/>
      <c r="I28" s="188"/>
      <c r="J28" s="188"/>
      <c r="K28" s="188"/>
      <c r="L28" s="189"/>
    </row>
    <row r="29" spans="1:35" ht="14.25" customHeight="1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9"/>
    </row>
    <row r="30" spans="1:35" ht="14.25" customHeight="1">
      <c r="A30" s="180" t="s">
        <v>371</v>
      </c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3" t="s">
        <v>372</v>
      </c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9"/>
      <c r="Y30" s="188" t="s">
        <v>129</v>
      </c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</row>
    <row r="31" spans="1:35" ht="14.25" customHeight="1">
      <c r="A31" s="94" t="s">
        <v>2</v>
      </c>
      <c r="B31" s="94" t="s">
        <v>373</v>
      </c>
      <c r="C31" s="184"/>
      <c r="D31" s="94" t="s">
        <v>349</v>
      </c>
      <c r="E31" s="94" t="s">
        <v>373</v>
      </c>
      <c r="F31" s="184"/>
      <c r="G31" s="94" t="s">
        <v>7</v>
      </c>
      <c r="H31" s="94" t="s">
        <v>374</v>
      </c>
      <c r="I31" s="184"/>
      <c r="J31" s="94" t="s">
        <v>375</v>
      </c>
      <c r="K31" s="94" t="s">
        <v>376</v>
      </c>
      <c r="L31" s="185"/>
      <c r="M31" s="94" t="s">
        <v>2</v>
      </c>
      <c r="N31" s="94" t="s">
        <v>373</v>
      </c>
      <c r="O31" s="184"/>
      <c r="P31" s="94" t="s">
        <v>349</v>
      </c>
      <c r="Q31" s="94" t="s">
        <v>373</v>
      </c>
      <c r="R31" s="184"/>
      <c r="S31" s="94" t="s">
        <v>7</v>
      </c>
      <c r="T31" s="94" t="s">
        <v>374</v>
      </c>
      <c r="U31" s="184"/>
      <c r="V31" s="94" t="s">
        <v>375</v>
      </c>
      <c r="W31" s="94" t="s">
        <v>376</v>
      </c>
      <c r="X31" s="189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</row>
    <row r="32" spans="1:35" ht="14.25" customHeight="1">
      <c r="A32" s="48" t="s">
        <v>378</v>
      </c>
      <c r="B32" s="48">
        <v>501.815</v>
      </c>
      <c r="C32" s="186"/>
      <c r="D32" s="48" t="s">
        <v>378</v>
      </c>
      <c r="E32" s="48">
        <v>190.553</v>
      </c>
      <c r="F32" s="186"/>
      <c r="G32" s="48" t="s">
        <v>379</v>
      </c>
      <c r="H32" s="48">
        <v>5.2875889999999997</v>
      </c>
      <c r="I32" s="186"/>
      <c r="J32" s="82" t="s">
        <v>378</v>
      </c>
      <c r="K32" s="48">
        <v>5418</v>
      </c>
      <c r="L32" s="187"/>
      <c r="M32" s="48" t="s">
        <v>378</v>
      </c>
      <c r="N32" s="48">
        <v>374.76600000000002</v>
      </c>
      <c r="O32" s="186"/>
      <c r="P32" s="48" t="s">
        <v>378</v>
      </c>
      <c r="Q32" s="48">
        <v>141.792</v>
      </c>
      <c r="R32" s="186"/>
      <c r="S32" s="48" t="s">
        <v>379</v>
      </c>
      <c r="T32" s="48">
        <v>5.4049569999999996</v>
      </c>
      <c r="U32" s="186"/>
      <c r="V32" s="82" t="s">
        <v>378</v>
      </c>
      <c r="W32" s="48">
        <v>5525</v>
      </c>
      <c r="X32" s="189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</row>
    <row r="33" spans="1:35" ht="14.25" customHeight="1">
      <c r="A33" s="48" t="s">
        <v>377</v>
      </c>
      <c r="B33" s="48">
        <v>60.731000000000002</v>
      </c>
      <c r="C33" s="186"/>
      <c r="D33" s="48" t="s">
        <v>380</v>
      </c>
      <c r="E33" s="48">
        <v>7.2649999999999997</v>
      </c>
      <c r="F33" s="186"/>
      <c r="G33" s="48" t="s">
        <v>380</v>
      </c>
      <c r="H33" s="48">
        <v>1.7567089659999999</v>
      </c>
      <c r="I33" s="186"/>
      <c r="J33" s="82" t="s">
        <v>382</v>
      </c>
      <c r="K33" s="48">
        <v>4308</v>
      </c>
      <c r="L33" s="187"/>
      <c r="M33" s="48" t="s">
        <v>383</v>
      </c>
      <c r="N33" s="48">
        <v>150.864</v>
      </c>
      <c r="O33" s="186"/>
      <c r="P33" s="48" t="s">
        <v>382</v>
      </c>
      <c r="Q33" s="48">
        <v>27.341999999999999</v>
      </c>
      <c r="R33" s="186"/>
      <c r="S33" s="48" t="s">
        <v>380</v>
      </c>
      <c r="T33" s="48">
        <v>1.1673210999999999</v>
      </c>
      <c r="U33" s="186"/>
      <c r="V33" s="82" t="s">
        <v>382</v>
      </c>
      <c r="W33" s="48">
        <v>4016</v>
      </c>
      <c r="X33" s="189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</row>
    <row r="34" spans="1:35" ht="14.25" customHeight="1">
      <c r="A34" s="48" t="s">
        <v>384</v>
      </c>
      <c r="B34" s="48">
        <v>72.869</v>
      </c>
      <c r="C34" s="186"/>
      <c r="D34" s="48" t="s">
        <v>382</v>
      </c>
      <c r="E34" s="48">
        <v>36.749000000000002</v>
      </c>
      <c r="F34" s="186"/>
      <c r="G34" s="238" t="s">
        <v>402</v>
      </c>
      <c r="H34" s="48">
        <v>0.64670067499999995</v>
      </c>
      <c r="I34" s="186"/>
      <c r="J34" s="82" t="s">
        <v>387</v>
      </c>
      <c r="K34" s="48">
        <v>3600</v>
      </c>
      <c r="L34" s="187"/>
      <c r="M34" s="48" t="s">
        <v>384</v>
      </c>
      <c r="N34" s="48">
        <v>149.184</v>
      </c>
      <c r="O34" s="186"/>
      <c r="P34" s="48" t="s">
        <v>380</v>
      </c>
      <c r="Q34" s="48">
        <v>8.3580000000000005</v>
      </c>
      <c r="R34" s="186"/>
      <c r="S34" s="48" t="s">
        <v>385</v>
      </c>
      <c r="T34" s="48">
        <v>0.44624637299999997</v>
      </c>
      <c r="U34" s="186"/>
      <c r="V34" s="82" t="s">
        <v>387</v>
      </c>
      <c r="W34" s="48">
        <v>3773</v>
      </c>
      <c r="X34" s="189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</row>
    <row r="35" spans="1:35" ht="14.25" customHeight="1">
      <c r="A35" s="48" t="s">
        <v>383</v>
      </c>
      <c r="B35" s="48">
        <v>153.845</v>
      </c>
      <c r="C35" s="186"/>
      <c r="D35" s="48" t="s">
        <v>388</v>
      </c>
      <c r="E35" s="48">
        <v>1.931</v>
      </c>
      <c r="F35" s="186"/>
      <c r="G35" s="238" t="s">
        <v>385</v>
      </c>
      <c r="H35" s="48">
        <v>0.56114420399999998</v>
      </c>
      <c r="I35" s="186"/>
      <c r="J35" s="82" t="s">
        <v>386</v>
      </c>
      <c r="K35" s="48">
        <v>1461</v>
      </c>
      <c r="L35" s="187"/>
      <c r="M35" s="48" t="s">
        <v>389</v>
      </c>
      <c r="N35" s="48">
        <v>100.33799999999999</v>
      </c>
      <c r="O35" s="186"/>
      <c r="P35" s="48" t="s">
        <v>390</v>
      </c>
      <c r="Q35" s="48">
        <v>7.0979999999999999</v>
      </c>
      <c r="R35" s="186"/>
      <c r="S35" s="48" t="s">
        <v>391</v>
      </c>
      <c r="T35" s="48">
        <v>0.241522769</v>
      </c>
      <c r="U35" s="186"/>
      <c r="V35" s="82" t="s">
        <v>386</v>
      </c>
      <c r="W35" s="48">
        <v>1718</v>
      </c>
      <c r="X35" s="189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</row>
    <row r="36" spans="1:35" ht="14.25" customHeight="1">
      <c r="A36" s="48" t="s">
        <v>380</v>
      </c>
      <c r="B36" s="48">
        <v>94.162999999999997</v>
      </c>
      <c r="C36" s="186"/>
      <c r="D36" s="48" t="s">
        <v>393</v>
      </c>
      <c r="E36" s="48">
        <v>1.133</v>
      </c>
      <c r="F36" s="186"/>
      <c r="G36" s="238" t="s">
        <v>381</v>
      </c>
      <c r="H36" s="48">
        <v>0.42933387099999998</v>
      </c>
      <c r="I36" s="186"/>
      <c r="J36" s="82" t="s">
        <v>394</v>
      </c>
      <c r="K36" s="48">
        <v>1068</v>
      </c>
      <c r="L36" s="187"/>
      <c r="M36" s="48" t="s">
        <v>377</v>
      </c>
      <c r="N36" s="48">
        <v>69.552000000000007</v>
      </c>
      <c r="O36" s="186"/>
      <c r="P36" s="48" t="s">
        <v>386</v>
      </c>
      <c r="Q36" s="48">
        <v>1.554</v>
      </c>
      <c r="R36" s="186"/>
      <c r="S36" s="48" t="s">
        <v>381</v>
      </c>
      <c r="T36" s="48">
        <v>0.22124559999999999</v>
      </c>
      <c r="U36" s="186"/>
      <c r="V36" s="82" t="s">
        <v>395</v>
      </c>
      <c r="W36" s="48">
        <v>587</v>
      </c>
      <c r="X36" s="189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</row>
    <row r="37" spans="1:35" ht="14.25" customHeight="1">
      <c r="A37" s="48" t="s">
        <v>386</v>
      </c>
      <c r="B37" s="48">
        <v>63.292999999999999</v>
      </c>
      <c r="C37" s="188"/>
      <c r="D37" s="188"/>
      <c r="E37" s="188"/>
      <c r="F37" s="188"/>
      <c r="G37" s="188"/>
      <c r="H37" s="188"/>
      <c r="I37" s="188"/>
      <c r="J37" s="188"/>
      <c r="K37" s="188"/>
      <c r="L37" s="189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9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</row>
    <row r="38" spans="1:35" ht="14.25" customHeight="1">
      <c r="A38" s="82" t="s">
        <v>390</v>
      </c>
      <c r="B38" s="153">
        <v>43.679000000000002</v>
      </c>
      <c r="C38" s="184"/>
      <c r="D38" s="184"/>
      <c r="E38" s="184"/>
      <c r="F38" s="184"/>
      <c r="G38" s="184"/>
      <c r="H38" s="184"/>
      <c r="I38" s="184"/>
      <c r="J38" s="184"/>
      <c r="K38" s="184"/>
      <c r="L38" s="185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9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</row>
    <row r="39" spans="1:35" ht="14.25" customHeight="1">
      <c r="A39" s="82" t="s">
        <v>379</v>
      </c>
      <c r="B39" s="153">
        <v>66.820999999999998</v>
      </c>
      <c r="C39" s="184"/>
      <c r="G39" s="184"/>
      <c r="H39" s="184"/>
      <c r="I39" s="184"/>
      <c r="J39" s="184"/>
      <c r="K39" s="184"/>
      <c r="L39" s="185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9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</row>
    <row r="40" spans="1:35" ht="14.25" customHeight="1">
      <c r="A40" s="82"/>
      <c r="B40" s="94"/>
      <c r="C40" s="184"/>
      <c r="D40" s="184"/>
      <c r="E40" s="184"/>
      <c r="F40" s="184"/>
      <c r="G40" s="184"/>
      <c r="H40" s="184"/>
      <c r="I40" s="184"/>
      <c r="J40" s="184"/>
      <c r="K40" s="184"/>
      <c r="L40" s="185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9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</row>
    <row r="41" spans="1:35" ht="14.25" customHeight="1">
      <c r="A41" s="94" t="s">
        <v>396</v>
      </c>
      <c r="B41" s="94" t="s">
        <v>376</v>
      </c>
      <c r="C41" s="184"/>
      <c r="D41" s="94" t="s">
        <v>397</v>
      </c>
      <c r="E41" s="94" t="s">
        <v>376</v>
      </c>
      <c r="F41" s="184"/>
      <c r="G41" s="94" t="s">
        <v>398</v>
      </c>
      <c r="H41" s="94" t="s">
        <v>376</v>
      </c>
      <c r="I41" s="184"/>
      <c r="J41" s="174" t="s">
        <v>399</v>
      </c>
      <c r="K41" s="174" t="s">
        <v>376</v>
      </c>
      <c r="L41" s="185"/>
      <c r="M41" s="94" t="s">
        <v>396</v>
      </c>
      <c r="N41" s="94" t="s">
        <v>376</v>
      </c>
      <c r="O41" s="184"/>
      <c r="P41" s="94" t="s">
        <v>397</v>
      </c>
      <c r="Q41" s="94" t="s">
        <v>376</v>
      </c>
      <c r="R41" s="184"/>
      <c r="S41" s="94" t="s">
        <v>398</v>
      </c>
      <c r="T41" s="94" t="s">
        <v>376</v>
      </c>
      <c r="U41" s="184"/>
      <c r="V41" s="94" t="s">
        <v>399</v>
      </c>
      <c r="W41" s="94" t="s">
        <v>376</v>
      </c>
      <c r="X41" s="189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</row>
    <row r="42" spans="1:35" ht="14.25" customHeight="1">
      <c r="A42" s="82" t="s">
        <v>378</v>
      </c>
      <c r="B42" s="48">
        <v>111420</v>
      </c>
      <c r="C42" s="188"/>
      <c r="D42" s="82" t="s">
        <v>386</v>
      </c>
      <c r="E42" s="48">
        <v>64808</v>
      </c>
      <c r="F42" s="188"/>
      <c r="G42" s="82" t="s">
        <v>390</v>
      </c>
      <c r="H42" s="48">
        <v>276041</v>
      </c>
      <c r="I42" s="188"/>
      <c r="J42" s="198" t="s">
        <v>378</v>
      </c>
      <c r="K42" s="175">
        <v>102</v>
      </c>
      <c r="L42" s="189"/>
      <c r="M42" s="82" t="s">
        <v>386</v>
      </c>
      <c r="N42" s="48">
        <v>97086</v>
      </c>
      <c r="O42" s="188"/>
      <c r="P42" s="82" t="s">
        <v>386</v>
      </c>
      <c r="Q42" s="48">
        <v>108885</v>
      </c>
      <c r="R42" s="188"/>
      <c r="S42" s="82" t="s">
        <v>390</v>
      </c>
      <c r="T42" s="48">
        <v>501047</v>
      </c>
      <c r="U42" s="188"/>
      <c r="V42" s="82" t="s">
        <v>400</v>
      </c>
      <c r="W42" s="48">
        <v>77</v>
      </c>
      <c r="X42" s="189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</row>
    <row r="43" spans="1:35" ht="14.25" customHeight="1">
      <c r="A43" s="82" t="s">
        <v>386</v>
      </c>
      <c r="B43" s="48">
        <v>50498</v>
      </c>
      <c r="C43" s="188"/>
      <c r="D43" s="82" t="s">
        <v>378</v>
      </c>
      <c r="E43" s="48">
        <v>3228</v>
      </c>
      <c r="F43" s="188"/>
      <c r="G43" s="82" t="s">
        <v>379</v>
      </c>
      <c r="H43" s="48">
        <v>25971</v>
      </c>
      <c r="I43" s="188"/>
      <c r="J43" s="198" t="s">
        <v>386</v>
      </c>
      <c r="K43" s="175">
        <v>26469</v>
      </c>
      <c r="L43" s="189"/>
      <c r="M43" s="82" t="s">
        <v>378</v>
      </c>
      <c r="N43" s="48">
        <v>60869</v>
      </c>
      <c r="O43" s="188"/>
      <c r="P43" s="196" t="s">
        <v>401</v>
      </c>
      <c r="Q43" s="197">
        <v>1675</v>
      </c>
      <c r="R43" s="188"/>
      <c r="S43" s="82" t="s">
        <v>379</v>
      </c>
      <c r="T43" s="48">
        <v>93990</v>
      </c>
      <c r="U43" s="188"/>
      <c r="V43" s="82" t="s">
        <v>402</v>
      </c>
      <c r="W43" s="48">
        <v>15</v>
      </c>
      <c r="X43" s="189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</row>
    <row r="44" spans="1:35" ht="14.25" customHeight="1">
      <c r="A44" s="82" t="s">
        <v>390</v>
      </c>
      <c r="B44" s="48">
        <v>48587</v>
      </c>
      <c r="C44" s="188"/>
      <c r="D44" s="188"/>
      <c r="E44" s="188"/>
      <c r="F44" s="188"/>
      <c r="G44" s="94" t="s">
        <v>403</v>
      </c>
      <c r="H44" s="48">
        <v>31177</v>
      </c>
      <c r="I44" s="186"/>
      <c r="J44" s="207"/>
      <c r="K44" s="206"/>
      <c r="L44" s="189"/>
      <c r="M44" s="82" t="s">
        <v>401</v>
      </c>
      <c r="N44" s="48">
        <v>11650</v>
      </c>
      <c r="O44" s="188"/>
      <c r="P44" s="198" t="s">
        <v>387</v>
      </c>
      <c r="Q44" s="198">
        <v>1500</v>
      </c>
      <c r="R44" s="188"/>
      <c r="S44" s="82" t="s">
        <v>386</v>
      </c>
      <c r="T44" s="48">
        <v>92240</v>
      </c>
      <c r="U44" s="186"/>
      <c r="V44" s="82" t="s">
        <v>386</v>
      </c>
      <c r="W44" s="48">
        <v>12</v>
      </c>
      <c r="X44" s="189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</row>
    <row r="45" spans="1:35" ht="14.25" customHeight="1">
      <c r="A45" s="82" t="s">
        <v>387</v>
      </c>
      <c r="B45" s="48">
        <v>3000</v>
      </c>
      <c r="C45" s="188"/>
      <c r="D45" s="188"/>
      <c r="E45" s="188"/>
      <c r="F45" s="188"/>
      <c r="G45" s="82" t="s">
        <v>386</v>
      </c>
      <c r="H45" s="48">
        <v>96212</v>
      </c>
      <c r="I45" s="188"/>
      <c r="J45" s="207"/>
      <c r="K45" s="207"/>
      <c r="L45" s="189"/>
      <c r="M45" s="82" t="s">
        <v>377</v>
      </c>
      <c r="N45" s="48">
        <v>3000</v>
      </c>
      <c r="O45" s="188"/>
      <c r="P45" s="198" t="s">
        <v>378</v>
      </c>
      <c r="Q45" s="198">
        <v>1344</v>
      </c>
      <c r="R45" s="188"/>
      <c r="S45" s="94" t="s">
        <v>403</v>
      </c>
      <c r="T45" s="48">
        <v>36942</v>
      </c>
      <c r="U45" s="188"/>
      <c r="V45" s="190"/>
      <c r="W45" s="188"/>
      <c r="X45" s="189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</row>
    <row r="46" spans="1:35" ht="14.25" customHeight="1">
      <c r="A46" s="82"/>
      <c r="B46" s="48"/>
      <c r="C46" s="188"/>
      <c r="D46" s="188"/>
      <c r="E46" s="188"/>
      <c r="F46" s="188"/>
      <c r="G46" s="82" t="s">
        <v>394</v>
      </c>
      <c r="H46" s="48">
        <v>9833</v>
      </c>
      <c r="I46" s="188"/>
      <c r="J46" s="188"/>
      <c r="K46" s="188"/>
      <c r="L46" s="189"/>
      <c r="M46" s="82" t="s">
        <v>387</v>
      </c>
      <c r="N46" s="48">
        <v>3800</v>
      </c>
      <c r="O46" s="188"/>
      <c r="P46" s="188"/>
      <c r="Q46" s="188"/>
      <c r="R46" s="188"/>
      <c r="S46" s="82" t="s">
        <v>394</v>
      </c>
      <c r="T46" s="48">
        <v>11309</v>
      </c>
      <c r="U46" s="188"/>
      <c r="V46" s="188"/>
      <c r="W46" s="188"/>
      <c r="X46" s="189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</row>
    <row r="47" spans="1:35" ht="14.25" customHeight="1">
      <c r="A47" s="188"/>
      <c r="B47" s="188"/>
      <c r="C47" s="188"/>
      <c r="D47" s="188"/>
      <c r="E47" s="188"/>
      <c r="F47" s="188"/>
      <c r="G47" s="82" t="s">
        <v>405</v>
      </c>
      <c r="H47" s="48">
        <v>25335</v>
      </c>
      <c r="I47" s="188"/>
      <c r="J47" s="188"/>
      <c r="K47" s="188"/>
      <c r="L47" s="189"/>
      <c r="M47" s="82" t="s">
        <v>404</v>
      </c>
      <c r="N47" s="48">
        <v>7500</v>
      </c>
      <c r="O47" s="188"/>
      <c r="P47" s="188"/>
      <c r="Q47" s="188"/>
      <c r="R47" s="188"/>
      <c r="S47" s="82" t="s">
        <v>405</v>
      </c>
      <c r="T47" s="48">
        <v>9417</v>
      </c>
      <c r="U47" s="188"/>
      <c r="V47" s="188"/>
      <c r="W47" s="188"/>
      <c r="X47" s="189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</row>
    <row r="48" spans="1:35" ht="14.25" customHeight="1">
      <c r="A48" s="188"/>
      <c r="B48" s="188"/>
      <c r="C48" s="188"/>
      <c r="D48" s="188"/>
      <c r="E48" s="188"/>
      <c r="F48" s="188"/>
      <c r="G48" s="190" t="s">
        <v>406</v>
      </c>
      <c r="H48" s="188"/>
      <c r="I48" s="188"/>
      <c r="J48" s="188"/>
      <c r="K48" s="188"/>
      <c r="L48" s="189"/>
      <c r="M48" s="82" t="s">
        <v>392</v>
      </c>
      <c r="N48" s="48">
        <v>2400</v>
      </c>
      <c r="O48" s="188"/>
      <c r="P48" s="188"/>
      <c r="Q48" s="188"/>
      <c r="R48" s="188"/>
      <c r="S48" s="190" t="s">
        <v>406</v>
      </c>
      <c r="T48" s="188"/>
      <c r="U48" s="188"/>
      <c r="V48" s="188"/>
      <c r="W48" s="188"/>
      <c r="X48" s="189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</row>
    <row r="49" spans="1:35" ht="14.25" customHeight="1">
      <c r="A49" s="188"/>
      <c r="B49" s="188"/>
      <c r="C49" s="188"/>
      <c r="D49" s="188"/>
      <c r="E49" s="188"/>
      <c r="F49" s="188"/>
      <c r="G49" s="190"/>
      <c r="H49" s="188"/>
      <c r="I49" s="188"/>
      <c r="J49" s="188"/>
      <c r="K49" s="188"/>
      <c r="L49" s="189"/>
      <c r="M49" s="188"/>
      <c r="N49" s="186"/>
      <c r="O49" s="188"/>
      <c r="P49" s="188"/>
      <c r="Q49" s="188"/>
      <c r="R49" s="188"/>
      <c r="S49" s="190"/>
      <c r="T49" s="188"/>
      <c r="U49" s="188"/>
      <c r="V49" s="188"/>
      <c r="W49" s="188"/>
      <c r="X49" s="189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</row>
    <row r="50" spans="1:35" ht="14.25" customHeight="1">
      <c r="A50" s="180" t="s">
        <v>408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3" t="s">
        <v>409</v>
      </c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</row>
    <row r="51" spans="1:35" ht="14.25" customHeight="1">
      <c r="A51" s="191" t="s">
        <v>2</v>
      </c>
      <c r="B51" s="192" t="s">
        <v>373</v>
      </c>
      <c r="C51" s="188"/>
      <c r="D51" s="191" t="s">
        <v>349</v>
      </c>
      <c r="E51" s="192" t="s">
        <v>373</v>
      </c>
      <c r="F51" s="188"/>
      <c r="G51" s="191" t="s">
        <v>7</v>
      </c>
      <c r="H51" s="193" t="s">
        <v>410</v>
      </c>
      <c r="I51" s="188"/>
      <c r="J51" s="188"/>
      <c r="K51" s="188"/>
      <c r="L51" s="194"/>
      <c r="M51" s="191" t="s">
        <v>2</v>
      </c>
      <c r="N51" s="192" t="s">
        <v>373</v>
      </c>
      <c r="O51" s="188"/>
      <c r="P51" s="191" t="s">
        <v>349</v>
      </c>
      <c r="Q51" s="192" t="s">
        <v>373</v>
      </c>
      <c r="R51" s="188"/>
      <c r="S51" s="191" t="s">
        <v>7</v>
      </c>
      <c r="T51" s="193" t="s">
        <v>410</v>
      </c>
      <c r="U51" s="188"/>
      <c r="V51" s="188"/>
      <c r="W51" s="188"/>
      <c r="X51" s="189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</row>
    <row r="52" spans="1:35" ht="14.25" customHeight="1">
      <c r="A52" s="82" t="s">
        <v>377</v>
      </c>
      <c r="B52" s="48">
        <v>68.795000000000002</v>
      </c>
      <c r="C52" s="188"/>
      <c r="D52" s="82" t="s">
        <v>378</v>
      </c>
      <c r="E52" s="48">
        <v>123.35299999999999</v>
      </c>
      <c r="F52" s="188"/>
      <c r="G52" s="82" t="s">
        <v>378</v>
      </c>
      <c r="H52" s="48">
        <v>194.095663</v>
      </c>
      <c r="I52" s="188"/>
      <c r="J52" s="188"/>
      <c r="K52" s="188"/>
      <c r="L52" s="194"/>
      <c r="M52" s="82" t="s">
        <v>377</v>
      </c>
      <c r="N52" s="199">
        <v>60.774000000000001</v>
      </c>
      <c r="O52" s="188"/>
      <c r="P52" s="82" t="s">
        <v>378</v>
      </c>
      <c r="Q52" s="199">
        <v>129.15</v>
      </c>
      <c r="R52" s="186"/>
      <c r="S52" s="82" t="s">
        <v>378</v>
      </c>
      <c r="T52" s="199">
        <v>28.560176999999999</v>
      </c>
      <c r="U52" s="195"/>
      <c r="V52" s="188"/>
      <c r="W52" s="188"/>
      <c r="X52" s="189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</row>
    <row r="53" spans="1:35" ht="14.25" customHeight="1">
      <c r="A53" s="82" t="s">
        <v>378</v>
      </c>
      <c r="B53" s="48">
        <v>0.29299999999999998</v>
      </c>
      <c r="C53" s="188"/>
      <c r="D53" s="82" t="s">
        <v>393</v>
      </c>
      <c r="E53" s="48">
        <v>76.858999999999995</v>
      </c>
      <c r="F53" s="188"/>
      <c r="G53" s="82" t="s">
        <v>402</v>
      </c>
      <c r="H53" s="242">
        <v>0.10446999999999999</v>
      </c>
      <c r="I53" s="188"/>
      <c r="J53" s="188"/>
      <c r="K53" s="188"/>
      <c r="L53" s="194"/>
      <c r="M53" s="188"/>
      <c r="O53" s="188"/>
      <c r="P53" s="82" t="s">
        <v>393</v>
      </c>
      <c r="Q53" s="199">
        <v>27.173999999999999</v>
      </c>
      <c r="R53" s="188"/>
      <c r="S53" s="82" t="s">
        <v>411</v>
      </c>
      <c r="T53" s="199">
        <v>0.45688699999999999</v>
      </c>
      <c r="U53" s="188"/>
      <c r="V53" s="188"/>
      <c r="W53" s="188"/>
      <c r="X53" s="189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</row>
    <row r="54" spans="1:35" ht="14.25" customHeight="1">
      <c r="A54" s="188"/>
      <c r="B54" s="188"/>
      <c r="C54" s="188"/>
      <c r="D54" s="82" t="s">
        <v>412</v>
      </c>
      <c r="E54" s="48">
        <v>20.579000000000001</v>
      </c>
      <c r="F54" s="188"/>
      <c r="G54" s="239" t="s">
        <v>389</v>
      </c>
      <c r="H54" s="242">
        <v>5.0596000000000002E-2</v>
      </c>
      <c r="I54" s="188"/>
      <c r="J54" s="188"/>
      <c r="K54" s="188"/>
      <c r="L54" s="194"/>
      <c r="M54" s="188"/>
      <c r="O54" s="188"/>
      <c r="P54" s="82" t="s">
        <v>412</v>
      </c>
      <c r="Q54" s="199">
        <v>26.88</v>
      </c>
      <c r="R54" s="188"/>
      <c r="S54" s="82" t="s">
        <v>402</v>
      </c>
      <c r="T54" s="199">
        <v>27.003</v>
      </c>
      <c r="U54" s="188"/>
      <c r="V54" s="188"/>
      <c r="W54" s="188"/>
      <c r="X54" s="189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</row>
    <row r="55" spans="1:35" ht="14.25" customHeight="1">
      <c r="A55" s="188"/>
      <c r="B55" s="188"/>
      <c r="C55" s="188"/>
      <c r="D55" s="82" t="s">
        <v>383</v>
      </c>
      <c r="E55" s="48">
        <v>12.515000000000001</v>
      </c>
      <c r="F55" s="188"/>
      <c r="G55" s="239" t="s">
        <v>414</v>
      </c>
      <c r="H55" s="242">
        <v>3.7324999999999997E-2</v>
      </c>
      <c r="I55" s="188"/>
      <c r="J55" s="188"/>
      <c r="K55" s="188"/>
      <c r="L55" s="194"/>
      <c r="M55" s="188"/>
      <c r="O55" s="188"/>
      <c r="P55" s="82" t="s">
        <v>383</v>
      </c>
      <c r="Q55" s="199">
        <v>23.646000000000001</v>
      </c>
      <c r="R55" s="188"/>
      <c r="S55" s="82" t="s">
        <v>393</v>
      </c>
      <c r="T55" s="199">
        <v>1.312694</v>
      </c>
      <c r="U55" s="188"/>
      <c r="V55" s="188"/>
      <c r="W55" s="188"/>
      <c r="X55" s="189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</row>
    <row r="56" spans="1:35" ht="14.25" customHeight="1">
      <c r="A56" s="188"/>
      <c r="B56" s="188"/>
      <c r="C56" s="188"/>
      <c r="D56" s="82" t="s">
        <v>413</v>
      </c>
      <c r="E56" s="48">
        <v>12.430999999999999</v>
      </c>
      <c r="F56" s="188"/>
      <c r="G56" s="239" t="s">
        <v>448</v>
      </c>
      <c r="H56" s="242">
        <v>3.5948000000000001E-2</v>
      </c>
      <c r="I56" s="188"/>
      <c r="J56" s="188"/>
      <c r="K56" s="188"/>
      <c r="L56" s="194"/>
      <c r="M56" s="188"/>
      <c r="O56" s="188"/>
      <c r="P56" s="82" t="s">
        <v>413</v>
      </c>
      <c r="Q56" s="199">
        <v>3.36</v>
      </c>
      <c r="R56" s="188"/>
      <c r="S56" s="82" t="s">
        <v>414</v>
      </c>
      <c r="T56" s="199">
        <v>7.2214E-2</v>
      </c>
      <c r="U56" s="188"/>
      <c r="V56" s="188"/>
      <c r="W56" s="188"/>
      <c r="X56" s="189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</row>
    <row r="57" spans="1:35" ht="14.25" customHeight="1">
      <c r="A57" s="188"/>
      <c r="B57" s="188"/>
      <c r="C57" s="188"/>
      <c r="D57" s="82" t="s">
        <v>381</v>
      </c>
      <c r="E57" s="48">
        <v>4.157</v>
      </c>
      <c r="F57" s="188"/>
      <c r="G57" s="188"/>
      <c r="H57" s="188"/>
      <c r="I57" s="188"/>
      <c r="J57" s="188"/>
      <c r="K57" s="188"/>
      <c r="L57" s="189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9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</row>
    <row r="58" spans="1:35" ht="14.25" customHeight="1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9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9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</row>
    <row r="59" spans="1:35" ht="14.25" customHeight="1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9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9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</row>
    <row r="60" spans="1:35" ht="14.25" customHeight="1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9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9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</row>
    <row r="61" spans="1:35" ht="14.25" customHeight="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9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9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</row>
    <row r="62" spans="1:35" ht="14.25" customHeight="1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9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9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</row>
    <row r="63" spans="1:35" ht="14.25" customHeight="1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9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9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</row>
    <row r="64" spans="1:35" ht="14.2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9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9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</row>
    <row r="65" spans="1:35" ht="14.25" customHeight="1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9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9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</row>
    <row r="66" spans="1:35" ht="14.25" customHeight="1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9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9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</row>
    <row r="67" spans="1:35" ht="14.25" customHeight="1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9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9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</row>
    <row r="68" spans="1:35" ht="14.25" customHeight="1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9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9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</row>
    <row r="69" spans="1:35" ht="14.25" customHeight="1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9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9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</row>
    <row r="70" spans="1:35" ht="14.25" customHeight="1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9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9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</row>
    <row r="71" spans="1:35" ht="14.25" customHeight="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9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9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</row>
    <row r="72" spans="1:35" ht="14.25" customHeight="1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9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9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</row>
    <row r="73" spans="1:35" ht="14.2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9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</row>
    <row r="74" spans="1:35" ht="14.25" customHeight="1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9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9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</row>
    <row r="75" spans="1:35" ht="14.25" customHeight="1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9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9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</row>
    <row r="76" spans="1:35" ht="14.25" customHeight="1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9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9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</row>
    <row r="77" spans="1:35" ht="14.2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9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9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</row>
    <row r="78" spans="1:35" ht="14.25" customHeight="1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9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9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</row>
    <row r="79" spans="1:35" ht="14.25" customHeight="1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9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9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</row>
    <row r="80" spans="1:35" ht="14.25" customHeight="1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9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9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</row>
    <row r="81" spans="1:35" ht="14.25" customHeight="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9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9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</row>
    <row r="82" spans="1:35" ht="14.25" customHeight="1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9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9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</row>
    <row r="83" spans="1:35" ht="14.2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9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9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</row>
    <row r="84" spans="1:35" ht="14.25" customHeight="1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9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9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</row>
    <row r="85" spans="1:35" ht="14.25" customHeight="1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9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9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</row>
    <row r="86" spans="1:35" ht="14.25" customHeight="1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9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9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</row>
    <row r="87" spans="1:35" ht="14.25" customHeight="1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9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9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</row>
    <row r="88" spans="1:35" ht="14.25" customHeight="1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9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9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</row>
    <row r="89" spans="1:35" ht="14.25" customHeight="1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9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9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</row>
    <row r="90" spans="1:35" ht="14.25" customHeight="1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9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9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</row>
    <row r="91" spans="1:35" ht="14.25" customHeight="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9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9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</row>
    <row r="92" spans="1:35" ht="14.25" customHeight="1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9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9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</row>
    <row r="93" spans="1:35" ht="14.2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9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9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</row>
    <row r="94" spans="1:35" ht="14.25" customHeight="1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9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9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</row>
    <row r="95" spans="1:35" ht="14.25" customHeight="1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9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9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</row>
    <row r="96" spans="1:35" ht="14.25" customHeight="1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9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9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</row>
    <row r="97" spans="1:35" ht="14.25" customHeight="1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9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9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</row>
    <row r="98" spans="1:35" ht="14.25" customHeight="1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9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9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</row>
    <row r="99" spans="1:35" ht="14.25" customHeight="1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9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9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</row>
    <row r="100" spans="1:35" ht="14.25" customHeight="1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9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9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</row>
    <row r="101" spans="1:35" ht="14.25" customHeight="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9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9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</row>
    <row r="102" spans="1:35" ht="14.2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9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9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</row>
    <row r="103" spans="1:35" ht="14.25" customHeight="1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9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9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</row>
    <row r="104" spans="1:35" ht="14.25" customHeight="1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9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9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</row>
    <row r="105" spans="1:35" ht="14.25" customHeight="1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9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9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</row>
    <row r="106" spans="1:35" ht="14.25" customHeight="1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9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9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</row>
    <row r="107" spans="1:35" ht="14.25" customHeight="1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9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9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</row>
    <row r="108" spans="1:35" ht="14.25" customHeight="1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9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9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</row>
    <row r="109" spans="1:35" ht="14.25" customHeight="1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9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9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</row>
    <row r="110" spans="1:35" ht="14.25" customHeight="1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9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9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</row>
    <row r="111" spans="1:35" ht="14.25" customHeight="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9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9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</row>
    <row r="112" spans="1:35" ht="14.25" customHeight="1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9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9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</row>
    <row r="113" spans="1:35" ht="14.25" customHeight="1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9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9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</row>
    <row r="114" spans="1:35" ht="14.25" customHeight="1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9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9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</row>
    <row r="115" spans="1:35" ht="14.2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9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9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</row>
    <row r="116" spans="1:35" ht="14.25" customHeight="1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9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9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</row>
    <row r="117" spans="1:35" ht="14.25" customHeight="1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9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9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</row>
    <row r="118" spans="1:35" ht="14.25" customHeight="1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9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9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</row>
    <row r="119" spans="1:35" ht="14.25" customHeight="1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9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9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</row>
    <row r="120" spans="1:35" ht="14.25" customHeight="1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9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9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</row>
    <row r="121" spans="1:35" ht="14.2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9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9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</row>
    <row r="122" spans="1:35" ht="14.2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9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9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</row>
    <row r="123" spans="1:35" ht="14.25" customHeight="1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9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9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</row>
    <row r="124" spans="1:35" ht="14.25" customHeight="1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9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9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</row>
    <row r="125" spans="1:35" ht="14.25" customHeight="1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9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</row>
    <row r="126" spans="1:35" ht="14.25" customHeight="1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9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9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</row>
    <row r="127" spans="1:35" ht="14.25" customHeight="1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9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9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</row>
    <row r="128" spans="1:35" ht="14.25" customHeight="1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9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9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</row>
    <row r="129" spans="1:35" ht="14.2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9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9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</row>
    <row r="130" spans="1:35" ht="14.2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9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9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</row>
    <row r="131" spans="1:35" ht="14.2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9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9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</row>
    <row r="132" spans="1:35" ht="14.2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9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9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</row>
    <row r="133" spans="1:35" ht="14.2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9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9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</row>
    <row r="134" spans="1:35" ht="14.2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9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9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</row>
    <row r="135" spans="1:35" ht="14.2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9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9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</row>
    <row r="136" spans="1:35" ht="14.2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9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9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</row>
    <row r="137" spans="1:35" ht="14.2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9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9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</row>
    <row r="138" spans="1:35" ht="14.2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9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9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</row>
    <row r="139" spans="1:35" ht="14.2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9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9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</row>
    <row r="140" spans="1:35" ht="14.2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9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9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</row>
    <row r="141" spans="1:35" ht="14.2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9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9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</row>
    <row r="142" spans="1:35" ht="14.2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9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9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</row>
    <row r="143" spans="1:35" ht="14.2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9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9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</row>
    <row r="144" spans="1:35" ht="14.2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9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9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</row>
    <row r="145" spans="1:35" ht="14.2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9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9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</row>
    <row r="146" spans="1:35" ht="14.2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9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9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</row>
    <row r="147" spans="1:35" ht="14.2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9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9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</row>
    <row r="148" spans="1:35" ht="14.2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9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9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</row>
    <row r="149" spans="1:35" ht="14.2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9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9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</row>
    <row r="150" spans="1:35" ht="14.2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9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9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</row>
    <row r="151" spans="1:35" ht="14.2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9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9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</row>
    <row r="152" spans="1:35" ht="14.2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9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9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</row>
    <row r="153" spans="1:35" ht="14.2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9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9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</row>
    <row r="154" spans="1:35" ht="14.2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9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9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</row>
    <row r="155" spans="1:35" ht="14.2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9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9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</row>
    <row r="156" spans="1:35" ht="14.2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9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9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</row>
    <row r="157" spans="1:35" ht="14.2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9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9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</row>
    <row r="158" spans="1:35" ht="14.2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9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9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</row>
    <row r="159" spans="1:35" ht="14.2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9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9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</row>
    <row r="160" spans="1:35" ht="14.2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9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9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</row>
    <row r="161" spans="1:35" ht="14.2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9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9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</row>
    <row r="162" spans="1:35" ht="14.2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9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9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</row>
    <row r="163" spans="1:35" ht="14.2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9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9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</row>
    <row r="164" spans="1:35" ht="14.2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9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9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</row>
    <row r="165" spans="1:35" ht="14.2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9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9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</row>
    <row r="166" spans="1:35" ht="14.2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9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9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</row>
    <row r="167" spans="1:35" ht="14.2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9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9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</row>
    <row r="168" spans="1:35" ht="14.2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9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9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</row>
    <row r="169" spans="1:35" ht="14.2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9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9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</row>
    <row r="170" spans="1:35" ht="14.2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9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9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</row>
    <row r="171" spans="1:35" ht="14.2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9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9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</row>
    <row r="172" spans="1:35" ht="14.2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9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9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</row>
    <row r="173" spans="1:35" ht="14.2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9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9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</row>
    <row r="174" spans="1:35" ht="14.2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9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9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</row>
    <row r="175" spans="1:35" ht="14.2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9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9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</row>
    <row r="176" spans="1:35" ht="14.2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9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9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</row>
    <row r="177" spans="1:35" ht="14.25" customHeight="1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9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</row>
    <row r="178" spans="1:35" ht="14.25" customHeight="1">
      <c r="A178" s="188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89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9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</row>
    <row r="179" spans="1:35" ht="14.25" customHeight="1">
      <c r="A179" s="188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89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9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</row>
    <row r="180" spans="1:35" ht="14.25" customHeight="1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9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9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</row>
    <row r="181" spans="1:35" ht="14.25" customHeight="1">
      <c r="A181" s="188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9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9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</row>
    <row r="182" spans="1:35" ht="14.25" customHeight="1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9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9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</row>
    <row r="183" spans="1:35" ht="14.25" customHeight="1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89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9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</row>
    <row r="184" spans="1:35" ht="14.25" customHeight="1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89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9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</row>
    <row r="185" spans="1:35" ht="14.25" customHeight="1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9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9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</row>
    <row r="186" spans="1:35" ht="14.25" customHeight="1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9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9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</row>
    <row r="187" spans="1:35" ht="14.25" customHeight="1">
      <c r="A187" s="188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89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9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</row>
    <row r="188" spans="1:35" ht="14.25" customHeight="1">
      <c r="A188" s="188"/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89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9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</row>
    <row r="189" spans="1:35" ht="14.25" customHeight="1">
      <c r="A189" s="188"/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89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9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</row>
    <row r="190" spans="1:35" ht="14.25" customHeight="1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9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9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</row>
    <row r="191" spans="1:35" ht="14.25" customHeight="1">
      <c r="A191" s="188"/>
      <c r="B191" s="188"/>
      <c r="C191" s="188"/>
      <c r="D191" s="188"/>
      <c r="E191" s="188"/>
      <c r="F191" s="188"/>
      <c r="G191" s="188"/>
      <c r="H191" s="188"/>
      <c r="I191" s="188"/>
      <c r="J191" s="188"/>
      <c r="K191" s="188"/>
      <c r="L191" s="189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9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</row>
    <row r="192" spans="1:35" ht="14.25" customHeight="1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9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9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</row>
    <row r="193" spans="1:35" ht="14.25" customHeight="1">
      <c r="A193" s="188"/>
      <c r="B193" s="188"/>
      <c r="C193" s="188"/>
      <c r="D193" s="188"/>
      <c r="E193" s="188"/>
      <c r="F193" s="188"/>
      <c r="G193" s="188"/>
      <c r="H193" s="188"/>
      <c r="I193" s="188"/>
      <c r="J193" s="188"/>
      <c r="K193" s="188"/>
      <c r="L193" s="189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9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</row>
    <row r="194" spans="1:35" ht="14.25" customHeight="1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9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9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</row>
    <row r="195" spans="1:35" ht="14.25" customHeight="1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9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9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</row>
    <row r="196" spans="1:35" ht="14.25" customHeight="1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9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9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</row>
    <row r="197" spans="1:35" ht="14.25" customHeight="1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9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9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</row>
    <row r="198" spans="1:35" ht="14.25" customHeight="1">
      <c r="A198" s="188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9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9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</row>
    <row r="199" spans="1:35" ht="14.25" customHeight="1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9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9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</row>
    <row r="200" spans="1:35" ht="14.25" customHeight="1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9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9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</row>
    <row r="201" spans="1:35" ht="14.25" customHeight="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89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9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</row>
    <row r="202" spans="1:35" ht="14.25" customHeight="1">
      <c r="A202" s="188"/>
      <c r="B202" s="188"/>
      <c r="C202" s="188"/>
      <c r="D202" s="188"/>
      <c r="E202" s="188"/>
      <c r="F202" s="188"/>
      <c r="G202" s="188"/>
      <c r="H202" s="188"/>
      <c r="I202" s="188"/>
      <c r="J202" s="188"/>
      <c r="K202" s="188"/>
      <c r="L202" s="189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9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</row>
    <row r="203" spans="1:35" ht="14.25" customHeight="1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9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9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</row>
    <row r="204" spans="1:35" ht="14.25" customHeight="1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9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9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</row>
    <row r="205" spans="1:35" ht="14.25" customHeight="1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9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9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</row>
    <row r="206" spans="1:35" ht="14.25" customHeight="1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9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9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</row>
    <row r="207" spans="1:35" ht="14.25" customHeight="1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9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9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</row>
    <row r="208" spans="1:35" ht="14.25" customHeight="1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9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9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</row>
    <row r="209" spans="1:35" ht="14.25" customHeight="1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9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9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</row>
    <row r="210" spans="1:35" ht="14.25" customHeight="1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9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9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</row>
    <row r="211" spans="1:35" ht="14.25" customHeight="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9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9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</row>
    <row r="212" spans="1:35" ht="14.25" customHeight="1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9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9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</row>
    <row r="213" spans="1:35" ht="14.25" customHeight="1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9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9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</row>
    <row r="214" spans="1:35" ht="14.25" customHeight="1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9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9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</row>
    <row r="215" spans="1:35" ht="14.25" customHeight="1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9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9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</row>
    <row r="216" spans="1:35" ht="14.25" customHeight="1">
      <c r="A216" s="188"/>
      <c r="B216" s="188"/>
      <c r="C216" s="188"/>
      <c r="D216" s="188"/>
      <c r="E216" s="188"/>
      <c r="F216" s="188"/>
      <c r="G216" s="188"/>
      <c r="H216" s="188"/>
      <c r="I216" s="188"/>
      <c r="J216" s="188"/>
      <c r="K216" s="188"/>
      <c r="L216" s="189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9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</row>
    <row r="217" spans="1:35" ht="14.25" customHeight="1">
      <c r="A217" s="188"/>
      <c r="B217" s="188"/>
      <c r="C217" s="188"/>
      <c r="D217" s="188"/>
      <c r="E217" s="188"/>
      <c r="F217" s="188"/>
      <c r="G217" s="188"/>
      <c r="H217" s="188"/>
      <c r="I217" s="188"/>
      <c r="J217" s="188"/>
      <c r="K217" s="188"/>
      <c r="L217" s="189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9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</row>
    <row r="218" spans="1:35" ht="14.25" customHeight="1">
      <c r="A218" s="188"/>
      <c r="B218" s="188"/>
      <c r="C218" s="188"/>
      <c r="D218" s="188"/>
      <c r="E218" s="188"/>
      <c r="F218" s="188"/>
      <c r="G218" s="188"/>
      <c r="H218" s="188"/>
      <c r="I218" s="188"/>
      <c r="J218" s="188"/>
      <c r="K218" s="188"/>
      <c r="L218" s="189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9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</row>
    <row r="219" spans="1:35" ht="14.25" customHeight="1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9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9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</row>
    <row r="220" spans="1:35" ht="14.25" customHeight="1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9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9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</row>
    <row r="221" spans="1:35" ht="14.25" customHeight="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9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9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</row>
    <row r="222" spans="1:35" ht="14.25" customHeight="1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9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9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</row>
    <row r="223" spans="1:35" ht="14.25" customHeight="1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9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9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</row>
    <row r="224" spans="1:35" ht="14.25" customHeight="1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89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9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</row>
    <row r="225" spans="1:35" ht="14.25" customHeight="1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9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9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</row>
    <row r="226" spans="1:35" ht="14.25" customHeight="1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9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9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</row>
    <row r="227" spans="1:35" ht="14.25" customHeight="1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9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9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</row>
    <row r="228" spans="1:35" ht="14.25" customHeight="1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9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9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</row>
    <row r="229" spans="1:35" ht="14.25" customHeight="1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9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88"/>
      <c r="Z229" s="188"/>
      <c r="AA229" s="188"/>
      <c r="AB229" s="188"/>
      <c r="AC229" s="188"/>
      <c r="AD229" s="188"/>
      <c r="AE229" s="188"/>
      <c r="AF229" s="188"/>
      <c r="AG229" s="188"/>
      <c r="AH229" s="188"/>
      <c r="AI229" s="188"/>
    </row>
    <row r="230" spans="1:35" ht="14.25" customHeight="1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9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9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</row>
    <row r="231" spans="1:35" ht="14.25" customHeight="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9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9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</row>
    <row r="232" spans="1:35" ht="14.25" customHeight="1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9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9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</row>
    <row r="233" spans="1:35" ht="14.25" customHeight="1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9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9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</row>
    <row r="234" spans="1:35" ht="14.25" customHeight="1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9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9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</row>
    <row r="235" spans="1:35" ht="14.25" customHeight="1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9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9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8"/>
    </row>
    <row r="236" spans="1:35" ht="14.25" customHeight="1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9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9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</row>
    <row r="237" spans="1:35" ht="14.25" customHeight="1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9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9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</row>
    <row r="238" spans="1:35" ht="14.25" customHeight="1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9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9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</row>
    <row r="239" spans="1:35" ht="14.25" customHeight="1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9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9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</row>
    <row r="240" spans="1:35" ht="14.25" customHeight="1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9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9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</row>
    <row r="241" spans="1:35" ht="14.25" customHeight="1">
      <c r="A241" s="188"/>
      <c r="B241" s="188"/>
      <c r="C241" s="188"/>
      <c r="D241" s="188"/>
      <c r="E241" s="188"/>
      <c r="F241" s="188"/>
      <c r="G241" s="188"/>
      <c r="H241" s="188"/>
      <c r="I241" s="188"/>
      <c r="J241" s="188"/>
      <c r="K241" s="188"/>
      <c r="L241" s="189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9"/>
      <c r="Y241" s="188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</row>
    <row r="242" spans="1:35" ht="14.25" customHeight="1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9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9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</row>
    <row r="243" spans="1:35" ht="14.25" customHeight="1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9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9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</row>
    <row r="244" spans="1:35" ht="14.25" customHeight="1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9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9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</row>
    <row r="245" spans="1:35" ht="14.25" customHeight="1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9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9"/>
      <c r="Y245" s="188"/>
      <c r="Z245" s="188"/>
      <c r="AA245" s="188"/>
      <c r="AB245" s="188"/>
      <c r="AC245" s="188"/>
      <c r="AD245" s="188"/>
      <c r="AE245" s="188"/>
      <c r="AF245" s="188"/>
      <c r="AG245" s="188"/>
      <c r="AH245" s="188"/>
      <c r="AI245" s="188"/>
    </row>
    <row r="246" spans="1:35" ht="14.25" customHeight="1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9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9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</row>
    <row r="247" spans="1:35" ht="14.25" customHeight="1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9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9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</row>
    <row r="248" spans="1:35" ht="14.25" customHeight="1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9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9"/>
      <c r="Y248" s="188"/>
      <c r="Z248" s="188"/>
      <c r="AA248" s="188"/>
      <c r="AB248" s="188"/>
      <c r="AC248" s="188"/>
      <c r="AD248" s="188"/>
      <c r="AE248" s="188"/>
      <c r="AF248" s="188"/>
      <c r="AG248" s="188"/>
      <c r="AH248" s="188"/>
      <c r="AI248" s="188"/>
    </row>
    <row r="249" spans="1:35" ht="14.25" customHeight="1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9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9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</row>
    <row r="250" spans="1:35" ht="14.25" customHeight="1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9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9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</row>
    <row r="251" spans="1:35" ht="14.25" customHeight="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9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9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</row>
    <row r="252" spans="1:35" ht="14.25" customHeight="1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9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9"/>
      <c r="Y252" s="188"/>
      <c r="Z252" s="188"/>
      <c r="AA252" s="188"/>
      <c r="AB252" s="188"/>
      <c r="AC252" s="188"/>
      <c r="AD252" s="188"/>
      <c r="AE252" s="188"/>
      <c r="AF252" s="188"/>
      <c r="AG252" s="188"/>
      <c r="AH252" s="188"/>
      <c r="AI252" s="188"/>
    </row>
    <row r="253" spans="1:35" ht="14.25" customHeight="1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9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9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</row>
    <row r="254" spans="1:35" ht="14.25" customHeight="1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9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9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</row>
    <row r="255" spans="1:35" ht="14.25" customHeight="1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9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9"/>
      <c r="Y255" s="188"/>
      <c r="Z255" s="188"/>
      <c r="AA255" s="188"/>
      <c r="AB255" s="188"/>
      <c r="AC255" s="188"/>
      <c r="AD255" s="188"/>
      <c r="AE255" s="188"/>
      <c r="AF255" s="188"/>
      <c r="AG255" s="188"/>
      <c r="AH255" s="188"/>
      <c r="AI255" s="188"/>
    </row>
    <row r="256" spans="1:35" ht="14.25" customHeight="1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9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9"/>
      <c r="Y256" s="188"/>
      <c r="Z256" s="188"/>
      <c r="AA256" s="188"/>
      <c r="AB256" s="188"/>
      <c r="AC256" s="188"/>
      <c r="AD256" s="188"/>
      <c r="AE256" s="188"/>
      <c r="AF256" s="188"/>
      <c r="AG256" s="188"/>
      <c r="AH256" s="188"/>
      <c r="AI256" s="188"/>
    </row>
    <row r="257" spans="1:35" ht="14.25" customHeight="1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9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9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</row>
    <row r="258" spans="1:35" ht="14.25" customHeight="1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9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9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</row>
    <row r="259" spans="1:35" ht="14.25" customHeight="1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9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9"/>
      <c r="Y259" s="188"/>
      <c r="Z259" s="188"/>
      <c r="AA259" s="188"/>
      <c r="AB259" s="188"/>
      <c r="AC259" s="188"/>
      <c r="AD259" s="188"/>
      <c r="AE259" s="188"/>
      <c r="AF259" s="188"/>
      <c r="AG259" s="188"/>
      <c r="AH259" s="188"/>
      <c r="AI259" s="188"/>
    </row>
    <row r="260" spans="1:35" ht="14.25" customHeight="1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9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9"/>
      <c r="Y260" s="188"/>
      <c r="Z260" s="188"/>
      <c r="AA260" s="188"/>
      <c r="AB260" s="188"/>
      <c r="AC260" s="188"/>
      <c r="AD260" s="188"/>
      <c r="AE260" s="188"/>
      <c r="AF260" s="188"/>
      <c r="AG260" s="188"/>
      <c r="AH260" s="188"/>
      <c r="AI260" s="188"/>
    </row>
    <row r="261" spans="1:35" ht="14.25" customHeight="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9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9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8"/>
    </row>
    <row r="262" spans="1:35" ht="14.25" customHeight="1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9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9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</row>
    <row r="263" spans="1:35" ht="14.25" customHeight="1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9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9"/>
      <c r="Y263" s="188"/>
      <c r="Z263" s="188"/>
      <c r="AA263" s="188"/>
      <c r="AB263" s="188"/>
      <c r="AC263" s="188"/>
      <c r="AD263" s="188"/>
      <c r="AE263" s="188"/>
      <c r="AF263" s="188"/>
      <c r="AG263" s="188"/>
      <c r="AH263" s="188"/>
      <c r="AI263" s="188"/>
    </row>
    <row r="264" spans="1:35" ht="14.25" customHeight="1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9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9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</row>
    <row r="265" spans="1:35" ht="14.25" customHeight="1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9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9"/>
      <c r="Y265" s="188"/>
      <c r="Z265" s="188"/>
      <c r="AA265" s="188"/>
      <c r="AB265" s="188"/>
      <c r="AC265" s="188"/>
      <c r="AD265" s="188"/>
      <c r="AE265" s="188"/>
      <c r="AF265" s="188"/>
      <c r="AG265" s="188"/>
      <c r="AH265" s="188"/>
      <c r="AI265" s="188"/>
    </row>
    <row r="266" spans="1:35" ht="14.25" customHeight="1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9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9"/>
      <c r="Y266" s="188"/>
      <c r="Z266" s="188"/>
      <c r="AA266" s="188"/>
      <c r="AB266" s="188"/>
      <c r="AC266" s="188"/>
      <c r="AD266" s="188"/>
      <c r="AE266" s="188"/>
      <c r="AF266" s="188"/>
      <c r="AG266" s="188"/>
      <c r="AH266" s="188"/>
      <c r="AI266" s="188"/>
    </row>
    <row r="267" spans="1:35" ht="14.25" customHeight="1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9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9"/>
      <c r="Y267" s="188"/>
      <c r="Z267" s="188"/>
      <c r="AA267" s="188"/>
      <c r="AB267" s="188"/>
      <c r="AC267" s="188"/>
      <c r="AD267" s="188"/>
      <c r="AE267" s="188"/>
      <c r="AF267" s="188"/>
      <c r="AG267" s="188"/>
      <c r="AH267" s="188"/>
      <c r="AI267" s="188"/>
    </row>
    <row r="268" spans="1:35" ht="14.25" customHeight="1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9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9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</row>
    <row r="269" spans="1:35" ht="14.25" customHeight="1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9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9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</row>
    <row r="270" spans="1:35" ht="14.25" customHeight="1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9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9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</row>
    <row r="271" spans="1:35" ht="14.25" customHeight="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9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9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</row>
    <row r="272" spans="1:35" ht="14.25" customHeight="1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9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9"/>
      <c r="Y272" s="188"/>
      <c r="Z272" s="188"/>
      <c r="AA272" s="188"/>
      <c r="AB272" s="188"/>
      <c r="AC272" s="188"/>
      <c r="AD272" s="188"/>
      <c r="AE272" s="188"/>
      <c r="AF272" s="188"/>
      <c r="AG272" s="188"/>
      <c r="AH272" s="188"/>
      <c r="AI272" s="188"/>
    </row>
    <row r="273" spans="1:35" ht="14.25" customHeight="1">
      <c r="A273" s="188"/>
      <c r="B273" s="188"/>
      <c r="C273" s="188"/>
      <c r="D273" s="188"/>
      <c r="E273" s="188"/>
      <c r="F273" s="188"/>
      <c r="G273" s="188"/>
      <c r="H273" s="188"/>
      <c r="I273" s="188"/>
      <c r="J273" s="188"/>
      <c r="K273" s="188"/>
      <c r="L273" s="189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9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</row>
    <row r="274" spans="1:35" ht="14.25" customHeight="1">
      <c r="A274" s="188"/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89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9"/>
      <c r="Y274" s="188"/>
      <c r="Z274" s="188"/>
      <c r="AA274" s="188"/>
      <c r="AB274" s="188"/>
      <c r="AC274" s="188"/>
      <c r="AD274" s="188"/>
      <c r="AE274" s="188"/>
      <c r="AF274" s="188"/>
      <c r="AG274" s="188"/>
      <c r="AH274" s="188"/>
      <c r="AI274" s="188"/>
    </row>
    <row r="275" spans="1:35" ht="14.25" customHeight="1">
      <c r="A275" s="188"/>
      <c r="B275" s="188"/>
      <c r="C275" s="188"/>
      <c r="D275" s="188"/>
      <c r="E275" s="188"/>
      <c r="F275" s="188"/>
      <c r="G275" s="188"/>
      <c r="H275" s="188"/>
      <c r="I275" s="188"/>
      <c r="J275" s="188"/>
      <c r="K275" s="188"/>
      <c r="L275" s="189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9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</row>
    <row r="276" spans="1:35" ht="14.25" customHeight="1">
      <c r="A276" s="188"/>
      <c r="B276" s="188"/>
      <c r="C276" s="188"/>
      <c r="D276" s="188"/>
      <c r="E276" s="188"/>
      <c r="F276" s="188"/>
      <c r="G276" s="188"/>
      <c r="H276" s="188"/>
      <c r="I276" s="188"/>
      <c r="J276" s="188"/>
      <c r="K276" s="188"/>
      <c r="L276" s="189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9"/>
      <c r="Y276" s="188"/>
      <c r="Z276" s="188"/>
      <c r="AA276" s="188"/>
      <c r="AB276" s="188"/>
      <c r="AC276" s="188"/>
      <c r="AD276" s="188"/>
      <c r="AE276" s="188"/>
      <c r="AF276" s="188"/>
      <c r="AG276" s="188"/>
      <c r="AH276" s="188"/>
      <c r="AI276" s="188"/>
    </row>
    <row r="277" spans="1:35" ht="14.25" customHeight="1">
      <c r="A277" s="188"/>
      <c r="B277" s="188"/>
      <c r="C277" s="188"/>
      <c r="D277" s="188"/>
      <c r="E277" s="188"/>
      <c r="F277" s="188"/>
      <c r="G277" s="188"/>
      <c r="H277" s="188"/>
      <c r="I277" s="188"/>
      <c r="J277" s="188"/>
      <c r="K277" s="188"/>
      <c r="L277" s="189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9"/>
      <c r="Y277" s="188"/>
      <c r="Z277" s="188"/>
      <c r="AA277" s="188"/>
      <c r="AB277" s="188"/>
      <c r="AC277" s="188"/>
      <c r="AD277" s="188"/>
      <c r="AE277" s="188"/>
      <c r="AF277" s="188"/>
      <c r="AG277" s="188"/>
      <c r="AH277" s="188"/>
      <c r="AI277" s="188"/>
    </row>
    <row r="278" spans="1:35" ht="14.25" customHeight="1">
      <c r="A278" s="188"/>
      <c r="B278" s="188"/>
      <c r="C278" s="188"/>
      <c r="D278" s="188"/>
      <c r="E278" s="188"/>
      <c r="F278" s="188"/>
      <c r="G278" s="188"/>
      <c r="H278" s="188"/>
      <c r="I278" s="188"/>
      <c r="J278" s="188"/>
      <c r="K278" s="188"/>
      <c r="L278" s="189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9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</row>
    <row r="279" spans="1:35" ht="14.25" customHeight="1">
      <c r="A279" s="188"/>
      <c r="B279" s="188"/>
      <c r="C279" s="188"/>
      <c r="D279" s="188"/>
      <c r="E279" s="188"/>
      <c r="F279" s="188"/>
      <c r="G279" s="188"/>
      <c r="H279" s="188"/>
      <c r="I279" s="188"/>
      <c r="J279" s="188"/>
      <c r="K279" s="188"/>
      <c r="L279" s="189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9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</row>
    <row r="280" spans="1:35" ht="14.25" customHeight="1">
      <c r="A280" s="188"/>
      <c r="B280" s="188"/>
      <c r="C280" s="188"/>
      <c r="D280" s="188"/>
      <c r="E280" s="188"/>
      <c r="F280" s="188"/>
      <c r="G280" s="188"/>
      <c r="H280" s="188"/>
      <c r="I280" s="188"/>
      <c r="J280" s="188"/>
      <c r="K280" s="188"/>
      <c r="L280" s="189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9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</row>
    <row r="281" spans="1:35" ht="14.25" customHeight="1">
      <c r="A281" s="188"/>
      <c r="B281" s="188"/>
      <c r="C281" s="188"/>
      <c r="D281" s="188"/>
      <c r="E281" s="188"/>
      <c r="F281" s="188"/>
      <c r="G281" s="188"/>
      <c r="H281" s="188"/>
      <c r="I281" s="188"/>
      <c r="J281" s="188"/>
      <c r="K281" s="188"/>
      <c r="L281" s="189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</row>
    <row r="282" spans="1:35" ht="14.25" customHeight="1">
      <c r="A282" s="188"/>
      <c r="B282" s="188"/>
      <c r="C282" s="188"/>
      <c r="D282" s="188"/>
      <c r="E282" s="188"/>
      <c r="F282" s="188"/>
      <c r="G282" s="188"/>
      <c r="H282" s="188"/>
      <c r="I282" s="188"/>
      <c r="J282" s="188"/>
      <c r="K282" s="188"/>
      <c r="L282" s="189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9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</row>
    <row r="283" spans="1:35" ht="14.25" customHeight="1">
      <c r="A283" s="188"/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9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9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</row>
    <row r="284" spans="1:35" ht="14.25" customHeight="1">
      <c r="A284" s="188"/>
      <c r="B284" s="188"/>
      <c r="C284" s="188"/>
      <c r="D284" s="188"/>
      <c r="E284" s="188"/>
      <c r="F284" s="188"/>
      <c r="G284" s="188"/>
      <c r="H284" s="188"/>
      <c r="I284" s="188"/>
      <c r="J284" s="188"/>
      <c r="K284" s="188"/>
      <c r="L284" s="189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9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</row>
    <row r="285" spans="1:35" ht="14.25" customHeight="1">
      <c r="A285" s="188"/>
      <c r="B285" s="188"/>
      <c r="C285" s="188"/>
      <c r="D285" s="188"/>
      <c r="E285" s="188"/>
      <c r="F285" s="188"/>
      <c r="G285" s="188"/>
      <c r="H285" s="188"/>
      <c r="I285" s="188"/>
      <c r="J285" s="188"/>
      <c r="K285" s="188"/>
      <c r="L285" s="189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9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</row>
    <row r="286" spans="1:35" ht="14.25" customHeight="1">
      <c r="A286" s="188"/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89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9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</row>
    <row r="287" spans="1:35" ht="14.25" customHeight="1">
      <c r="A287" s="188"/>
      <c r="B287" s="188"/>
      <c r="C287" s="188"/>
      <c r="D287" s="188"/>
      <c r="E287" s="188"/>
      <c r="F287" s="188"/>
      <c r="G287" s="188"/>
      <c r="H287" s="188"/>
      <c r="I287" s="188"/>
      <c r="J287" s="188"/>
      <c r="K287" s="188"/>
      <c r="L287" s="189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9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</row>
    <row r="288" spans="1:35" ht="14.25" customHeight="1">
      <c r="A288" s="188"/>
      <c r="B288" s="188"/>
      <c r="C288" s="188"/>
      <c r="D288" s="188"/>
      <c r="E288" s="188"/>
      <c r="F288" s="188"/>
      <c r="G288" s="188"/>
      <c r="H288" s="188"/>
      <c r="I288" s="188"/>
      <c r="J288" s="188"/>
      <c r="K288" s="188"/>
      <c r="L288" s="189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9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</row>
    <row r="289" spans="1:35" ht="14.25" customHeight="1">
      <c r="A289" s="188"/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89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9"/>
      <c r="Y289" s="188"/>
      <c r="Z289" s="188"/>
      <c r="AA289" s="188"/>
      <c r="AB289" s="188"/>
      <c r="AC289" s="188"/>
      <c r="AD289" s="188"/>
      <c r="AE289" s="188"/>
      <c r="AF289" s="188"/>
      <c r="AG289" s="188"/>
      <c r="AH289" s="188"/>
      <c r="AI289" s="188"/>
    </row>
    <row r="290" spans="1:35" ht="14.25" customHeight="1">
      <c r="A290" s="188"/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89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9"/>
      <c r="Y290" s="188"/>
      <c r="Z290" s="188"/>
      <c r="AA290" s="188"/>
      <c r="AB290" s="188"/>
      <c r="AC290" s="188"/>
      <c r="AD290" s="188"/>
      <c r="AE290" s="188"/>
      <c r="AF290" s="188"/>
      <c r="AG290" s="188"/>
      <c r="AH290" s="188"/>
      <c r="AI290" s="188"/>
    </row>
    <row r="291" spans="1:35" ht="14.25" customHeight="1">
      <c r="A291" s="188"/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9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9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</row>
    <row r="292" spans="1:35" ht="14.25" customHeight="1">
      <c r="A292" s="188"/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89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9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</row>
    <row r="293" spans="1:35" ht="14.25" customHeight="1">
      <c r="A293" s="188"/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89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9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</row>
    <row r="294" spans="1:35" ht="14.25" customHeight="1">
      <c r="A294" s="188"/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89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9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</row>
    <row r="295" spans="1:35" ht="14.25" customHeight="1">
      <c r="A295" s="188"/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89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9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</row>
    <row r="296" spans="1:35" ht="14.25" customHeight="1">
      <c r="A296" s="188"/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89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9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</row>
    <row r="297" spans="1:35" ht="14.25" customHeight="1">
      <c r="A297" s="188"/>
      <c r="B297" s="188"/>
      <c r="C297" s="188"/>
      <c r="D297" s="188"/>
      <c r="E297" s="188"/>
      <c r="F297" s="188"/>
      <c r="G297" s="188"/>
      <c r="H297" s="188"/>
      <c r="I297" s="188"/>
      <c r="J297" s="188"/>
      <c r="K297" s="188"/>
      <c r="L297" s="189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9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</row>
    <row r="298" spans="1:35" ht="14.25" customHeight="1">
      <c r="A298" s="188"/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89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9"/>
      <c r="Y298" s="188"/>
      <c r="Z298" s="188"/>
      <c r="AA298" s="188"/>
      <c r="AB298" s="188"/>
      <c r="AC298" s="188"/>
      <c r="AD298" s="188"/>
      <c r="AE298" s="188"/>
      <c r="AF298" s="188"/>
      <c r="AG298" s="188"/>
      <c r="AH298" s="188"/>
      <c r="AI298" s="188"/>
    </row>
    <row r="299" spans="1:35" ht="14.25" customHeight="1">
      <c r="A299" s="188"/>
      <c r="B299" s="188"/>
      <c r="C299" s="188"/>
      <c r="D299" s="188"/>
      <c r="E299" s="188"/>
      <c r="F299" s="188"/>
      <c r="G299" s="188"/>
      <c r="H299" s="188"/>
      <c r="I299" s="188"/>
      <c r="J299" s="188"/>
      <c r="K299" s="188"/>
      <c r="L299" s="189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9"/>
      <c r="Y299" s="188"/>
      <c r="Z299" s="188"/>
      <c r="AA299" s="188"/>
      <c r="AB299" s="188"/>
      <c r="AC299" s="188"/>
      <c r="AD299" s="188"/>
      <c r="AE299" s="188"/>
      <c r="AF299" s="188"/>
      <c r="AG299" s="188"/>
      <c r="AH299" s="188"/>
      <c r="AI299" s="188"/>
    </row>
    <row r="300" spans="1:35" ht="14.25" customHeight="1">
      <c r="A300" s="188"/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89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9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</row>
    <row r="301" spans="1:35" ht="14.25" customHeight="1">
      <c r="A301" s="188"/>
      <c r="B301" s="188"/>
      <c r="C301" s="188"/>
      <c r="D301" s="188"/>
      <c r="E301" s="188"/>
      <c r="F301" s="188"/>
      <c r="G301" s="188"/>
      <c r="H301" s="188"/>
      <c r="I301" s="188"/>
      <c r="J301" s="188"/>
      <c r="K301" s="188"/>
      <c r="L301" s="189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9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</row>
    <row r="302" spans="1:35" ht="14.25" customHeight="1">
      <c r="A302" s="188"/>
      <c r="B302" s="188"/>
      <c r="C302" s="188"/>
      <c r="D302" s="188"/>
      <c r="E302" s="188"/>
      <c r="F302" s="188"/>
      <c r="G302" s="188"/>
      <c r="H302" s="188"/>
      <c r="I302" s="188"/>
      <c r="J302" s="188"/>
      <c r="K302" s="188"/>
      <c r="L302" s="189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9"/>
      <c r="Y302" s="188"/>
      <c r="Z302" s="188"/>
      <c r="AA302" s="188"/>
      <c r="AB302" s="188"/>
      <c r="AC302" s="188"/>
      <c r="AD302" s="188"/>
      <c r="AE302" s="188"/>
      <c r="AF302" s="188"/>
      <c r="AG302" s="188"/>
      <c r="AH302" s="188"/>
      <c r="AI302" s="188"/>
    </row>
    <row r="303" spans="1:35" ht="14.25" customHeight="1">
      <c r="A303" s="188"/>
      <c r="B303" s="188"/>
      <c r="C303" s="188"/>
      <c r="D303" s="188"/>
      <c r="E303" s="188"/>
      <c r="F303" s="188"/>
      <c r="G303" s="188"/>
      <c r="H303" s="188"/>
      <c r="I303" s="188"/>
      <c r="J303" s="188"/>
      <c r="K303" s="188"/>
      <c r="L303" s="189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9"/>
      <c r="Y303" s="188"/>
      <c r="Z303" s="188"/>
      <c r="AA303" s="188"/>
      <c r="AB303" s="188"/>
      <c r="AC303" s="188"/>
      <c r="AD303" s="188"/>
      <c r="AE303" s="188"/>
      <c r="AF303" s="188"/>
      <c r="AG303" s="188"/>
      <c r="AH303" s="188"/>
      <c r="AI303" s="188"/>
    </row>
    <row r="304" spans="1:35" ht="14.25" customHeight="1">
      <c r="A304" s="188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9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9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8"/>
      <c r="AI304" s="188"/>
    </row>
    <row r="305" spans="1:35" ht="14.25" customHeight="1">
      <c r="A305" s="188"/>
      <c r="B305" s="188"/>
      <c r="C305" s="188"/>
      <c r="D305" s="188"/>
      <c r="E305" s="188"/>
      <c r="F305" s="188"/>
      <c r="G305" s="188"/>
      <c r="H305" s="188"/>
      <c r="I305" s="188"/>
      <c r="J305" s="188"/>
      <c r="K305" s="188"/>
      <c r="L305" s="189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9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</row>
    <row r="306" spans="1:35" ht="14.25" customHeight="1">
      <c r="A306" s="188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9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9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8"/>
      <c r="AI306" s="188"/>
    </row>
    <row r="307" spans="1:35" ht="14.25" customHeight="1">
      <c r="A307" s="188"/>
      <c r="B307" s="188"/>
      <c r="C307" s="188"/>
      <c r="D307" s="188"/>
      <c r="E307" s="188"/>
      <c r="F307" s="188"/>
      <c r="G307" s="188"/>
      <c r="H307" s="188"/>
      <c r="I307" s="188"/>
      <c r="J307" s="188"/>
      <c r="K307" s="188"/>
      <c r="L307" s="189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9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</row>
    <row r="308" spans="1:35" ht="14.25" customHeight="1">
      <c r="A308" s="188"/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89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9"/>
      <c r="Y308" s="188"/>
      <c r="Z308" s="188"/>
      <c r="AA308" s="188"/>
      <c r="AB308" s="188"/>
      <c r="AC308" s="188"/>
      <c r="AD308" s="188"/>
      <c r="AE308" s="188"/>
      <c r="AF308" s="188"/>
      <c r="AG308" s="188"/>
      <c r="AH308" s="188"/>
      <c r="AI308" s="188"/>
    </row>
    <row r="309" spans="1:35" ht="14.25" customHeight="1">
      <c r="A309" s="188"/>
      <c r="B309" s="188"/>
      <c r="C309" s="188"/>
      <c r="D309" s="188"/>
      <c r="E309" s="188"/>
      <c r="F309" s="188"/>
      <c r="G309" s="188"/>
      <c r="H309" s="188"/>
      <c r="I309" s="188"/>
      <c r="J309" s="188"/>
      <c r="K309" s="188"/>
      <c r="L309" s="189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9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</row>
    <row r="310" spans="1:35" ht="14.25" customHeight="1">
      <c r="A310" s="188"/>
      <c r="B310" s="188"/>
      <c r="C310" s="188"/>
      <c r="D310" s="188"/>
      <c r="E310" s="188"/>
      <c r="F310" s="188"/>
      <c r="G310" s="188"/>
      <c r="H310" s="188"/>
      <c r="I310" s="188"/>
      <c r="J310" s="188"/>
      <c r="K310" s="188"/>
      <c r="L310" s="189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9"/>
      <c r="Y310" s="188"/>
      <c r="Z310" s="188"/>
      <c r="AA310" s="188"/>
      <c r="AB310" s="188"/>
      <c r="AC310" s="188"/>
      <c r="AD310" s="188"/>
      <c r="AE310" s="188"/>
      <c r="AF310" s="188"/>
      <c r="AG310" s="188"/>
      <c r="AH310" s="188"/>
      <c r="AI310" s="188"/>
    </row>
    <row r="311" spans="1:35" ht="14.25" customHeight="1">
      <c r="A311" s="188"/>
      <c r="B311" s="188"/>
      <c r="C311" s="188"/>
      <c r="D311" s="188"/>
      <c r="E311" s="188"/>
      <c r="F311" s="188"/>
      <c r="G311" s="188"/>
      <c r="H311" s="188"/>
      <c r="I311" s="188"/>
      <c r="J311" s="188"/>
      <c r="K311" s="188"/>
      <c r="L311" s="189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9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</row>
    <row r="312" spans="1:35" ht="14.25" customHeight="1">
      <c r="A312" s="188"/>
      <c r="B312" s="188"/>
      <c r="C312" s="188"/>
      <c r="D312" s="188"/>
      <c r="E312" s="188"/>
      <c r="F312" s="188"/>
      <c r="G312" s="188"/>
      <c r="H312" s="188"/>
      <c r="I312" s="188"/>
      <c r="J312" s="188"/>
      <c r="K312" s="188"/>
      <c r="L312" s="189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9"/>
      <c r="Y312" s="188"/>
      <c r="Z312" s="188"/>
      <c r="AA312" s="188"/>
      <c r="AB312" s="188"/>
      <c r="AC312" s="188"/>
      <c r="AD312" s="188"/>
      <c r="AE312" s="188"/>
      <c r="AF312" s="188"/>
      <c r="AG312" s="188"/>
      <c r="AH312" s="188"/>
      <c r="AI312" s="188"/>
    </row>
    <row r="313" spans="1:35" ht="14.25" customHeight="1">
      <c r="A313" s="188"/>
      <c r="B313" s="188"/>
      <c r="C313" s="188"/>
      <c r="D313" s="188"/>
      <c r="E313" s="188"/>
      <c r="F313" s="188"/>
      <c r="G313" s="188"/>
      <c r="H313" s="188"/>
      <c r="I313" s="188"/>
      <c r="J313" s="188"/>
      <c r="K313" s="188"/>
      <c r="L313" s="189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9"/>
      <c r="Y313" s="188"/>
      <c r="Z313" s="188"/>
      <c r="AA313" s="188"/>
      <c r="AB313" s="188"/>
      <c r="AC313" s="188"/>
      <c r="AD313" s="188"/>
      <c r="AE313" s="188"/>
      <c r="AF313" s="188"/>
      <c r="AG313" s="188"/>
      <c r="AH313" s="188"/>
      <c r="AI313" s="188"/>
    </row>
    <row r="314" spans="1:35" ht="14.25" customHeight="1">
      <c r="A314" s="188"/>
      <c r="B314" s="188"/>
      <c r="C314" s="188"/>
      <c r="D314" s="188"/>
      <c r="E314" s="188"/>
      <c r="F314" s="188"/>
      <c r="G314" s="188"/>
      <c r="H314" s="188"/>
      <c r="I314" s="188"/>
      <c r="J314" s="188"/>
      <c r="K314" s="188"/>
      <c r="L314" s="189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9"/>
      <c r="Y314" s="188"/>
      <c r="Z314" s="188"/>
      <c r="AA314" s="188"/>
      <c r="AB314" s="188"/>
      <c r="AC314" s="188"/>
      <c r="AD314" s="188"/>
      <c r="AE314" s="188"/>
      <c r="AF314" s="188"/>
      <c r="AG314" s="188"/>
      <c r="AH314" s="188"/>
      <c r="AI314" s="188"/>
    </row>
    <row r="315" spans="1:35" ht="14.25" customHeight="1">
      <c r="A315" s="188"/>
      <c r="B315" s="188"/>
      <c r="C315" s="188"/>
      <c r="D315" s="188"/>
      <c r="E315" s="188"/>
      <c r="F315" s="188"/>
      <c r="G315" s="188"/>
      <c r="H315" s="188"/>
      <c r="I315" s="188"/>
      <c r="J315" s="188"/>
      <c r="K315" s="188"/>
      <c r="L315" s="189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9"/>
      <c r="Y315" s="188"/>
      <c r="Z315" s="188"/>
      <c r="AA315" s="188"/>
      <c r="AB315" s="188"/>
      <c r="AC315" s="188"/>
      <c r="AD315" s="188"/>
      <c r="AE315" s="188"/>
      <c r="AF315" s="188"/>
      <c r="AG315" s="188"/>
      <c r="AH315" s="188"/>
      <c r="AI315" s="188"/>
    </row>
    <row r="316" spans="1:35" ht="14.25" customHeight="1">
      <c r="A316" s="188"/>
      <c r="B316" s="188"/>
      <c r="C316" s="188"/>
      <c r="D316" s="188"/>
      <c r="E316" s="188"/>
      <c r="F316" s="188"/>
      <c r="G316" s="188"/>
      <c r="H316" s="188"/>
      <c r="I316" s="188"/>
      <c r="J316" s="188"/>
      <c r="K316" s="188"/>
      <c r="L316" s="189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9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</row>
    <row r="317" spans="1:35" ht="14.25" customHeight="1">
      <c r="A317" s="188"/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89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9"/>
      <c r="Y317" s="188"/>
      <c r="Z317" s="188"/>
      <c r="AA317" s="188"/>
      <c r="AB317" s="188"/>
      <c r="AC317" s="188"/>
      <c r="AD317" s="188"/>
      <c r="AE317" s="188"/>
      <c r="AF317" s="188"/>
      <c r="AG317" s="188"/>
      <c r="AH317" s="188"/>
      <c r="AI317" s="188"/>
    </row>
    <row r="318" spans="1:35" ht="14.25" customHeight="1">
      <c r="A318" s="188"/>
      <c r="B318" s="188"/>
      <c r="C318" s="188"/>
      <c r="D318" s="188"/>
      <c r="E318" s="188"/>
      <c r="F318" s="188"/>
      <c r="G318" s="188"/>
      <c r="H318" s="188"/>
      <c r="I318" s="188"/>
      <c r="J318" s="188"/>
      <c r="K318" s="188"/>
      <c r="L318" s="189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9"/>
      <c r="Y318" s="188"/>
      <c r="Z318" s="188"/>
      <c r="AA318" s="188"/>
      <c r="AB318" s="188"/>
      <c r="AC318" s="188"/>
      <c r="AD318" s="188"/>
      <c r="AE318" s="188"/>
      <c r="AF318" s="188"/>
      <c r="AG318" s="188"/>
      <c r="AH318" s="188"/>
      <c r="AI318" s="188"/>
    </row>
    <row r="319" spans="1:35" ht="14.25" customHeight="1">
      <c r="A319" s="188"/>
      <c r="B319" s="188"/>
      <c r="C319" s="188"/>
      <c r="D319" s="188"/>
      <c r="E319" s="188"/>
      <c r="F319" s="188"/>
      <c r="G319" s="188"/>
      <c r="H319" s="188"/>
      <c r="I319" s="188"/>
      <c r="J319" s="188"/>
      <c r="K319" s="188"/>
      <c r="L319" s="189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9"/>
      <c r="Y319" s="188"/>
      <c r="Z319" s="188"/>
      <c r="AA319" s="188"/>
      <c r="AB319" s="188"/>
      <c r="AC319" s="188"/>
      <c r="AD319" s="188"/>
      <c r="AE319" s="188"/>
      <c r="AF319" s="188"/>
      <c r="AG319" s="188"/>
      <c r="AH319" s="188"/>
      <c r="AI319" s="188"/>
    </row>
    <row r="320" spans="1:35" ht="14.25" customHeight="1">
      <c r="A320" s="188"/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89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9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</row>
    <row r="321" spans="1:35" ht="14.25" customHeight="1">
      <c r="A321" s="188"/>
      <c r="B321" s="188"/>
      <c r="C321" s="188"/>
      <c r="D321" s="188"/>
      <c r="E321" s="188"/>
      <c r="F321" s="188"/>
      <c r="G321" s="188"/>
      <c r="H321" s="188"/>
      <c r="I321" s="188"/>
      <c r="J321" s="188"/>
      <c r="K321" s="188"/>
      <c r="L321" s="189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9"/>
      <c r="Y321" s="188"/>
      <c r="Z321" s="188"/>
      <c r="AA321" s="188"/>
      <c r="AB321" s="188"/>
      <c r="AC321" s="188"/>
      <c r="AD321" s="188"/>
      <c r="AE321" s="188"/>
      <c r="AF321" s="188"/>
      <c r="AG321" s="188"/>
      <c r="AH321" s="188"/>
      <c r="AI321" s="188"/>
    </row>
    <row r="322" spans="1:35" ht="14.25" customHeight="1">
      <c r="A322" s="188"/>
      <c r="B322" s="188"/>
      <c r="C322" s="188"/>
      <c r="D322" s="188"/>
      <c r="E322" s="188"/>
      <c r="F322" s="188"/>
      <c r="G322" s="188"/>
      <c r="H322" s="188"/>
      <c r="I322" s="188"/>
      <c r="J322" s="188"/>
      <c r="K322" s="188"/>
      <c r="L322" s="189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9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</row>
    <row r="323" spans="1:35" ht="14.25" customHeight="1">
      <c r="A323" s="188"/>
      <c r="B323" s="188"/>
      <c r="C323" s="188"/>
      <c r="D323" s="188"/>
      <c r="E323" s="188"/>
      <c r="F323" s="188"/>
      <c r="G323" s="188"/>
      <c r="H323" s="188"/>
      <c r="I323" s="188"/>
      <c r="J323" s="188"/>
      <c r="K323" s="188"/>
      <c r="L323" s="189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9"/>
      <c r="Y323" s="188"/>
      <c r="Z323" s="188"/>
      <c r="AA323" s="188"/>
      <c r="AB323" s="188"/>
      <c r="AC323" s="188"/>
      <c r="AD323" s="188"/>
      <c r="AE323" s="188"/>
      <c r="AF323" s="188"/>
      <c r="AG323" s="188"/>
      <c r="AH323" s="188"/>
      <c r="AI323" s="188"/>
    </row>
    <row r="324" spans="1:35" ht="14.25" customHeight="1">
      <c r="A324" s="188"/>
      <c r="B324" s="188"/>
      <c r="C324" s="188"/>
      <c r="D324" s="188"/>
      <c r="E324" s="188"/>
      <c r="F324" s="188"/>
      <c r="G324" s="188"/>
      <c r="H324" s="188"/>
      <c r="I324" s="188"/>
      <c r="J324" s="188"/>
      <c r="K324" s="188"/>
      <c r="L324" s="189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9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</row>
    <row r="325" spans="1:35" ht="14.25" customHeight="1">
      <c r="A325" s="188"/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89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9"/>
      <c r="Y325" s="188"/>
      <c r="Z325" s="188"/>
      <c r="AA325" s="188"/>
      <c r="AB325" s="188"/>
      <c r="AC325" s="188"/>
      <c r="AD325" s="188"/>
      <c r="AE325" s="188"/>
      <c r="AF325" s="188"/>
      <c r="AG325" s="188"/>
      <c r="AH325" s="188"/>
      <c r="AI325" s="188"/>
    </row>
    <row r="326" spans="1:35" ht="14.25" customHeight="1">
      <c r="A326" s="188"/>
      <c r="B326" s="188"/>
      <c r="C326" s="188"/>
      <c r="D326" s="188"/>
      <c r="E326" s="188"/>
      <c r="F326" s="188"/>
      <c r="G326" s="188"/>
      <c r="H326" s="188"/>
      <c r="I326" s="188"/>
      <c r="J326" s="188"/>
      <c r="K326" s="188"/>
      <c r="L326" s="189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9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</row>
    <row r="327" spans="1:35" ht="14.25" customHeight="1">
      <c r="A327" s="188"/>
      <c r="B327" s="188"/>
      <c r="C327" s="188"/>
      <c r="D327" s="188"/>
      <c r="E327" s="188"/>
      <c r="F327" s="188"/>
      <c r="G327" s="188"/>
      <c r="H327" s="188"/>
      <c r="I327" s="188"/>
      <c r="J327" s="188"/>
      <c r="K327" s="188"/>
      <c r="L327" s="189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9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</row>
    <row r="328" spans="1:35" ht="14.25" customHeight="1">
      <c r="A328" s="188"/>
      <c r="B328" s="188"/>
      <c r="C328" s="188"/>
      <c r="D328" s="188"/>
      <c r="E328" s="188"/>
      <c r="F328" s="188"/>
      <c r="G328" s="188"/>
      <c r="H328" s="188"/>
      <c r="I328" s="188"/>
      <c r="J328" s="188"/>
      <c r="K328" s="188"/>
      <c r="L328" s="189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W328" s="188"/>
      <c r="X328" s="189"/>
      <c r="Y328" s="188"/>
      <c r="Z328" s="188"/>
      <c r="AA328" s="188"/>
      <c r="AB328" s="188"/>
      <c r="AC328" s="188"/>
      <c r="AD328" s="188"/>
      <c r="AE328" s="188"/>
      <c r="AF328" s="188"/>
      <c r="AG328" s="188"/>
      <c r="AH328" s="188"/>
      <c r="AI328" s="188"/>
    </row>
    <row r="329" spans="1:35" ht="14.25" customHeight="1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89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9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</row>
    <row r="330" spans="1:35" ht="14.25" customHeight="1">
      <c r="A330" s="188"/>
      <c r="B330" s="188"/>
      <c r="C330" s="188"/>
      <c r="D330" s="188"/>
      <c r="E330" s="188"/>
      <c r="F330" s="188"/>
      <c r="G330" s="188"/>
      <c r="H330" s="188"/>
      <c r="I330" s="188"/>
      <c r="J330" s="188"/>
      <c r="K330" s="188"/>
      <c r="L330" s="189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9"/>
      <c r="Y330" s="188"/>
      <c r="Z330" s="188"/>
      <c r="AA330" s="188"/>
      <c r="AB330" s="188"/>
      <c r="AC330" s="188"/>
      <c r="AD330" s="188"/>
      <c r="AE330" s="188"/>
      <c r="AF330" s="188"/>
      <c r="AG330" s="188"/>
      <c r="AH330" s="188"/>
      <c r="AI330" s="188"/>
    </row>
    <row r="331" spans="1:35" ht="14.25" customHeight="1">
      <c r="A331" s="188"/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9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9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</row>
    <row r="332" spans="1:35" ht="14.25" customHeight="1">
      <c r="A332" s="188"/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89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9"/>
      <c r="Y332" s="188"/>
      <c r="Z332" s="188"/>
      <c r="AA332" s="188"/>
      <c r="AB332" s="188"/>
      <c r="AC332" s="188"/>
      <c r="AD332" s="188"/>
      <c r="AE332" s="188"/>
      <c r="AF332" s="188"/>
      <c r="AG332" s="188"/>
      <c r="AH332" s="188"/>
      <c r="AI332" s="188"/>
    </row>
    <row r="333" spans="1:35" ht="14.25" customHeight="1">
      <c r="A333" s="188"/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89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</row>
    <row r="334" spans="1:35" ht="14.25" customHeight="1">
      <c r="A334" s="188"/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89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9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</row>
    <row r="335" spans="1:35" ht="14.25" customHeight="1">
      <c r="A335" s="188"/>
      <c r="B335" s="188"/>
      <c r="C335" s="188"/>
      <c r="D335" s="188"/>
      <c r="E335" s="188"/>
      <c r="F335" s="188"/>
      <c r="G335" s="188"/>
      <c r="H335" s="188"/>
      <c r="I335" s="188"/>
      <c r="J335" s="188"/>
      <c r="K335" s="188"/>
      <c r="L335" s="189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9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</row>
    <row r="336" spans="1:35" ht="14.25" customHeight="1">
      <c r="A336" s="188"/>
      <c r="B336" s="188"/>
      <c r="C336" s="188"/>
      <c r="D336" s="188"/>
      <c r="E336" s="188"/>
      <c r="F336" s="188"/>
      <c r="G336" s="188"/>
      <c r="H336" s="188"/>
      <c r="I336" s="188"/>
      <c r="J336" s="188"/>
      <c r="K336" s="188"/>
      <c r="L336" s="189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9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</row>
    <row r="337" spans="1:35" ht="14.25" customHeight="1">
      <c r="A337" s="188"/>
      <c r="B337" s="188"/>
      <c r="C337" s="188"/>
      <c r="D337" s="188"/>
      <c r="E337" s="188"/>
      <c r="F337" s="188"/>
      <c r="G337" s="188"/>
      <c r="H337" s="188"/>
      <c r="I337" s="188"/>
      <c r="J337" s="188"/>
      <c r="K337" s="188"/>
      <c r="L337" s="189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9"/>
      <c r="Y337" s="188"/>
      <c r="Z337" s="188"/>
      <c r="AA337" s="188"/>
      <c r="AB337" s="188"/>
      <c r="AC337" s="188"/>
      <c r="AD337" s="188"/>
      <c r="AE337" s="188"/>
      <c r="AF337" s="188"/>
      <c r="AG337" s="188"/>
      <c r="AH337" s="188"/>
      <c r="AI337" s="188"/>
    </row>
    <row r="338" spans="1:35" ht="14.25" customHeight="1">
      <c r="A338" s="188"/>
      <c r="B338" s="188"/>
      <c r="C338" s="188"/>
      <c r="D338" s="188"/>
      <c r="E338" s="188"/>
      <c r="F338" s="188"/>
      <c r="G338" s="188"/>
      <c r="H338" s="188"/>
      <c r="I338" s="188"/>
      <c r="J338" s="188"/>
      <c r="K338" s="188"/>
      <c r="L338" s="189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9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</row>
    <row r="339" spans="1:35" ht="14.25" customHeight="1">
      <c r="A339" s="188"/>
      <c r="B339" s="188"/>
      <c r="C339" s="188"/>
      <c r="D339" s="188"/>
      <c r="E339" s="188"/>
      <c r="F339" s="188"/>
      <c r="G339" s="188"/>
      <c r="H339" s="188"/>
      <c r="I339" s="188"/>
      <c r="J339" s="188"/>
      <c r="K339" s="188"/>
      <c r="L339" s="189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9"/>
      <c r="Y339" s="188"/>
      <c r="Z339" s="188"/>
      <c r="AA339" s="188"/>
      <c r="AB339" s="188"/>
      <c r="AC339" s="188"/>
      <c r="AD339" s="188"/>
      <c r="AE339" s="188"/>
      <c r="AF339" s="188"/>
      <c r="AG339" s="188"/>
      <c r="AH339" s="188"/>
      <c r="AI339" s="188"/>
    </row>
    <row r="340" spans="1:35" ht="14.25" customHeight="1">
      <c r="A340" s="188"/>
      <c r="B340" s="188"/>
      <c r="C340" s="188"/>
      <c r="D340" s="188"/>
      <c r="E340" s="188"/>
      <c r="F340" s="188"/>
      <c r="G340" s="188"/>
      <c r="H340" s="188"/>
      <c r="I340" s="188"/>
      <c r="J340" s="188"/>
      <c r="K340" s="188"/>
      <c r="L340" s="189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9"/>
      <c r="Y340" s="188"/>
      <c r="Z340" s="188"/>
      <c r="AA340" s="188"/>
      <c r="AB340" s="188"/>
      <c r="AC340" s="188"/>
      <c r="AD340" s="188"/>
      <c r="AE340" s="188"/>
      <c r="AF340" s="188"/>
      <c r="AG340" s="188"/>
      <c r="AH340" s="188"/>
      <c r="AI340" s="188"/>
    </row>
    <row r="341" spans="1:35" ht="14.25" customHeight="1">
      <c r="A341" s="188"/>
      <c r="B341" s="188"/>
      <c r="C341" s="188"/>
      <c r="D341" s="188"/>
      <c r="E341" s="188"/>
      <c r="F341" s="188"/>
      <c r="G341" s="188"/>
      <c r="H341" s="188"/>
      <c r="I341" s="188"/>
      <c r="J341" s="188"/>
      <c r="K341" s="188"/>
      <c r="L341" s="189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9"/>
      <c r="Y341" s="188"/>
      <c r="Z341" s="188"/>
      <c r="AA341" s="188"/>
      <c r="AB341" s="188"/>
      <c r="AC341" s="188"/>
      <c r="AD341" s="188"/>
      <c r="AE341" s="188"/>
      <c r="AF341" s="188"/>
      <c r="AG341" s="188"/>
      <c r="AH341" s="188"/>
      <c r="AI341" s="188"/>
    </row>
    <row r="342" spans="1:35" ht="14.25" customHeight="1">
      <c r="A342" s="188"/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89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9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</row>
    <row r="343" spans="1:35" ht="14.25" customHeight="1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89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9"/>
      <c r="Y343" s="188"/>
      <c r="Z343" s="188"/>
      <c r="AA343" s="188"/>
      <c r="AB343" s="188"/>
      <c r="AC343" s="188"/>
      <c r="AD343" s="188"/>
      <c r="AE343" s="188"/>
      <c r="AF343" s="188"/>
      <c r="AG343" s="188"/>
      <c r="AH343" s="188"/>
      <c r="AI343" s="188"/>
    </row>
    <row r="344" spans="1:35" ht="14.25" customHeight="1">
      <c r="A344" s="188"/>
      <c r="B344" s="188"/>
      <c r="C344" s="188"/>
      <c r="D344" s="188"/>
      <c r="E344" s="188"/>
      <c r="F344" s="188"/>
      <c r="G344" s="188"/>
      <c r="H344" s="188"/>
      <c r="I344" s="188"/>
      <c r="J344" s="188"/>
      <c r="K344" s="188"/>
      <c r="L344" s="189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9"/>
      <c r="Y344" s="188"/>
      <c r="Z344" s="188"/>
      <c r="AA344" s="188"/>
      <c r="AB344" s="188"/>
      <c r="AC344" s="188"/>
      <c r="AD344" s="188"/>
      <c r="AE344" s="188"/>
      <c r="AF344" s="188"/>
      <c r="AG344" s="188"/>
      <c r="AH344" s="188"/>
      <c r="AI344" s="188"/>
    </row>
    <row r="345" spans="1:35" ht="14.25" customHeight="1">
      <c r="A345" s="188"/>
      <c r="B345" s="188"/>
      <c r="C345" s="188"/>
      <c r="D345" s="188"/>
      <c r="E345" s="188"/>
      <c r="F345" s="188"/>
      <c r="G345" s="188"/>
      <c r="H345" s="188"/>
      <c r="I345" s="188"/>
      <c r="J345" s="188"/>
      <c r="K345" s="188"/>
      <c r="L345" s="189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9"/>
      <c r="Y345" s="188"/>
      <c r="Z345" s="188"/>
      <c r="AA345" s="188"/>
      <c r="AB345" s="188"/>
      <c r="AC345" s="188"/>
      <c r="AD345" s="188"/>
      <c r="AE345" s="188"/>
      <c r="AF345" s="188"/>
      <c r="AG345" s="188"/>
      <c r="AH345" s="188"/>
      <c r="AI345" s="188"/>
    </row>
    <row r="346" spans="1:35" ht="14.25" customHeight="1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89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9"/>
      <c r="Y346" s="188"/>
      <c r="Z346" s="188"/>
      <c r="AA346" s="188"/>
      <c r="AB346" s="188"/>
      <c r="AC346" s="188"/>
      <c r="AD346" s="188"/>
      <c r="AE346" s="188"/>
      <c r="AF346" s="188"/>
      <c r="AG346" s="188"/>
      <c r="AH346" s="188"/>
      <c r="AI346" s="188"/>
    </row>
    <row r="347" spans="1:35" ht="14.25" customHeight="1">
      <c r="A347" s="188"/>
      <c r="B347" s="188"/>
      <c r="C347" s="188"/>
      <c r="D347" s="188"/>
      <c r="E347" s="188"/>
      <c r="F347" s="188"/>
      <c r="G347" s="188"/>
      <c r="H347" s="188"/>
      <c r="I347" s="188"/>
      <c r="J347" s="188"/>
      <c r="K347" s="188"/>
      <c r="L347" s="189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9"/>
      <c r="Y347" s="188"/>
      <c r="Z347" s="188"/>
      <c r="AA347" s="188"/>
      <c r="AB347" s="188"/>
      <c r="AC347" s="188"/>
      <c r="AD347" s="188"/>
      <c r="AE347" s="188"/>
      <c r="AF347" s="188"/>
      <c r="AG347" s="188"/>
      <c r="AH347" s="188"/>
      <c r="AI347" s="188"/>
    </row>
    <row r="348" spans="1:35" ht="14.25" customHeight="1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89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9"/>
      <c r="Y348" s="188"/>
      <c r="Z348" s="188"/>
      <c r="AA348" s="188"/>
      <c r="AB348" s="188"/>
      <c r="AC348" s="188"/>
      <c r="AD348" s="188"/>
      <c r="AE348" s="188"/>
      <c r="AF348" s="188"/>
      <c r="AG348" s="188"/>
      <c r="AH348" s="188"/>
      <c r="AI348" s="188"/>
    </row>
    <row r="349" spans="1:35" ht="14.25" customHeight="1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89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W349" s="188"/>
      <c r="X349" s="189"/>
      <c r="Y349" s="188"/>
      <c r="Z349" s="188"/>
      <c r="AA349" s="188"/>
      <c r="AB349" s="188"/>
      <c r="AC349" s="188"/>
      <c r="AD349" s="188"/>
      <c r="AE349" s="188"/>
      <c r="AF349" s="188"/>
      <c r="AG349" s="188"/>
      <c r="AH349" s="188"/>
      <c r="AI349" s="188"/>
    </row>
    <row r="350" spans="1:35" ht="14.25" customHeight="1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89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  <c r="W350" s="188"/>
      <c r="X350" s="189"/>
      <c r="Y350" s="188"/>
      <c r="Z350" s="188"/>
      <c r="AA350" s="188"/>
      <c r="AB350" s="188"/>
      <c r="AC350" s="188"/>
      <c r="AD350" s="188"/>
      <c r="AE350" s="188"/>
      <c r="AF350" s="188"/>
      <c r="AG350" s="188"/>
      <c r="AH350" s="188"/>
      <c r="AI350" s="188"/>
    </row>
    <row r="351" spans="1:35" ht="14.25" customHeight="1">
      <c r="A351" s="188"/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89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9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</row>
    <row r="352" spans="1:35" ht="14.25" customHeight="1">
      <c r="A352" s="188"/>
      <c r="B352" s="188"/>
      <c r="C352" s="188"/>
      <c r="D352" s="188"/>
      <c r="E352" s="188"/>
      <c r="F352" s="188"/>
      <c r="G352" s="188"/>
      <c r="H352" s="188"/>
      <c r="I352" s="188"/>
      <c r="J352" s="188"/>
      <c r="K352" s="188"/>
      <c r="L352" s="189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9"/>
      <c r="Y352" s="188"/>
      <c r="Z352" s="188"/>
      <c r="AA352" s="188"/>
      <c r="AB352" s="188"/>
      <c r="AC352" s="188"/>
      <c r="AD352" s="188"/>
      <c r="AE352" s="188"/>
      <c r="AF352" s="188"/>
      <c r="AG352" s="188"/>
      <c r="AH352" s="188"/>
      <c r="AI352" s="188"/>
    </row>
    <row r="353" spans="1:35" ht="14.25" customHeight="1">
      <c r="A353" s="188"/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89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9"/>
      <c r="Y353" s="188"/>
      <c r="Z353" s="188"/>
      <c r="AA353" s="188"/>
      <c r="AB353" s="188"/>
      <c r="AC353" s="188"/>
      <c r="AD353" s="188"/>
      <c r="AE353" s="188"/>
      <c r="AF353" s="188"/>
      <c r="AG353" s="188"/>
      <c r="AH353" s="188"/>
      <c r="AI353" s="188"/>
    </row>
    <row r="354" spans="1:35" ht="14.25" customHeight="1">
      <c r="A354" s="188"/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89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9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</row>
    <row r="355" spans="1:35" ht="14.25" customHeight="1">
      <c r="A355" s="188"/>
      <c r="B355" s="188"/>
      <c r="C355" s="188"/>
      <c r="D355" s="188"/>
      <c r="E355" s="188"/>
      <c r="F355" s="188"/>
      <c r="G355" s="188"/>
      <c r="H355" s="188"/>
      <c r="I355" s="188"/>
      <c r="J355" s="188"/>
      <c r="K355" s="188"/>
      <c r="L355" s="189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9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</row>
    <row r="356" spans="1:35" ht="14.25" customHeight="1">
      <c r="A356" s="188"/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89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9"/>
      <c r="Y356" s="188"/>
      <c r="Z356" s="188"/>
      <c r="AA356" s="188"/>
      <c r="AB356" s="188"/>
      <c r="AC356" s="188"/>
      <c r="AD356" s="188"/>
      <c r="AE356" s="188"/>
      <c r="AF356" s="188"/>
      <c r="AG356" s="188"/>
      <c r="AH356" s="188"/>
      <c r="AI356" s="188"/>
    </row>
    <row r="357" spans="1:35" ht="14.25" customHeight="1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89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9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</row>
    <row r="358" spans="1:35" ht="14.25" customHeight="1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89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9"/>
      <c r="Y358" s="188"/>
      <c r="Z358" s="188"/>
      <c r="AA358" s="188"/>
      <c r="AB358" s="188"/>
      <c r="AC358" s="188"/>
      <c r="AD358" s="188"/>
      <c r="AE358" s="188"/>
      <c r="AF358" s="188"/>
      <c r="AG358" s="188"/>
      <c r="AH358" s="188"/>
      <c r="AI358" s="188"/>
    </row>
    <row r="359" spans="1:35" ht="14.25" customHeight="1">
      <c r="A359" s="188"/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89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9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</row>
    <row r="360" spans="1:35" ht="14.25" customHeight="1">
      <c r="A360" s="188"/>
      <c r="B360" s="188"/>
      <c r="C360" s="188"/>
      <c r="D360" s="188"/>
      <c r="E360" s="188"/>
      <c r="F360" s="188"/>
      <c r="G360" s="188"/>
      <c r="H360" s="188"/>
      <c r="I360" s="188"/>
      <c r="J360" s="188"/>
      <c r="K360" s="188"/>
      <c r="L360" s="189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9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</row>
    <row r="361" spans="1:35" ht="14.25" customHeight="1">
      <c r="A361" s="188"/>
      <c r="B361" s="188"/>
      <c r="C361" s="188"/>
      <c r="D361" s="188"/>
      <c r="E361" s="188"/>
      <c r="F361" s="188"/>
      <c r="G361" s="188"/>
      <c r="H361" s="188"/>
      <c r="I361" s="188"/>
      <c r="J361" s="188"/>
      <c r="K361" s="188"/>
      <c r="L361" s="189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9"/>
      <c r="Y361" s="188"/>
      <c r="Z361" s="188"/>
      <c r="AA361" s="188"/>
      <c r="AB361" s="188"/>
      <c r="AC361" s="188"/>
      <c r="AD361" s="188"/>
      <c r="AE361" s="188"/>
      <c r="AF361" s="188"/>
      <c r="AG361" s="188"/>
      <c r="AH361" s="188"/>
      <c r="AI361" s="188"/>
    </row>
    <row r="362" spans="1:35" ht="14.25" customHeight="1">
      <c r="A362" s="188"/>
      <c r="B362" s="188"/>
      <c r="C362" s="188"/>
      <c r="D362" s="188"/>
      <c r="E362" s="188"/>
      <c r="F362" s="188"/>
      <c r="G362" s="188"/>
      <c r="H362" s="188"/>
      <c r="I362" s="188"/>
      <c r="J362" s="188"/>
      <c r="K362" s="188"/>
      <c r="L362" s="189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9"/>
      <c r="Y362" s="188"/>
      <c r="Z362" s="188"/>
      <c r="AA362" s="188"/>
      <c r="AB362" s="188"/>
      <c r="AC362" s="188"/>
      <c r="AD362" s="188"/>
      <c r="AE362" s="188"/>
      <c r="AF362" s="188"/>
      <c r="AG362" s="188"/>
      <c r="AH362" s="188"/>
      <c r="AI362" s="188"/>
    </row>
    <row r="363" spans="1:35" ht="14.25" customHeight="1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89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9"/>
      <c r="Y363" s="188"/>
      <c r="Z363" s="188"/>
      <c r="AA363" s="188"/>
      <c r="AB363" s="188"/>
      <c r="AC363" s="188"/>
      <c r="AD363" s="188"/>
      <c r="AE363" s="188"/>
      <c r="AF363" s="188"/>
      <c r="AG363" s="188"/>
      <c r="AH363" s="188"/>
      <c r="AI363" s="188"/>
    </row>
    <row r="364" spans="1:35" ht="14.25" customHeight="1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89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9"/>
      <c r="Y364" s="188"/>
      <c r="Z364" s="188"/>
      <c r="AA364" s="188"/>
      <c r="AB364" s="188"/>
      <c r="AC364" s="188"/>
      <c r="AD364" s="188"/>
      <c r="AE364" s="188"/>
      <c r="AF364" s="188"/>
      <c r="AG364" s="188"/>
      <c r="AH364" s="188"/>
      <c r="AI364" s="188"/>
    </row>
    <row r="365" spans="1:35" ht="14.25" customHeight="1">
      <c r="A365" s="188"/>
      <c r="B365" s="188"/>
      <c r="C365" s="188"/>
      <c r="D365" s="188"/>
      <c r="E365" s="188"/>
      <c r="F365" s="188"/>
      <c r="G365" s="188"/>
      <c r="H365" s="188"/>
      <c r="I365" s="188"/>
      <c r="J365" s="188"/>
      <c r="K365" s="188"/>
      <c r="L365" s="189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9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</row>
    <row r="366" spans="1:35" ht="14.25" customHeight="1">
      <c r="A366" s="188"/>
      <c r="B366" s="188"/>
      <c r="C366" s="188"/>
      <c r="D366" s="188"/>
      <c r="E366" s="188"/>
      <c r="F366" s="188"/>
      <c r="G366" s="188"/>
      <c r="H366" s="188"/>
      <c r="I366" s="188"/>
      <c r="J366" s="188"/>
      <c r="K366" s="188"/>
      <c r="L366" s="189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9"/>
      <c r="Y366" s="188"/>
      <c r="Z366" s="188"/>
      <c r="AA366" s="188"/>
      <c r="AB366" s="188"/>
      <c r="AC366" s="188"/>
      <c r="AD366" s="188"/>
      <c r="AE366" s="188"/>
      <c r="AF366" s="188"/>
      <c r="AG366" s="188"/>
      <c r="AH366" s="188"/>
      <c r="AI366" s="188"/>
    </row>
    <row r="367" spans="1:35" ht="14.25" customHeight="1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89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9"/>
      <c r="Y367" s="188"/>
      <c r="Z367" s="188"/>
      <c r="AA367" s="188"/>
      <c r="AB367" s="188"/>
      <c r="AC367" s="188"/>
      <c r="AD367" s="188"/>
      <c r="AE367" s="188"/>
      <c r="AF367" s="188"/>
      <c r="AG367" s="188"/>
      <c r="AH367" s="188"/>
      <c r="AI367" s="188"/>
    </row>
    <row r="368" spans="1:35" ht="14.25" customHeight="1">
      <c r="A368" s="188"/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89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9"/>
      <c r="Y368" s="188"/>
      <c r="Z368" s="188"/>
      <c r="AA368" s="188"/>
      <c r="AB368" s="188"/>
      <c r="AC368" s="188"/>
      <c r="AD368" s="188"/>
      <c r="AE368" s="188"/>
      <c r="AF368" s="188"/>
      <c r="AG368" s="188"/>
      <c r="AH368" s="188"/>
      <c r="AI368" s="188"/>
    </row>
    <row r="369" spans="1:35" ht="14.25" customHeight="1">
      <c r="A369" s="188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9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9"/>
      <c r="Y369" s="188"/>
      <c r="Z369" s="188"/>
      <c r="AA369" s="188"/>
      <c r="AB369" s="188"/>
      <c r="AC369" s="188"/>
      <c r="AD369" s="188"/>
      <c r="AE369" s="188"/>
      <c r="AF369" s="188"/>
      <c r="AG369" s="188"/>
      <c r="AH369" s="188"/>
      <c r="AI369" s="188"/>
    </row>
    <row r="370" spans="1:35" ht="14.25" customHeight="1">
      <c r="A370" s="188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9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9"/>
      <c r="Y370" s="188"/>
      <c r="Z370" s="188"/>
      <c r="AA370" s="188"/>
      <c r="AB370" s="188"/>
      <c r="AC370" s="188"/>
      <c r="AD370" s="188"/>
      <c r="AE370" s="188"/>
      <c r="AF370" s="188"/>
      <c r="AG370" s="188"/>
      <c r="AH370" s="188"/>
      <c r="AI370" s="188"/>
    </row>
    <row r="371" spans="1:35" ht="14.25" customHeight="1">
      <c r="A371" s="188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9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  <c r="W371" s="188"/>
      <c r="X371" s="189"/>
      <c r="Y371" s="188"/>
      <c r="Z371" s="188"/>
      <c r="AA371" s="188"/>
      <c r="AB371" s="188"/>
      <c r="AC371" s="188"/>
      <c r="AD371" s="188"/>
      <c r="AE371" s="188"/>
      <c r="AF371" s="188"/>
      <c r="AG371" s="188"/>
      <c r="AH371" s="188"/>
      <c r="AI371" s="188"/>
    </row>
    <row r="372" spans="1:35" ht="14.25" customHeight="1">
      <c r="A372" s="188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89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9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</row>
    <row r="373" spans="1:35" ht="14.25" customHeight="1">
      <c r="A373" s="188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89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9"/>
      <c r="Y373" s="188"/>
      <c r="Z373" s="188"/>
      <c r="AA373" s="188"/>
      <c r="AB373" s="188"/>
      <c r="AC373" s="188"/>
      <c r="AD373" s="188"/>
      <c r="AE373" s="188"/>
      <c r="AF373" s="188"/>
      <c r="AG373" s="188"/>
      <c r="AH373" s="188"/>
      <c r="AI373" s="188"/>
    </row>
    <row r="374" spans="1:35" ht="14.25" customHeight="1">
      <c r="A374" s="188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89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9"/>
      <c r="Y374" s="188"/>
      <c r="Z374" s="188"/>
      <c r="AA374" s="188"/>
      <c r="AB374" s="188"/>
      <c r="AC374" s="188"/>
      <c r="AD374" s="188"/>
      <c r="AE374" s="188"/>
      <c r="AF374" s="188"/>
      <c r="AG374" s="188"/>
      <c r="AH374" s="188"/>
      <c r="AI374" s="188"/>
    </row>
    <row r="375" spans="1:35" ht="14.25" customHeight="1">
      <c r="A375" s="188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89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9"/>
      <c r="Y375" s="188"/>
      <c r="Z375" s="188"/>
      <c r="AA375" s="188"/>
      <c r="AB375" s="188"/>
      <c r="AC375" s="188"/>
      <c r="AD375" s="188"/>
      <c r="AE375" s="188"/>
      <c r="AF375" s="188"/>
      <c r="AG375" s="188"/>
      <c r="AH375" s="188"/>
      <c r="AI375" s="188"/>
    </row>
    <row r="376" spans="1:35" ht="14.25" customHeight="1">
      <c r="A376" s="188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9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9"/>
      <c r="Y376" s="188"/>
      <c r="Z376" s="188"/>
      <c r="AA376" s="188"/>
      <c r="AB376" s="188"/>
      <c r="AC376" s="188"/>
      <c r="AD376" s="188"/>
      <c r="AE376" s="188"/>
      <c r="AF376" s="188"/>
      <c r="AG376" s="188"/>
      <c r="AH376" s="188"/>
      <c r="AI376" s="188"/>
    </row>
    <row r="377" spans="1:35" ht="14.25" customHeight="1">
      <c r="A377" s="188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89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W377" s="188"/>
      <c r="X377" s="189"/>
      <c r="Y377" s="188"/>
      <c r="Z377" s="188"/>
      <c r="AA377" s="188"/>
      <c r="AB377" s="188"/>
      <c r="AC377" s="188"/>
      <c r="AD377" s="188"/>
      <c r="AE377" s="188"/>
      <c r="AF377" s="188"/>
      <c r="AG377" s="188"/>
      <c r="AH377" s="188"/>
      <c r="AI377" s="188"/>
    </row>
    <row r="378" spans="1:35" ht="14.25" customHeight="1">
      <c r="A378" s="188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9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9"/>
      <c r="Y378" s="188"/>
      <c r="Z378" s="188"/>
      <c r="AA378" s="188"/>
      <c r="AB378" s="188"/>
      <c r="AC378" s="188"/>
      <c r="AD378" s="188"/>
      <c r="AE378" s="188"/>
      <c r="AF378" s="188"/>
      <c r="AG378" s="188"/>
      <c r="AH378" s="188"/>
      <c r="AI378" s="188"/>
    </row>
    <row r="379" spans="1:35" ht="14.25" customHeight="1">
      <c r="A379" s="188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89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9"/>
      <c r="Y379" s="188"/>
      <c r="Z379" s="188"/>
      <c r="AA379" s="188"/>
      <c r="AB379" s="188"/>
      <c r="AC379" s="188"/>
      <c r="AD379" s="188"/>
      <c r="AE379" s="188"/>
      <c r="AF379" s="188"/>
      <c r="AG379" s="188"/>
      <c r="AH379" s="188"/>
      <c r="AI379" s="188"/>
    </row>
    <row r="380" spans="1:35" ht="14.25" customHeight="1">
      <c r="A380" s="188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89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9"/>
      <c r="Y380" s="188"/>
      <c r="Z380" s="188"/>
      <c r="AA380" s="188"/>
      <c r="AB380" s="188"/>
      <c r="AC380" s="188"/>
      <c r="AD380" s="188"/>
      <c r="AE380" s="188"/>
      <c r="AF380" s="188"/>
      <c r="AG380" s="188"/>
      <c r="AH380" s="188"/>
      <c r="AI380" s="188"/>
    </row>
    <row r="381" spans="1:35" ht="14.25" customHeight="1">
      <c r="A381" s="188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9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9"/>
      <c r="Y381" s="188"/>
      <c r="Z381" s="188"/>
      <c r="AA381" s="188"/>
      <c r="AB381" s="188"/>
      <c r="AC381" s="188"/>
      <c r="AD381" s="188"/>
      <c r="AE381" s="188"/>
      <c r="AF381" s="188"/>
      <c r="AG381" s="188"/>
      <c r="AH381" s="188"/>
      <c r="AI381" s="188"/>
    </row>
    <row r="382" spans="1:35" ht="14.25" customHeight="1">
      <c r="A382" s="188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89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9"/>
      <c r="Y382" s="188"/>
      <c r="Z382" s="188"/>
      <c r="AA382" s="188"/>
      <c r="AB382" s="188"/>
      <c r="AC382" s="188"/>
      <c r="AD382" s="188"/>
      <c r="AE382" s="188"/>
      <c r="AF382" s="188"/>
      <c r="AG382" s="188"/>
      <c r="AH382" s="188"/>
      <c r="AI382" s="188"/>
    </row>
    <row r="383" spans="1:35" ht="14.25" customHeight="1">
      <c r="A383" s="188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89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9"/>
      <c r="Y383" s="188"/>
      <c r="Z383" s="188"/>
      <c r="AA383" s="188"/>
      <c r="AB383" s="188"/>
      <c r="AC383" s="188"/>
      <c r="AD383" s="188"/>
      <c r="AE383" s="188"/>
      <c r="AF383" s="188"/>
      <c r="AG383" s="188"/>
      <c r="AH383" s="188"/>
      <c r="AI383" s="188"/>
    </row>
    <row r="384" spans="1:35" ht="14.25" customHeight="1">
      <c r="A384" s="188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89"/>
      <c r="M384" s="188"/>
      <c r="N384" s="188"/>
      <c r="O384" s="188"/>
      <c r="P384" s="188"/>
      <c r="Q384" s="188"/>
      <c r="R384" s="188"/>
      <c r="S384" s="188"/>
      <c r="T384" s="188"/>
      <c r="U384" s="188"/>
      <c r="V384" s="188"/>
      <c r="W384" s="188"/>
      <c r="X384" s="189"/>
      <c r="Y384" s="188"/>
      <c r="Z384" s="188"/>
      <c r="AA384" s="188"/>
      <c r="AB384" s="188"/>
      <c r="AC384" s="188"/>
      <c r="AD384" s="188"/>
      <c r="AE384" s="188"/>
      <c r="AF384" s="188"/>
      <c r="AG384" s="188"/>
      <c r="AH384" s="188"/>
      <c r="AI384" s="188"/>
    </row>
    <row r="385" spans="1:35" ht="14.25" customHeight="1">
      <c r="A385" s="188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9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88"/>
      <c r="Z385" s="188"/>
      <c r="AA385" s="188"/>
      <c r="AB385" s="188"/>
      <c r="AC385" s="188"/>
      <c r="AD385" s="188"/>
      <c r="AE385" s="188"/>
      <c r="AF385" s="188"/>
      <c r="AG385" s="188"/>
      <c r="AH385" s="188"/>
      <c r="AI385" s="188"/>
    </row>
    <row r="386" spans="1:35" ht="14.25" customHeight="1">
      <c r="A386" s="188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89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9"/>
      <c r="Y386" s="188"/>
      <c r="Z386" s="188"/>
      <c r="AA386" s="188"/>
      <c r="AB386" s="188"/>
      <c r="AC386" s="188"/>
      <c r="AD386" s="188"/>
      <c r="AE386" s="188"/>
      <c r="AF386" s="188"/>
      <c r="AG386" s="188"/>
      <c r="AH386" s="188"/>
      <c r="AI386" s="188"/>
    </row>
    <row r="387" spans="1:35" ht="14.25" customHeight="1">
      <c r="A387" s="188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89"/>
      <c r="M387" s="188"/>
      <c r="N387" s="188"/>
      <c r="O387" s="188"/>
      <c r="P387" s="188"/>
      <c r="Q387" s="188"/>
      <c r="R387" s="188"/>
      <c r="S387" s="188"/>
      <c r="T387" s="188"/>
      <c r="U387" s="188"/>
      <c r="V387" s="188"/>
      <c r="W387" s="188"/>
      <c r="X387" s="189"/>
      <c r="Y387" s="188"/>
      <c r="Z387" s="188"/>
      <c r="AA387" s="188"/>
      <c r="AB387" s="188"/>
      <c r="AC387" s="188"/>
      <c r="AD387" s="188"/>
      <c r="AE387" s="188"/>
      <c r="AF387" s="188"/>
      <c r="AG387" s="188"/>
      <c r="AH387" s="188"/>
      <c r="AI387" s="188"/>
    </row>
    <row r="388" spans="1:35" ht="14.25" customHeight="1">
      <c r="A388" s="188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89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  <c r="W388" s="188"/>
      <c r="X388" s="189"/>
      <c r="Y388" s="188"/>
      <c r="Z388" s="188"/>
      <c r="AA388" s="188"/>
      <c r="AB388" s="188"/>
      <c r="AC388" s="188"/>
      <c r="AD388" s="188"/>
      <c r="AE388" s="188"/>
      <c r="AF388" s="188"/>
      <c r="AG388" s="188"/>
      <c r="AH388" s="188"/>
      <c r="AI388" s="188"/>
    </row>
    <row r="389" spans="1:35" ht="14.25" customHeight="1">
      <c r="A389" s="188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89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9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</row>
    <row r="390" spans="1:35" ht="14.25" customHeight="1">
      <c r="A390" s="188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89"/>
      <c r="M390" s="188"/>
      <c r="N390" s="188"/>
      <c r="O390" s="188"/>
      <c r="P390" s="188"/>
      <c r="Q390" s="188"/>
      <c r="R390" s="188"/>
      <c r="S390" s="188"/>
      <c r="T390" s="188"/>
      <c r="U390" s="188"/>
      <c r="V390" s="188"/>
      <c r="W390" s="188"/>
      <c r="X390" s="189"/>
      <c r="Y390" s="188"/>
      <c r="Z390" s="188"/>
      <c r="AA390" s="188"/>
      <c r="AB390" s="188"/>
      <c r="AC390" s="188"/>
      <c r="AD390" s="188"/>
      <c r="AE390" s="188"/>
      <c r="AF390" s="188"/>
      <c r="AG390" s="188"/>
      <c r="AH390" s="188"/>
      <c r="AI390" s="188"/>
    </row>
    <row r="391" spans="1:35" ht="14.25" customHeight="1">
      <c r="A391" s="188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89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9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</row>
    <row r="392" spans="1:35" ht="14.25" customHeight="1">
      <c r="A392" s="188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89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9"/>
      <c r="Y392" s="188"/>
      <c r="Z392" s="188"/>
      <c r="AA392" s="188"/>
      <c r="AB392" s="188"/>
      <c r="AC392" s="188"/>
      <c r="AD392" s="188"/>
      <c r="AE392" s="188"/>
      <c r="AF392" s="188"/>
      <c r="AG392" s="188"/>
      <c r="AH392" s="188"/>
      <c r="AI392" s="188"/>
    </row>
    <row r="393" spans="1:35" ht="14.25" customHeight="1">
      <c r="A393" s="188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9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9"/>
      <c r="Y393" s="188"/>
      <c r="Z393" s="188"/>
      <c r="AA393" s="188"/>
      <c r="AB393" s="188"/>
      <c r="AC393" s="188"/>
      <c r="AD393" s="188"/>
      <c r="AE393" s="188"/>
      <c r="AF393" s="188"/>
      <c r="AG393" s="188"/>
      <c r="AH393" s="188"/>
      <c r="AI393" s="188"/>
    </row>
    <row r="394" spans="1:35" ht="14.25" customHeight="1">
      <c r="A394" s="188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89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9"/>
      <c r="Y394" s="188"/>
      <c r="Z394" s="188"/>
      <c r="AA394" s="188"/>
      <c r="AB394" s="188"/>
      <c r="AC394" s="188"/>
      <c r="AD394" s="188"/>
      <c r="AE394" s="188"/>
      <c r="AF394" s="188"/>
      <c r="AG394" s="188"/>
      <c r="AH394" s="188"/>
      <c r="AI394" s="188"/>
    </row>
    <row r="395" spans="1:35" ht="14.25" customHeight="1">
      <c r="A395" s="188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89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9"/>
      <c r="Y395" s="188"/>
      <c r="Z395" s="188"/>
      <c r="AA395" s="188"/>
      <c r="AB395" s="188"/>
      <c r="AC395" s="188"/>
      <c r="AD395" s="188"/>
      <c r="AE395" s="188"/>
      <c r="AF395" s="188"/>
      <c r="AG395" s="188"/>
      <c r="AH395" s="188"/>
      <c r="AI395" s="188"/>
    </row>
    <row r="396" spans="1:35" ht="14.25" customHeight="1">
      <c r="A396" s="188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9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9"/>
      <c r="Y396" s="188"/>
      <c r="Z396" s="188"/>
      <c r="AA396" s="188"/>
      <c r="AB396" s="188"/>
      <c r="AC396" s="188"/>
      <c r="AD396" s="188"/>
      <c r="AE396" s="188"/>
      <c r="AF396" s="188"/>
      <c r="AG396" s="188"/>
      <c r="AH396" s="188"/>
      <c r="AI396" s="188"/>
    </row>
    <row r="397" spans="1:35" ht="14.25" customHeight="1">
      <c r="A397" s="188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89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9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</row>
    <row r="398" spans="1:35" ht="14.25" customHeight="1">
      <c r="A398" s="188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89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9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</row>
    <row r="399" spans="1:35" ht="14.25" customHeight="1">
      <c r="A399" s="188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89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9"/>
      <c r="Y399" s="188"/>
      <c r="Z399" s="188"/>
      <c r="AA399" s="188"/>
      <c r="AB399" s="188"/>
      <c r="AC399" s="188"/>
      <c r="AD399" s="188"/>
      <c r="AE399" s="188"/>
      <c r="AF399" s="188"/>
      <c r="AG399" s="188"/>
      <c r="AH399" s="188"/>
      <c r="AI399" s="188"/>
    </row>
    <row r="400" spans="1:35" ht="14.25" customHeight="1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9"/>
      <c r="M400" s="188"/>
      <c r="N400" s="188"/>
      <c r="O400" s="188"/>
      <c r="P400" s="188"/>
      <c r="Q400" s="188"/>
      <c r="R400" s="188"/>
      <c r="S400" s="188"/>
      <c r="T400" s="188"/>
      <c r="U400" s="188"/>
      <c r="V400" s="188"/>
      <c r="W400" s="188"/>
      <c r="X400" s="189"/>
      <c r="Y400" s="188"/>
      <c r="Z400" s="188"/>
      <c r="AA400" s="188"/>
      <c r="AB400" s="188"/>
      <c r="AC400" s="188"/>
      <c r="AD400" s="188"/>
      <c r="AE400" s="188"/>
      <c r="AF400" s="188"/>
      <c r="AG400" s="188"/>
      <c r="AH400" s="188"/>
      <c r="AI400" s="188"/>
    </row>
    <row r="401" spans="1:35" ht="14.25" customHeight="1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9"/>
      <c r="M401" s="188"/>
      <c r="N401" s="188"/>
      <c r="O401" s="188"/>
      <c r="P401" s="188"/>
      <c r="Q401" s="188"/>
      <c r="R401" s="188"/>
      <c r="S401" s="188"/>
      <c r="T401" s="188"/>
      <c r="U401" s="188"/>
      <c r="V401" s="188"/>
      <c r="W401" s="188"/>
      <c r="X401" s="189"/>
      <c r="Y401" s="188"/>
      <c r="Z401" s="188"/>
      <c r="AA401" s="188"/>
      <c r="AB401" s="188"/>
      <c r="AC401" s="188"/>
      <c r="AD401" s="188"/>
      <c r="AE401" s="188"/>
      <c r="AF401" s="188"/>
      <c r="AG401" s="188"/>
      <c r="AH401" s="188"/>
      <c r="AI401" s="188"/>
    </row>
    <row r="402" spans="1:35" ht="14.25" customHeight="1">
      <c r="A402" s="188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9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9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</row>
    <row r="403" spans="1:35" ht="14.25" customHeight="1">
      <c r="A403" s="188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89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9"/>
      <c r="Y403" s="188"/>
      <c r="Z403" s="188"/>
      <c r="AA403" s="188"/>
      <c r="AB403" s="188"/>
      <c r="AC403" s="188"/>
      <c r="AD403" s="188"/>
      <c r="AE403" s="188"/>
      <c r="AF403" s="188"/>
      <c r="AG403" s="188"/>
      <c r="AH403" s="188"/>
      <c r="AI403" s="188"/>
    </row>
    <row r="404" spans="1:35" ht="14.25" customHeight="1">
      <c r="A404" s="188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89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  <c r="W404" s="188"/>
      <c r="X404" s="189"/>
      <c r="Y404" s="188"/>
      <c r="Z404" s="188"/>
      <c r="AA404" s="188"/>
      <c r="AB404" s="188"/>
      <c r="AC404" s="188"/>
      <c r="AD404" s="188"/>
      <c r="AE404" s="188"/>
      <c r="AF404" s="188"/>
      <c r="AG404" s="188"/>
      <c r="AH404" s="188"/>
      <c r="AI404" s="188"/>
    </row>
    <row r="405" spans="1:35" ht="14.25" customHeight="1">
      <c r="A405" s="188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9"/>
      <c r="M405" s="188"/>
      <c r="N405" s="188"/>
      <c r="O405" s="188"/>
      <c r="P405" s="188"/>
      <c r="Q405" s="188"/>
      <c r="R405" s="188"/>
      <c r="S405" s="188"/>
      <c r="T405" s="188"/>
      <c r="U405" s="188"/>
      <c r="V405" s="188"/>
      <c r="W405" s="188"/>
      <c r="X405" s="189"/>
      <c r="Y405" s="188"/>
      <c r="Z405" s="188"/>
      <c r="AA405" s="188"/>
      <c r="AB405" s="188"/>
      <c r="AC405" s="188"/>
      <c r="AD405" s="188"/>
      <c r="AE405" s="188"/>
      <c r="AF405" s="188"/>
      <c r="AG405" s="188"/>
      <c r="AH405" s="188"/>
      <c r="AI405" s="188"/>
    </row>
    <row r="406" spans="1:35" ht="14.25" customHeight="1">
      <c r="A406" s="188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9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9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8"/>
      <c r="AI406" s="188"/>
    </row>
    <row r="407" spans="1:35" ht="14.25" customHeight="1">
      <c r="A407" s="188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9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9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8"/>
      <c r="AI407" s="188"/>
    </row>
    <row r="408" spans="1:35" ht="14.25" customHeight="1">
      <c r="A408" s="188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9"/>
      <c r="M408" s="188"/>
      <c r="N408" s="188"/>
      <c r="O408" s="188"/>
      <c r="P408" s="188"/>
      <c r="Q408" s="188"/>
      <c r="R408" s="188"/>
      <c r="S408" s="188"/>
      <c r="T408" s="188"/>
      <c r="U408" s="188"/>
      <c r="V408" s="188"/>
      <c r="W408" s="188"/>
      <c r="X408" s="189"/>
      <c r="Y408" s="188"/>
      <c r="Z408" s="188"/>
      <c r="AA408" s="188"/>
      <c r="AB408" s="188"/>
      <c r="AC408" s="188"/>
      <c r="AD408" s="188"/>
      <c r="AE408" s="188"/>
      <c r="AF408" s="188"/>
      <c r="AG408" s="188"/>
      <c r="AH408" s="188"/>
      <c r="AI408" s="188"/>
    </row>
    <row r="409" spans="1:35" ht="14.25" customHeight="1">
      <c r="A409" s="188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9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9"/>
      <c r="Y409" s="188"/>
      <c r="Z409" s="188"/>
      <c r="AA409" s="188"/>
      <c r="AB409" s="188"/>
      <c r="AC409" s="188"/>
      <c r="AD409" s="188"/>
      <c r="AE409" s="188"/>
      <c r="AF409" s="188"/>
      <c r="AG409" s="188"/>
      <c r="AH409" s="188"/>
      <c r="AI409" s="188"/>
    </row>
    <row r="410" spans="1:35" ht="14.25" customHeight="1">
      <c r="A410" s="188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9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9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</row>
    <row r="411" spans="1:35" ht="14.25" customHeight="1">
      <c r="A411" s="188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89"/>
      <c r="M411" s="188"/>
      <c r="N411" s="188"/>
      <c r="O411" s="188"/>
      <c r="P411" s="188"/>
      <c r="Q411" s="188"/>
      <c r="R411" s="188"/>
      <c r="S411" s="188"/>
      <c r="T411" s="188"/>
      <c r="U411" s="188"/>
      <c r="V411" s="188"/>
      <c r="W411" s="188"/>
      <c r="X411" s="189"/>
      <c r="Y411" s="188"/>
      <c r="Z411" s="188"/>
      <c r="AA411" s="188"/>
      <c r="AB411" s="188"/>
      <c r="AC411" s="188"/>
      <c r="AD411" s="188"/>
      <c r="AE411" s="188"/>
      <c r="AF411" s="188"/>
      <c r="AG411" s="188"/>
      <c r="AH411" s="188"/>
      <c r="AI411" s="188"/>
    </row>
    <row r="412" spans="1:35" ht="14.25" customHeight="1">
      <c r="A412" s="188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9"/>
      <c r="M412" s="188"/>
      <c r="N412" s="188"/>
      <c r="O412" s="188"/>
      <c r="P412" s="188"/>
      <c r="Q412" s="188"/>
      <c r="R412" s="188"/>
      <c r="S412" s="188"/>
      <c r="T412" s="188"/>
      <c r="U412" s="188"/>
      <c r="V412" s="188"/>
      <c r="W412" s="188"/>
      <c r="X412" s="189"/>
      <c r="Y412" s="188"/>
      <c r="Z412" s="188"/>
      <c r="AA412" s="188"/>
      <c r="AB412" s="188"/>
      <c r="AC412" s="188"/>
      <c r="AD412" s="188"/>
      <c r="AE412" s="188"/>
      <c r="AF412" s="188"/>
      <c r="AG412" s="188"/>
      <c r="AH412" s="188"/>
      <c r="AI412" s="188"/>
    </row>
    <row r="413" spans="1:35" ht="14.25" customHeight="1">
      <c r="A413" s="188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9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9"/>
      <c r="Y413" s="188"/>
      <c r="Z413" s="188"/>
      <c r="AA413" s="188"/>
      <c r="AB413" s="188"/>
      <c r="AC413" s="188"/>
      <c r="AD413" s="188"/>
      <c r="AE413" s="188"/>
      <c r="AF413" s="188"/>
      <c r="AG413" s="188"/>
      <c r="AH413" s="188"/>
      <c r="AI413" s="188"/>
    </row>
    <row r="414" spans="1:35" ht="14.25" customHeight="1">
      <c r="A414" s="188"/>
      <c r="B414" s="188"/>
      <c r="C414" s="188"/>
      <c r="D414" s="188"/>
      <c r="E414" s="188"/>
      <c r="F414" s="188"/>
      <c r="G414" s="188"/>
      <c r="H414" s="188"/>
      <c r="I414" s="188"/>
      <c r="J414" s="188"/>
      <c r="K414" s="188"/>
      <c r="L414" s="189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  <c r="W414" s="188"/>
      <c r="X414" s="189"/>
      <c r="Y414" s="188"/>
      <c r="Z414" s="188"/>
      <c r="AA414" s="188"/>
      <c r="AB414" s="188"/>
      <c r="AC414" s="188"/>
      <c r="AD414" s="188"/>
      <c r="AE414" s="188"/>
      <c r="AF414" s="188"/>
      <c r="AG414" s="188"/>
      <c r="AH414" s="188"/>
      <c r="AI414" s="188"/>
    </row>
    <row r="415" spans="1:35" ht="14.25" customHeight="1">
      <c r="A415" s="188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89"/>
      <c r="M415" s="188"/>
      <c r="N415" s="188"/>
      <c r="O415" s="188"/>
      <c r="P415" s="188"/>
      <c r="Q415" s="188"/>
      <c r="R415" s="188"/>
      <c r="S415" s="188"/>
      <c r="T415" s="188"/>
      <c r="U415" s="188"/>
      <c r="V415" s="188"/>
      <c r="W415" s="188"/>
      <c r="X415" s="189"/>
      <c r="Y415" s="188"/>
      <c r="Z415" s="188"/>
      <c r="AA415" s="188"/>
      <c r="AB415" s="188"/>
      <c r="AC415" s="188"/>
      <c r="AD415" s="188"/>
      <c r="AE415" s="188"/>
      <c r="AF415" s="188"/>
      <c r="AG415" s="188"/>
      <c r="AH415" s="188"/>
      <c r="AI415" s="188"/>
    </row>
    <row r="416" spans="1:35" ht="14.25" customHeight="1">
      <c r="A416" s="188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9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9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8"/>
      <c r="AI416" s="188"/>
    </row>
    <row r="417" spans="1:35" ht="14.25" customHeight="1">
      <c r="A417" s="188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89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9"/>
      <c r="Y417" s="188"/>
      <c r="Z417" s="188"/>
      <c r="AA417" s="188"/>
      <c r="AB417" s="188"/>
      <c r="AC417" s="188"/>
      <c r="AD417" s="188"/>
      <c r="AE417" s="188"/>
      <c r="AF417" s="188"/>
      <c r="AG417" s="188"/>
      <c r="AH417" s="188"/>
      <c r="AI417" s="188"/>
    </row>
    <row r="418" spans="1:35" ht="14.25" customHeight="1">
      <c r="A418" s="188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89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9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88"/>
      <c r="AI418" s="188"/>
    </row>
    <row r="419" spans="1:35" ht="14.25" customHeight="1">
      <c r="A419" s="188"/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89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9"/>
      <c r="Y419" s="188"/>
      <c r="Z419" s="188"/>
      <c r="AA419" s="188"/>
      <c r="AB419" s="188"/>
      <c r="AC419" s="188"/>
      <c r="AD419" s="188"/>
      <c r="AE419" s="188"/>
      <c r="AF419" s="188"/>
      <c r="AG419" s="188"/>
      <c r="AH419" s="188"/>
      <c r="AI419" s="188"/>
    </row>
    <row r="420" spans="1:35" ht="14.25" customHeight="1">
      <c r="A420" s="188"/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89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9"/>
      <c r="Y420" s="188"/>
      <c r="Z420" s="188"/>
      <c r="AA420" s="188"/>
      <c r="AB420" s="188"/>
      <c r="AC420" s="188"/>
      <c r="AD420" s="188"/>
      <c r="AE420" s="188"/>
      <c r="AF420" s="188"/>
      <c r="AG420" s="188"/>
      <c r="AH420" s="188"/>
      <c r="AI420" s="188"/>
    </row>
    <row r="421" spans="1:35" ht="14.25" customHeight="1">
      <c r="A421" s="188"/>
      <c r="B421" s="188"/>
      <c r="C421" s="188"/>
      <c r="D421" s="188"/>
      <c r="E421" s="188"/>
      <c r="F421" s="188"/>
      <c r="G421" s="188"/>
      <c r="H421" s="188"/>
      <c r="I421" s="188"/>
      <c r="J421" s="188"/>
      <c r="K421" s="188"/>
      <c r="L421" s="189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9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</row>
    <row r="422" spans="1:35" ht="14.25" customHeight="1">
      <c r="A422" s="188"/>
      <c r="B422" s="188"/>
      <c r="C422" s="188"/>
      <c r="D422" s="188"/>
      <c r="E422" s="188"/>
      <c r="F422" s="188"/>
      <c r="G422" s="188"/>
      <c r="H422" s="188"/>
      <c r="I422" s="188"/>
      <c r="J422" s="188"/>
      <c r="K422" s="188"/>
      <c r="L422" s="189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9"/>
      <c r="Y422" s="188"/>
      <c r="Z422" s="188"/>
      <c r="AA422" s="188"/>
      <c r="AB422" s="188"/>
      <c r="AC422" s="188"/>
      <c r="AD422" s="188"/>
      <c r="AE422" s="188"/>
      <c r="AF422" s="188"/>
      <c r="AG422" s="188"/>
      <c r="AH422" s="188"/>
      <c r="AI422" s="188"/>
    </row>
    <row r="423" spans="1:35" ht="14.25" customHeight="1">
      <c r="A423" s="188"/>
      <c r="B423" s="188"/>
      <c r="C423" s="188"/>
      <c r="D423" s="188"/>
      <c r="E423" s="188"/>
      <c r="F423" s="188"/>
      <c r="G423" s="188"/>
      <c r="H423" s="188"/>
      <c r="I423" s="188"/>
      <c r="J423" s="188"/>
      <c r="K423" s="188"/>
      <c r="L423" s="189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9"/>
      <c r="Y423" s="188"/>
      <c r="Z423" s="188"/>
      <c r="AA423" s="188"/>
      <c r="AB423" s="188"/>
      <c r="AC423" s="188"/>
      <c r="AD423" s="188"/>
      <c r="AE423" s="188"/>
      <c r="AF423" s="188"/>
      <c r="AG423" s="188"/>
      <c r="AH423" s="188"/>
      <c r="AI423" s="188"/>
    </row>
    <row r="424" spans="1:35" ht="14.25" customHeight="1">
      <c r="A424" s="188"/>
      <c r="B424" s="188"/>
      <c r="C424" s="188"/>
      <c r="D424" s="188"/>
      <c r="E424" s="188"/>
      <c r="F424" s="188"/>
      <c r="G424" s="188"/>
      <c r="H424" s="188"/>
      <c r="I424" s="188"/>
      <c r="J424" s="188"/>
      <c r="K424" s="188"/>
      <c r="L424" s="189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9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</row>
    <row r="425" spans="1:35" ht="14.25" customHeight="1">
      <c r="A425" s="188"/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89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9"/>
      <c r="Y425" s="188"/>
      <c r="Z425" s="188"/>
      <c r="AA425" s="188"/>
      <c r="AB425" s="188"/>
      <c r="AC425" s="188"/>
      <c r="AD425" s="188"/>
      <c r="AE425" s="188"/>
      <c r="AF425" s="188"/>
      <c r="AG425" s="188"/>
      <c r="AH425" s="188"/>
      <c r="AI425" s="188"/>
    </row>
    <row r="426" spans="1:35" ht="14.25" customHeight="1">
      <c r="A426" s="188"/>
      <c r="B426" s="188"/>
      <c r="C426" s="188"/>
      <c r="D426" s="188"/>
      <c r="E426" s="188"/>
      <c r="F426" s="188"/>
      <c r="G426" s="188"/>
      <c r="H426" s="188"/>
      <c r="I426" s="188"/>
      <c r="J426" s="188"/>
      <c r="K426" s="188"/>
      <c r="L426" s="189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9"/>
      <c r="Y426" s="188"/>
      <c r="Z426" s="188"/>
      <c r="AA426" s="188"/>
      <c r="AB426" s="188"/>
      <c r="AC426" s="188"/>
      <c r="AD426" s="188"/>
      <c r="AE426" s="188"/>
      <c r="AF426" s="188"/>
      <c r="AG426" s="188"/>
      <c r="AH426" s="188"/>
      <c r="AI426" s="188"/>
    </row>
    <row r="427" spans="1:35" ht="14.25" customHeight="1">
      <c r="A427" s="188"/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9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9"/>
      <c r="Y427" s="188"/>
      <c r="Z427" s="188"/>
      <c r="AA427" s="188"/>
      <c r="AB427" s="188"/>
      <c r="AC427" s="188"/>
      <c r="AD427" s="188"/>
      <c r="AE427" s="188"/>
      <c r="AF427" s="188"/>
      <c r="AG427" s="188"/>
      <c r="AH427" s="188"/>
      <c r="AI427" s="188"/>
    </row>
    <row r="428" spans="1:35" ht="14.25" customHeight="1">
      <c r="A428" s="188"/>
      <c r="B428" s="188"/>
      <c r="C428" s="188"/>
      <c r="D428" s="188"/>
      <c r="E428" s="188"/>
      <c r="F428" s="188"/>
      <c r="G428" s="188"/>
      <c r="H428" s="188"/>
      <c r="I428" s="188"/>
      <c r="J428" s="188"/>
      <c r="K428" s="188"/>
      <c r="L428" s="189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9"/>
      <c r="Y428" s="188"/>
      <c r="Z428" s="188"/>
      <c r="AA428" s="188"/>
      <c r="AB428" s="188"/>
      <c r="AC428" s="188"/>
      <c r="AD428" s="188"/>
      <c r="AE428" s="188"/>
      <c r="AF428" s="188"/>
      <c r="AG428" s="188"/>
      <c r="AH428" s="188"/>
      <c r="AI428" s="188"/>
    </row>
    <row r="429" spans="1:35" ht="14.25" customHeight="1">
      <c r="A429" s="188"/>
      <c r="B429" s="188"/>
      <c r="C429" s="188"/>
      <c r="D429" s="188"/>
      <c r="E429" s="188"/>
      <c r="F429" s="188"/>
      <c r="G429" s="188"/>
      <c r="H429" s="188"/>
      <c r="I429" s="188"/>
      <c r="J429" s="188"/>
      <c r="K429" s="188"/>
      <c r="L429" s="189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9"/>
      <c r="Y429" s="188"/>
      <c r="Z429" s="188"/>
      <c r="AA429" s="188"/>
      <c r="AB429" s="188"/>
      <c r="AC429" s="188"/>
      <c r="AD429" s="188"/>
      <c r="AE429" s="188"/>
      <c r="AF429" s="188"/>
      <c r="AG429" s="188"/>
      <c r="AH429" s="188"/>
      <c r="AI429" s="188"/>
    </row>
    <row r="430" spans="1:35" ht="14.25" customHeight="1">
      <c r="A430" s="188"/>
      <c r="B430" s="188"/>
      <c r="C430" s="188"/>
      <c r="D430" s="188"/>
      <c r="E430" s="188"/>
      <c r="F430" s="188"/>
      <c r="G430" s="188"/>
      <c r="H430" s="188"/>
      <c r="I430" s="188"/>
      <c r="J430" s="188"/>
      <c r="K430" s="188"/>
      <c r="L430" s="189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9"/>
      <c r="Y430" s="188"/>
      <c r="Z430" s="188"/>
      <c r="AA430" s="188"/>
      <c r="AB430" s="188"/>
      <c r="AC430" s="188"/>
      <c r="AD430" s="188"/>
      <c r="AE430" s="188"/>
      <c r="AF430" s="188"/>
      <c r="AG430" s="188"/>
      <c r="AH430" s="188"/>
      <c r="AI430" s="188"/>
    </row>
    <row r="431" spans="1:35" ht="14.25" customHeight="1">
      <c r="A431" s="188"/>
      <c r="B431" s="188"/>
      <c r="C431" s="188"/>
      <c r="D431" s="188"/>
      <c r="E431" s="188"/>
      <c r="F431" s="188"/>
      <c r="G431" s="188"/>
      <c r="H431" s="188"/>
      <c r="I431" s="188"/>
      <c r="J431" s="188"/>
      <c r="K431" s="188"/>
      <c r="L431" s="189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9"/>
      <c r="Y431" s="188"/>
      <c r="Z431" s="188"/>
      <c r="AA431" s="188"/>
      <c r="AB431" s="188"/>
      <c r="AC431" s="188"/>
      <c r="AD431" s="188"/>
      <c r="AE431" s="188"/>
      <c r="AF431" s="188"/>
      <c r="AG431" s="188"/>
      <c r="AH431" s="188"/>
      <c r="AI431" s="188"/>
    </row>
    <row r="432" spans="1:35" ht="14.25" customHeight="1">
      <c r="A432" s="188"/>
      <c r="B432" s="188"/>
      <c r="C432" s="188"/>
      <c r="D432" s="188"/>
      <c r="E432" s="188"/>
      <c r="F432" s="188"/>
      <c r="G432" s="188"/>
      <c r="H432" s="188"/>
      <c r="I432" s="188"/>
      <c r="J432" s="188"/>
      <c r="K432" s="188"/>
      <c r="L432" s="189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9"/>
      <c r="Y432" s="188"/>
      <c r="Z432" s="188"/>
      <c r="AA432" s="188"/>
      <c r="AB432" s="188"/>
      <c r="AC432" s="188"/>
      <c r="AD432" s="188"/>
      <c r="AE432" s="188"/>
      <c r="AF432" s="188"/>
      <c r="AG432" s="188"/>
      <c r="AH432" s="188"/>
      <c r="AI432" s="188"/>
    </row>
    <row r="433" spans="1:35" ht="14.25" customHeight="1">
      <c r="A433" s="188"/>
      <c r="B433" s="188"/>
      <c r="C433" s="188"/>
      <c r="D433" s="188"/>
      <c r="E433" s="188"/>
      <c r="F433" s="188"/>
      <c r="G433" s="188"/>
      <c r="H433" s="188"/>
      <c r="I433" s="188"/>
      <c r="J433" s="188"/>
      <c r="K433" s="188"/>
      <c r="L433" s="189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9"/>
      <c r="Y433" s="188"/>
      <c r="Z433" s="188"/>
      <c r="AA433" s="188"/>
      <c r="AB433" s="188"/>
      <c r="AC433" s="188"/>
      <c r="AD433" s="188"/>
      <c r="AE433" s="188"/>
      <c r="AF433" s="188"/>
      <c r="AG433" s="188"/>
      <c r="AH433" s="188"/>
      <c r="AI433" s="188"/>
    </row>
    <row r="434" spans="1:35" ht="14.25" customHeight="1">
      <c r="A434" s="188"/>
      <c r="B434" s="188"/>
      <c r="C434" s="188"/>
      <c r="D434" s="188"/>
      <c r="E434" s="188"/>
      <c r="F434" s="188"/>
      <c r="G434" s="188"/>
      <c r="H434" s="188"/>
      <c r="I434" s="188"/>
      <c r="J434" s="188"/>
      <c r="K434" s="188"/>
      <c r="L434" s="189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9"/>
      <c r="Y434" s="188"/>
      <c r="Z434" s="188"/>
      <c r="AA434" s="188"/>
      <c r="AB434" s="188"/>
      <c r="AC434" s="188"/>
      <c r="AD434" s="188"/>
      <c r="AE434" s="188"/>
      <c r="AF434" s="188"/>
      <c r="AG434" s="188"/>
      <c r="AH434" s="188"/>
      <c r="AI434" s="188"/>
    </row>
    <row r="435" spans="1:35" ht="14.25" customHeight="1">
      <c r="A435" s="188"/>
      <c r="B435" s="188"/>
      <c r="C435" s="188"/>
      <c r="D435" s="188"/>
      <c r="E435" s="188"/>
      <c r="F435" s="188"/>
      <c r="G435" s="188"/>
      <c r="H435" s="188"/>
      <c r="I435" s="188"/>
      <c r="J435" s="188"/>
      <c r="K435" s="188"/>
      <c r="L435" s="189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9"/>
      <c r="Y435" s="188"/>
      <c r="Z435" s="188"/>
      <c r="AA435" s="188"/>
      <c r="AB435" s="188"/>
      <c r="AC435" s="188"/>
      <c r="AD435" s="188"/>
      <c r="AE435" s="188"/>
      <c r="AF435" s="188"/>
      <c r="AG435" s="188"/>
      <c r="AH435" s="188"/>
      <c r="AI435" s="188"/>
    </row>
    <row r="436" spans="1:35" ht="14.25" customHeight="1">
      <c r="A436" s="188"/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89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9"/>
      <c r="Y436" s="188"/>
      <c r="Z436" s="188"/>
      <c r="AA436" s="188"/>
      <c r="AB436" s="188"/>
      <c r="AC436" s="188"/>
      <c r="AD436" s="188"/>
      <c r="AE436" s="188"/>
      <c r="AF436" s="188"/>
      <c r="AG436" s="188"/>
      <c r="AH436" s="188"/>
      <c r="AI436" s="188"/>
    </row>
    <row r="437" spans="1:35" ht="14.25" customHeight="1">
      <c r="A437" s="188"/>
      <c r="B437" s="188"/>
      <c r="C437" s="188"/>
      <c r="D437" s="188"/>
      <c r="E437" s="188"/>
      <c r="F437" s="188"/>
      <c r="G437" s="188"/>
      <c r="H437" s="188"/>
      <c r="I437" s="188"/>
      <c r="J437" s="188"/>
      <c r="K437" s="188"/>
      <c r="L437" s="189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88"/>
      <c r="Z437" s="188"/>
      <c r="AA437" s="188"/>
      <c r="AB437" s="188"/>
      <c r="AC437" s="188"/>
      <c r="AD437" s="188"/>
      <c r="AE437" s="188"/>
      <c r="AF437" s="188"/>
      <c r="AG437" s="188"/>
      <c r="AH437" s="188"/>
      <c r="AI437" s="188"/>
    </row>
    <row r="438" spans="1:35" ht="14.25" customHeight="1">
      <c r="A438" s="188"/>
      <c r="B438" s="188"/>
      <c r="C438" s="188"/>
      <c r="D438" s="188"/>
      <c r="E438" s="188"/>
      <c r="F438" s="188"/>
      <c r="G438" s="188"/>
      <c r="H438" s="188"/>
      <c r="I438" s="188"/>
      <c r="J438" s="188"/>
      <c r="K438" s="188"/>
      <c r="L438" s="189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9"/>
      <c r="Y438" s="188"/>
      <c r="Z438" s="188"/>
      <c r="AA438" s="188"/>
      <c r="AB438" s="188"/>
      <c r="AC438" s="188"/>
      <c r="AD438" s="188"/>
      <c r="AE438" s="188"/>
      <c r="AF438" s="188"/>
      <c r="AG438" s="188"/>
      <c r="AH438" s="188"/>
      <c r="AI438" s="188"/>
    </row>
    <row r="439" spans="1:35" ht="14.25" customHeight="1">
      <c r="A439" s="188"/>
      <c r="B439" s="188"/>
      <c r="C439" s="188"/>
      <c r="D439" s="188"/>
      <c r="E439" s="188"/>
      <c r="F439" s="188"/>
      <c r="G439" s="188"/>
      <c r="H439" s="188"/>
      <c r="I439" s="188"/>
      <c r="J439" s="188"/>
      <c r="K439" s="188"/>
      <c r="L439" s="189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9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</row>
    <row r="440" spans="1:35" ht="14.25" customHeight="1">
      <c r="A440" s="188"/>
      <c r="B440" s="188"/>
      <c r="C440" s="188"/>
      <c r="D440" s="188"/>
      <c r="E440" s="188"/>
      <c r="F440" s="188"/>
      <c r="G440" s="188"/>
      <c r="H440" s="188"/>
      <c r="I440" s="188"/>
      <c r="J440" s="188"/>
      <c r="K440" s="188"/>
      <c r="L440" s="189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9"/>
      <c r="Y440" s="188"/>
      <c r="Z440" s="188"/>
      <c r="AA440" s="188"/>
      <c r="AB440" s="188"/>
      <c r="AC440" s="188"/>
      <c r="AD440" s="188"/>
      <c r="AE440" s="188"/>
      <c r="AF440" s="188"/>
      <c r="AG440" s="188"/>
      <c r="AH440" s="188"/>
      <c r="AI440" s="188"/>
    </row>
    <row r="441" spans="1:35" ht="14.25" customHeight="1">
      <c r="A441" s="188"/>
      <c r="B441" s="188"/>
      <c r="C441" s="188"/>
      <c r="D441" s="188"/>
      <c r="E441" s="188"/>
      <c r="F441" s="188"/>
      <c r="G441" s="188"/>
      <c r="H441" s="188"/>
      <c r="I441" s="188"/>
      <c r="J441" s="188"/>
      <c r="K441" s="188"/>
      <c r="L441" s="189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9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</row>
    <row r="442" spans="1:35" ht="14.25" customHeight="1">
      <c r="A442" s="188"/>
      <c r="B442" s="188"/>
      <c r="C442" s="188"/>
      <c r="D442" s="188"/>
      <c r="E442" s="188"/>
      <c r="F442" s="188"/>
      <c r="G442" s="188"/>
      <c r="H442" s="188"/>
      <c r="I442" s="188"/>
      <c r="J442" s="188"/>
      <c r="K442" s="188"/>
      <c r="L442" s="189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9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</row>
    <row r="443" spans="1:35" ht="14.25" customHeight="1">
      <c r="A443" s="188"/>
      <c r="B443" s="188"/>
      <c r="C443" s="188"/>
      <c r="D443" s="188"/>
      <c r="E443" s="188"/>
      <c r="F443" s="188"/>
      <c r="G443" s="188"/>
      <c r="H443" s="188"/>
      <c r="I443" s="188"/>
      <c r="J443" s="188"/>
      <c r="K443" s="188"/>
      <c r="L443" s="189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9"/>
      <c r="Y443" s="188"/>
      <c r="Z443" s="188"/>
      <c r="AA443" s="188"/>
      <c r="AB443" s="188"/>
      <c r="AC443" s="188"/>
      <c r="AD443" s="188"/>
      <c r="AE443" s="188"/>
      <c r="AF443" s="188"/>
      <c r="AG443" s="188"/>
      <c r="AH443" s="188"/>
      <c r="AI443" s="188"/>
    </row>
    <row r="444" spans="1:35" ht="14.25" customHeight="1">
      <c r="A444" s="188"/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9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9"/>
      <c r="Y444" s="188"/>
      <c r="Z444" s="188"/>
      <c r="AA444" s="188"/>
      <c r="AB444" s="188"/>
      <c r="AC444" s="188"/>
      <c r="AD444" s="188"/>
      <c r="AE444" s="188"/>
      <c r="AF444" s="188"/>
      <c r="AG444" s="188"/>
      <c r="AH444" s="188"/>
      <c r="AI444" s="188"/>
    </row>
    <row r="445" spans="1:35" ht="14.25" customHeight="1">
      <c r="A445" s="188"/>
      <c r="B445" s="188"/>
      <c r="C445" s="188"/>
      <c r="D445" s="188"/>
      <c r="E445" s="188"/>
      <c r="F445" s="188"/>
      <c r="G445" s="188"/>
      <c r="H445" s="188"/>
      <c r="I445" s="188"/>
      <c r="J445" s="188"/>
      <c r="K445" s="188"/>
      <c r="L445" s="189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9"/>
      <c r="Y445" s="188"/>
      <c r="Z445" s="188"/>
      <c r="AA445" s="188"/>
      <c r="AB445" s="188"/>
      <c r="AC445" s="188"/>
      <c r="AD445" s="188"/>
      <c r="AE445" s="188"/>
      <c r="AF445" s="188"/>
      <c r="AG445" s="188"/>
      <c r="AH445" s="188"/>
      <c r="AI445" s="188"/>
    </row>
    <row r="446" spans="1:35" ht="14.25" customHeight="1">
      <c r="A446" s="188"/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89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9"/>
      <c r="Y446" s="188"/>
      <c r="Z446" s="188"/>
      <c r="AA446" s="188"/>
      <c r="AB446" s="188"/>
      <c r="AC446" s="188"/>
      <c r="AD446" s="188"/>
      <c r="AE446" s="188"/>
      <c r="AF446" s="188"/>
      <c r="AG446" s="188"/>
      <c r="AH446" s="188"/>
      <c r="AI446" s="188"/>
    </row>
    <row r="447" spans="1:35" ht="14.25" customHeight="1">
      <c r="A447" s="188"/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89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9"/>
      <c r="Y447" s="188"/>
      <c r="Z447" s="188"/>
      <c r="AA447" s="188"/>
      <c r="AB447" s="188"/>
      <c r="AC447" s="188"/>
      <c r="AD447" s="188"/>
      <c r="AE447" s="188"/>
      <c r="AF447" s="188"/>
      <c r="AG447" s="188"/>
      <c r="AH447" s="188"/>
      <c r="AI447" s="188"/>
    </row>
    <row r="448" spans="1:35" ht="14.25" customHeight="1">
      <c r="A448" s="188"/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89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9"/>
      <c r="Y448" s="188"/>
      <c r="Z448" s="188"/>
      <c r="AA448" s="188"/>
      <c r="AB448" s="188"/>
      <c r="AC448" s="188"/>
      <c r="AD448" s="188"/>
      <c r="AE448" s="188"/>
      <c r="AF448" s="188"/>
      <c r="AG448" s="188"/>
      <c r="AH448" s="188"/>
      <c r="AI448" s="188"/>
    </row>
    <row r="449" spans="1:35" ht="14.25" customHeight="1">
      <c r="A449" s="188"/>
      <c r="B449" s="188"/>
      <c r="C449" s="188"/>
      <c r="D449" s="188"/>
      <c r="E449" s="188"/>
      <c r="F449" s="188"/>
      <c r="G449" s="188"/>
      <c r="H449" s="188"/>
      <c r="I449" s="188"/>
      <c r="J449" s="188"/>
      <c r="K449" s="188"/>
      <c r="L449" s="189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9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</row>
    <row r="450" spans="1:35" ht="14.25" customHeight="1">
      <c r="A450" s="188"/>
      <c r="B450" s="188"/>
      <c r="C450" s="188"/>
      <c r="D450" s="188"/>
      <c r="E450" s="188"/>
      <c r="F450" s="188"/>
      <c r="G450" s="188"/>
      <c r="H450" s="188"/>
      <c r="I450" s="188"/>
      <c r="J450" s="188"/>
      <c r="K450" s="188"/>
      <c r="L450" s="189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9"/>
      <c r="Y450" s="188"/>
      <c r="Z450" s="188"/>
      <c r="AA450" s="188"/>
      <c r="AB450" s="188"/>
      <c r="AC450" s="188"/>
      <c r="AD450" s="188"/>
      <c r="AE450" s="188"/>
      <c r="AF450" s="188"/>
      <c r="AG450" s="188"/>
      <c r="AH450" s="188"/>
      <c r="AI450" s="188"/>
    </row>
    <row r="451" spans="1:35" ht="14.25" customHeight="1">
      <c r="A451" s="188"/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89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9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</row>
    <row r="452" spans="1:35" ht="14.25" customHeight="1">
      <c r="A452" s="188"/>
      <c r="B452" s="188"/>
      <c r="C452" s="188"/>
      <c r="D452" s="188"/>
      <c r="E452" s="188"/>
      <c r="F452" s="188"/>
      <c r="G452" s="188"/>
      <c r="H452" s="188"/>
      <c r="I452" s="188"/>
      <c r="J452" s="188"/>
      <c r="K452" s="188"/>
      <c r="L452" s="189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9"/>
      <c r="Y452" s="188"/>
      <c r="Z452" s="188"/>
      <c r="AA452" s="188"/>
      <c r="AB452" s="188"/>
      <c r="AC452" s="188"/>
      <c r="AD452" s="188"/>
      <c r="AE452" s="188"/>
      <c r="AF452" s="188"/>
      <c r="AG452" s="188"/>
      <c r="AH452" s="188"/>
      <c r="AI452" s="188"/>
    </row>
    <row r="453" spans="1:35" ht="14.25" customHeight="1">
      <c r="A453" s="188"/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89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9"/>
      <c r="Y453" s="188"/>
      <c r="Z453" s="188"/>
      <c r="AA453" s="188"/>
      <c r="AB453" s="188"/>
      <c r="AC453" s="188"/>
      <c r="AD453" s="188"/>
      <c r="AE453" s="188"/>
      <c r="AF453" s="188"/>
      <c r="AG453" s="188"/>
      <c r="AH453" s="188"/>
      <c r="AI453" s="188"/>
    </row>
    <row r="454" spans="1:35" ht="14.25" customHeight="1">
      <c r="A454" s="188"/>
      <c r="B454" s="188"/>
      <c r="C454" s="188"/>
      <c r="D454" s="188"/>
      <c r="E454" s="188"/>
      <c r="F454" s="188"/>
      <c r="G454" s="188"/>
      <c r="H454" s="188"/>
      <c r="I454" s="188"/>
      <c r="J454" s="188"/>
      <c r="K454" s="188"/>
      <c r="L454" s="189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9"/>
      <c r="Y454" s="188"/>
      <c r="Z454" s="188"/>
      <c r="AA454" s="188"/>
      <c r="AB454" s="188"/>
      <c r="AC454" s="188"/>
      <c r="AD454" s="188"/>
      <c r="AE454" s="188"/>
      <c r="AF454" s="188"/>
      <c r="AG454" s="188"/>
      <c r="AH454" s="188"/>
      <c r="AI454" s="188"/>
    </row>
    <row r="455" spans="1:35" ht="14.25" customHeight="1">
      <c r="A455" s="188"/>
      <c r="B455" s="188"/>
      <c r="C455" s="188"/>
      <c r="D455" s="188"/>
      <c r="E455" s="188"/>
      <c r="F455" s="188"/>
      <c r="G455" s="188"/>
      <c r="H455" s="188"/>
      <c r="I455" s="188"/>
      <c r="J455" s="188"/>
      <c r="K455" s="188"/>
      <c r="L455" s="189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9"/>
      <c r="Y455" s="188"/>
      <c r="Z455" s="188"/>
      <c r="AA455" s="188"/>
      <c r="AB455" s="188"/>
      <c r="AC455" s="188"/>
      <c r="AD455" s="188"/>
      <c r="AE455" s="188"/>
      <c r="AF455" s="188"/>
      <c r="AG455" s="188"/>
      <c r="AH455" s="188"/>
      <c r="AI455" s="188"/>
    </row>
    <row r="456" spans="1:35" ht="14.25" customHeight="1">
      <c r="A456" s="188"/>
      <c r="B456" s="188"/>
      <c r="C456" s="188"/>
      <c r="D456" s="188"/>
      <c r="E456" s="188"/>
      <c r="F456" s="188"/>
      <c r="G456" s="188"/>
      <c r="H456" s="188"/>
      <c r="I456" s="188"/>
      <c r="J456" s="188"/>
      <c r="K456" s="188"/>
      <c r="L456" s="189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9"/>
      <c r="Y456" s="188"/>
      <c r="Z456" s="188"/>
      <c r="AA456" s="188"/>
      <c r="AB456" s="188"/>
      <c r="AC456" s="188"/>
      <c r="AD456" s="188"/>
      <c r="AE456" s="188"/>
      <c r="AF456" s="188"/>
      <c r="AG456" s="188"/>
      <c r="AH456" s="188"/>
      <c r="AI456" s="188"/>
    </row>
    <row r="457" spans="1:35" ht="14.25" customHeight="1">
      <c r="A457" s="188"/>
      <c r="B457" s="188"/>
      <c r="C457" s="188"/>
      <c r="D457" s="188"/>
      <c r="E457" s="188"/>
      <c r="F457" s="188"/>
      <c r="G457" s="188"/>
      <c r="H457" s="188"/>
      <c r="I457" s="188"/>
      <c r="J457" s="188"/>
      <c r="K457" s="188"/>
      <c r="L457" s="189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9"/>
      <c r="Y457" s="188"/>
      <c r="Z457" s="188"/>
      <c r="AA457" s="188"/>
      <c r="AB457" s="188"/>
      <c r="AC457" s="188"/>
      <c r="AD457" s="188"/>
      <c r="AE457" s="188"/>
      <c r="AF457" s="188"/>
      <c r="AG457" s="188"/>
      <c r="AH457" s="188"/>
      <c r="AI457" s="188"/>
    </row>
    <row r="458" spans="1:35" ht="14.25" customHeight="1">
      <c r="A458" s="188"/>
      <c r="B458" s="188"/>
      <c r="C458" s="188"/>
      <c r="D458" s="188"/>
      <c r="E458" s="188"/>
      <c r="F458" s="188"/>
      <c r="G458" s="188"/>
      <c r="H458" s="188"/>
      <c r="I458" s="188"/>
      <c r="J458" s="188"/>
      <c r="K458" s="188"/>
      <c r="L458" s="189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9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</row>
    <row r="459" spans="1:35" ht="14.25" customHeight="1">
      <c r="A459" s="188"/>
      <c r="B459" s="188"/>
      <c r="C459" s="188"/>
      <c r="D459" s="188"/>
      <c r="E459" s="188"/>
      <c r="F459" s="188"/>
      <c r="G459" s="188"/>
      <c r="H459" s="188"/>
      <c r="I459" s="188"/>
      <c r="J459" s="188"/>
      <c r="K459" s="188"/>
      <c r="L459" s="189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9"/>
      <c r="Y459" s="188"/>
      <c r="Z459" s="188"/>
      <c r="AA459" s="188"/>
      <c r="AB459" s="188"/>
      <c r="AC459" s="188"/>
      <c r="AD459" s="188"/>
      <c r="AE459" s="188"/>
      <c r="AF459" s="188"/>
      <c r="AG459" s="188"/>
      <c r="AH459" s="188"/>
      <c r="AI459" s="188"/>
    </row>
    <row r="460" spans="1:35" ht="14.25" customHeight="1">
      <c r="A460" s="188"/>
      <c r="B460" s="188"/>
      <c r="C460" s="188"/>
      <c r="D460" s="188"/>
      <c r="E460" s="188"/>
      <c r="F460" s="188"/>
      <c r="G460" s="188"/>
      <c r="H460" s="188"/>
      <c r="I460" s="188"/>
      <c r="J460" s="188"/>
      <c r="K460" s="188"/>
      <c r="L460" s="189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9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</row>
    <row r="461" spans="1:35" ht="14.25" customHeight="1">
      <c r="A461" s="188"/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89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9"/>
      <c r="Y461" s="188"/>
      <c r="Z461" s="188"/>
      <c r="AA461" s="188"/>
      <c r="AB461" s="188"/>
      <c r="AC461" s="188"/>
      <c r="AD461" s="188"/>
      <c r="AE461" s="188"/>
      <c r="AF461" s="188"/>
      <c r="AG461" s="188"/>
      <c r="AH461" s="188"/>
      <c r="AI461" s="188"/>
    </row>
    <row r="462" spans="1:35" ht="14.25" customHeight="1">
      <c r="A462" s="188"/>
      <c r="B462" s="188"/>
      <c r="C462" s="188"/>
      <c r="D462" s="188"/>
      <c r="E462" s="188"/>
      <c r="F462" s="188"/>
      <c r="G462" s="188"/>
      <c r="H462" s="188"/>
      <c r="I462" s="188"/>
      <c r="J462" s="188"/>
      <c r="K462" s="188"/>
      <c r="L462" s="189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9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</row>
    <row r="463" spans="1:35" ht="14.25" customHeight="1">
      <c r="A463" s="188"/>
      <c r="B463" s="188"/>
      <c r="C463" s="188"/>
      <c r="D463" s="188"/>
      <c r="E463" s="188"/>
      <c r="F463" s="188"/>
      <c r="G463" s="188"/>
      <c r="H463" s="188"/>
      <c r="I463" s="188"/>
      <c r="J463" s="188"/>
      <c r="K463" s="188"/>
      <c r="L463" s="189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9"/>
      <c r="Y463" s="188"/>
      <c r="Z463" s="188"/>
      <c r="AA463" s="188"/>
      <c r="AB463" s="188"/>
      <c r="AC463" s="188"/>
      <c r="AD463" s="188"/>
      <c r="AE463" s="188"/>
      <c r="AF463" s="188"/>
      <c r="AG463" s="188"/>
      <c r="AH463" s="188"/>
      <c r="AI463" s="188"/>
    </row>
    <row r="464" spans="1:35" ht="14.25" customHeight="1">
      <c r="A464" s="188"/>
      <c r="B464" s="188"/>
      <c r="C464" s="188"/>
      <c r="D464" s="188"/>
      <c r="E464" s="188"/>
      <c r="F464" s="188"/>
      <c r="G464" s="188"/>
      <c r="H464" s="188"/>
      <c r="I464" s="188"/>
      <c r="J464" s="188"/>
      <c r="K464" s="188"/>
      <c r="L464" s="189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9"/>
      <c r="Y464" s="188"/>
      <c r="Z464" s="188"/>
      <c r="AA464" s="188"/>
      <c r="AB464" s="188"/>
      <c r="AC464" s="188"/>
      <c r="AD464" s="188"/>
      <c r="AE464" s="188"/>
      <c r="AF464" s="188"/>
      <c r="AG464" s="188"/>
      <c r="AH464" s="188"/>
      <c r="AI464" s="188"/>
    </row>
    <row r="465" spans="1:35" ht="14.25" customHeight="1">
      <c r="A465" s="188"/>
      <c r="B465" s="188"/>
      <c r="C465" s="188"/>
      <c r="D465" s="188"/>
      <c r="E465" s="188"/>
      <c r="F465" s="188"/>
      <c r="G465" s="188"/>
      <c r="H465" s="188"/>
      <c r="I465" s="188"/>
      <c r="J465" s="188"/>
      <c r="K465" s="188"/>
      <c r="L465" s="189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9"/>
      <c r="Y465" s="188"/>
      <c r="Z465" s="188"/>
      <c r="AA465" s="188"/>
      <c r="AB465" s="188"/>
      <c r="AC465" s="188"/>
      <c r="AD465" s="188"/>
      <c r="AE465" s="188"/>
      <c r="AF465" s="188"/>
      <c r="AG465" s="188"/>
      <c r="AH465" s="188"/>
      <c r="AI465" s="188"/>
    </row>
    <row r="466" spans="1:35" ht="14.25" customHeight="1">
      <c r="A466" s="188"/>
      <c r="B466" s="188"/>
      <c r="C466" s="188"/>
      <c r="D466" s="188"/>
      <c r="E466" s="188"/>
      <c r="F466" s="188"/>
      <c r="G466" s="188"/>
      <c r="H466" s="188"/>
      <c r="I466" s="188"/>
      <c r="J466" s="188"/>
      <c r="K466" s="188"/>
      <c r="L466" s="189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9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</row>
    <row r="467" spans="1:35" ht="14.25" customHeight="1">
      <c r="A467" s="188"/>
      <c r="B467" s="188"/>
      <c r="C467" s="188"/>
      <c r="D467" s="188"/>
      <c r="E467" s="188"/>
      <c r="F467" s="188"/>
      <c r="G467" s="188"/>
      <c r="H467" s="188"/>
      <c r="I467" s="188"/>
      <c r="J467" s="188"/>
      <c r="K467" s="188"/>
      <c r="L467" s="189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9"/>
      <c r="Y467" s="188"/>
      <c r="Z467" s="188"/>
      <c r="AA467" s="188"/>
      <c r="AB467" s="188"/>
      <c r="AC467" s="188"/>
      <c r="AD467" s="188"/>
      <c r="AE467" s="188"/>
      <c r="AF467" s="188"/>
      <c r="AG467" s="188"/>
      <c r="AH467" s="188"/>
      <c r="AI467" s="188"/>
    </row>
    <row r="468" spans="1:35" ht="14.25" customHeight="1">
      <c r="A468" s="188"/>
      <c r="B468" s="188"/>
      <c r="C468" s="188"/>
      <c r="D468" s="188"/>
      <c r="E468" s="188"/>
      <c r="F468" s="188"/>
      <c r="G468" s="188"/>
      <c r="H468" s="188"/>
      <c r="I468" s="188"/>
      <c r="J468" s="188"/>
      <c r="K468" s="188"/>
      <c r="L468" s="189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9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</row>
    <row r="469" spans="1:35" ht="14.25" customHeight="1">
      <c r="A469" s="188"/>
      <c r="B469" s="188"/>
      <c r="C469" s="188"/>
      <c r="D469" s="188"/>
      <c r="E469" s="188"/>
      <c r="F469" s="188"/>
      <c r="G469" s="188"/>
      <c r="H469" s="188"/>
      <c r="I469" s="188"/>
      <c r="J469" s="188"/>
      <c r="K469" s="188"/>
      <c r="L469" s="189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9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</row>
    <row r="470" spans="1:35" ht="14.25" customHeight="1">
      <c r="A470" s="188"/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89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9"/>
      <c r="Y470" s="188"/>
      <c r="Z470" s="188"/>
      <c r="AA470" s="188"/>
      <c r="AB470" s="188"/>
      <c r="AC470" s="188"/>
      <c r="AD470" s="188"/>
      <c r="AE470" s="188"/>
      <c r="AF470" s="188"/>
      <c r="AG470" s="188"/>
      <c r="AH470" s="188"/>
      <c r="AI470" s="188"/>
    </row>
    <row r="471" spans="1:35" ht="14.25" customHeight="1">
      <c r="A471" s="188"/>
      <c r="B471" s="188"/>
      <c r="C471" s="188"/>
      <c r="D471" s="188"/>
      <c r="E471" s="188"/>
      <c r="F471" s="188"/>
      <c r="G471" s="188"/>
      <c r="H471" s="188"/>
      <c r="I471" s="188"/>
      <c r="J471" s="188"/>
      <c r="K471" s="188"/>
      <c r="L471" s="189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9"/>
      <c r="Y471" s="188"/>
      <c r="Z471" s="188"/>
      <c r="AA471" s="188"/>
      <c r="AB471" s="188"/>
      <c r="AC471" s="188"/>
      <c r="AD471" s="188"/>
      <c r="AE471" s="188"/>
      <c r="AF471" s="188"/>
      <c r="AG471" s="188"/>
      <c r="AH471" s="188"/>
      <c r="AI471" s="188"/>
    </row>
    <row r="472" spans="1:35" ht="14.25" customHeight="1">
      <c r="A472" s="188"/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89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9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</row>
    <row r="473" spans="1:35" ht="14.25" customHeight="1">
      <c r="A473" s="188"/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89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9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</row>
    <row r="474" spans="1:35" ht="14.25" customHeight="1">
      <c r="A474" s="188"/>
      <c r="B474" s="188"/>
      <c r="C474" s="188"/>
      <c r="D474" s="188"/>
      <c r="E474" s="188"/>
      <c r="F474" s="188"/>
      <c r="G474" s="188"/>
      <c r="H474" s="188"/>
      <c r="I474" s="188"/>
      <c r="J474" s="188"/>
      <c r="K474" s="188"/>
      <c r="L474" s="189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9"/>
      <c r="Y474" s="188"/>
      <c r="Z474" s="188"/>
      <c r="AA474" s="188"/>
      <c r="AB474" s="188"/>
      <c r="AC474" s="188"/>
      <c r="AD474" s="188"/>
      <c r="AE474" s="188"/>
      <c r="AF474" s="188"/>
      <c r="AG474" s="188"/>
      <c r="AH474" s="188"/>
      <c r="AI474" s="188"/>
    </row>
    <row r="475" spans="1:35" ht="14.25" customHeight="1">
      <c r="A475" s="188"/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89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9"/>
      <c r="Y475" s="188"/>
      <c r="Z475" s="188"/>
      <c r="AA475" s="188"/>
      <c r="AB475" s="188"/>
      <c r="AC475" s="188"/>
      <c r="AD475" s="188"/>
      <c r="AE475" s="188"/>
      <c r="AF475" s="188"/>
      <c r="AG475" s="188"/>
      <c r="AH475" s="188"/>
      <c r="AI475" s="188"/>
    </row>
    <row r="476" spans="1:35" ht="14.25" customHeight="1">
      <c r="A476" s="188"/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89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9"/>
      <c r="Y476" s="188"/>
      <c r="Z476" s="188"/>
      <c r="AA476" s="188"/>
      <c r="AB476" s="188"/>
      <c r="AC476" s="188"/>
      <c r="AD476" s="188"/>
      <c r="AE476" s="188"/>
      <c r="AF476" s="188"/>
      <c r="AG476" s="188"/>
      <c r="AH476" s="188"/>
      <c r="AI476" s="188"/>
    </row>
    <row r="477" spans="1:35" ht="14.25" customHeight="1">
      <c r="A477" s="188"/>
      <c r="B477" s="188"/>
      <c r="C477" s="188"/>
      <c r="D477" s="188"/>
      <c r="E477" s="188"/>
      <c r="F477" s="188"/>
      <c r="G477" s="188"/>
      <c r="H477" s="188"/>
      <c r="I477" s="188"/>
      <c r="J477" s="188"/>
      <c r="K477" s="188"/>
      <c r="L477" s="189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9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</row>
    <row r="478" spans="1:35" ht="14.25" customHeight="1">
      <c r="A478" s="188"/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89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9"/>
      <c r="Y478" s="188"/>
      <c r="Z478" s="188"/>
      <c r="AA478" s="188"/>
      <c r="AB478" s="188"/>
      <c r="AC478" s="188"/>
      <c r="AD478" s="188"/>
      <c r="AE478" s="188"/>
      <c r="AF478" s="188"/>
      <c r="AG478" s="188"/>
      <c r="AH478" s="188"/>
      <c r="AI478" s="188"/>
    </row>
    <row r="479" spans="1:35" ht="14.25" customHeight="1">
      <c r="A479" s="188"/>
      <c r="B479" s="188"/>
      <c r="C479" s="188"/>
      <c r="D479" s="188"/>
      <c r="E479" s="188"/>
      <c r="F479" s="188"/>
      <c r="G479" s="188"/>
      <c r="H479" s="188"/>
      <c r="I479" s="188"/>
      <c r="J479" s="188"/>
      <c r="K479" s="188"/>
      <c r="L479" s="189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9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</row>
    <row r="480" spans="1:35" ht="14.25" customHeight="1">
      <c r="A480" s="188"/>
      <c r="B480" s="188"/>
      <c r="C480" s="188"/>
      <c r="D480" s="188"/>
      <c r="E480" s="188"/>
      <c r="F480" s="188"/>
      <c r="G480" s="188"/>
      <c r="H480" s="188"/>
      <c r="I480" s="188"/>
      <c r="J480" s="188"/>
      <c r="K480" s="188"/>
      <c r="L480" s="189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9"/>
      <c r="Y480" s="188"/>
      <c r="Z480" s="188"/>
      <c r="AA480" s="188"/>
      <c r="AB480" s="188"/>
      <c r="AC480" s="188"/>
      <c r="AD480" s="188"/>
      <c r="AE480" s="188"/>
      <c r="AF480" s="188"/>
      <c r="AG480" s="188"/>
      <c r="AH480" s="188"/>
      <c r="AI480" s="188"/>
    </row>
    <row r="481" spans="1:35" ht="14.25" customHeight="1">
      <c r="A481" s="188"/>
      <c r="B481" s="188"/>
      <c r="C481" s="188"/>
      <c r="D481" s="188"/>
      <c r="E481" s="188"/>
      <c r="F481" s="188"/>
      <c r="G481" s="188"/>
      <c r="H481" s="188"/>
      <c r="I481" s="188"/>
      <c r="J481" s="188"/>
      <c r="K481" s="188"/>
      <c r="L481" s="189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9"/>
      <c r="Y481" s="188"/>
      <c r="Z481" s="188"/>
      <c r="AA481" s="188"/>
      <c r="AB481" s="188"/>
      <c r="AC481" s="188"/>
      <c r="AD481" s="188"/>
      <c r="AE481" s="188"/>
      <c r="AF481" s="188"/>
      <c r="AG481" s="188"/>
      <c r="AH481" s="188"/>
      <c r="AI481" s="188"/>
    </row>
    <row r="482" spans="1:35" ht="14.25" customHeight="1">
      <c r="A482" s="188"/>
      <c r="B482" s="188"/>
      <c r="C482" s="188"/>
      <c r="D482" s="188"/>
      <c r="E482" s="188"/>
      <c r="F482" s="188"/>
      <c r="G482" s="188"/>
      <c r="H482" s="188"/>
      <c r="I482" s="188"/>
      <c r="J482" s="188"/>
      <c r="K482" s="188"/>
      <c r="L482" s="189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9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</row>
    <row r="483" spans="1:35" ht="14.25" customHeight="1">
      <c r="A483" s="188"/>
      <c r="B483" s="188"/>
      <c r="C483" s="188"/>
      <c r="D483" s="188"/>
      <c r="E483" s="188"/>
      <c r="F483" s="188"/>
      <c r="G483" s="188"/>
      <c r="H483" s="188"/>
      <c r="I483" s="188"/>
      <c r="J483" s="188"/>
      <c r="K483" s="188"/>
      <c r="L483" s="189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9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</row>
    <row r="484" spans="1:35" ht="14.25" customHeight="1">
      <c r="A484" s="188"/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89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9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</row>
    <row r="485" spans="1:35" ht="14.25" customHeight="1">
      <c r="A485" s="188"/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9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9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</row>
    <row r="486" spans="1:35" ht="14.25" customHeight="1">
      <c r="A486" s="188"/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89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9"/>
      <c r="Y486" s="188"/>
      <c r="Z486" s="188"/>
      <c r="AA486" s="188"/>
      <c r="AB486" s="188"/>
      <c r="AC486" s="188"/>
      <c r="AD486" s="188"/>
      <c r="AE486" s="188"/>
      <c r="AF486" s="188"/>
      <c r="AG486" s="188"/>
      <c r="AH486" s="188"/>
      <c r="AI486" s="188"/>
    </row>
    <row r="487" spans="1:35" ht="14.25" customHeight="1">
      <c r="A487" s="188"/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89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9"/>
      <c r="Y487" s="188"/>
      <c r="Z487" s="188"/>
      <c r="AA487" s="188"/>
      <c r="AB487" s="188"/>
      <c r="AC487" s="188"/>
      <c r="AD487" s="188"/>
      <c r="AE487" s="188"/>
      <c r="AF487" s="188"/>
      <c r="AG487" s="188"/>
      <c r="AH487" s="188"/>
      <c r="AI487" s="188"/>
    </row>
    <row r="488" spans="1:35" ht="14.25" customHeight="1">
      <c r="A488" s="188"/>
      <c r="B488" s="188"/>
      <c r="C488" s="188"/>
      <c r="D488" s="188"/>
      <c r="E488" s="188"/>
      <c r="F488" s="188"/>
      <c r="G488" s="188"/>
      <c r="H488" s="188"/>
      <c r="I488" s="188"/>
      <c r="J488" s="188"/>
      <c r="K488" s="188"/>
      <c r="L488" s="189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9"/>
      <c r="Y488" s="188"/>
      <c r="Z488" s="188"/>
      <c r="AA488" s="188"/>
      <c r="AB488" s="188"/>
      <c r="AC488" s="188"/>
      <c r="AD488" s="188"/>
      <c r="AE488" s="188"/>
      <c r="AF488" s="188"/>
      <c r="AG488" s="188"/>
      <c r="AH488" s="188"/>
      <c r="AI488" s="188"/>
    </row>
    <row r="489" spans="1:35" ht="14.25" customHeight="1">
      <c r="A489" s="188"/>
      <c r="B489" s="188"/>
      <c r="C489" s="188"/>
      <c r="D489" s="188"/>
      <c r="E489" s="188"/>
      <c r="F489" s="188"/>
      <c r="G489" s="188"/>
      <c r="H489" s="188"/>
      <c r="I489" s="188"/>
      <c r="J489" s="188"/>
      <c r="K489" s="188"/>
      <c r="L489" s="189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/>
      <c r="AI489" s="188"/>
    </row>
    <row r="490" spans="1:35" ht="14.25" customHeight="1">
      <c r="A490" s="188"/>
      <c r="B490" s="188"/>
      <c r="C490" s="188"/>
      <c r="D490" s="188"/>
      <c r="E490" s="188"/>
      <c r="F490" s="188"/>
      <c r="G490" s="188"/>
      <c r="H490" s="188"/>
      <c r="I490" s="188"/>
      <c r="J490" s="188"/>
      <c r="K490" s="188"/>
      <c r="L490" s="189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9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</row>
    <row r="491" spans="1:35" ht="14.25" customHeight="1">
      <c r="A491" s="188"/>
      <c r="B491" s="188"/>
      <c r="C491" s="188"/>
      <c r="D491" s="188"/>
      <c r="E491" s="188"/>
      <c r="F491" s="188"/>
      <c r="G491" s="188"/>
      <c r="H491" s="188"/>
      <c r="I491" s="188"/>
      <c r="J491" s="188"/>
      <c r="K491" s="188"/>
      <c r="L491" s="189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9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</row>
    <row r="492" spans="1:35" ht="14.25" customHeight="1">
      <c r="A492" s="188"/>
      <c r="B492" s="188"/>
      <c r="C492" s="188"/>
      <c r="D492" s="188"/>
      <c r="E492" s="188"/>
      <c r="F492" s="188"/>
      <c r="G492" s="188"/>
      <c r="H492" s="188"/>
      <c r="I492" s="188"/>
      <c r="J492" s="188"/>
      <c r="K492" s="188"/>
      <c r="L492" s="189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9"/>
      <c r="Y492" s="188"/>
      <c r="Z492" s="188"/>
      <c r="AA492" s="188"/>
      <c r="AB492" s="188"/>
      <c r="AC492" s="188"/>
      <c r="AD492" s="188"/>
      <c r="AE492" s="188"/>
      <c r="AF492" s="188"/>
      <c r="AG492" s="188"/>
      <c r="AH492" s="188"/>
      <c r="AI492" s="188"/>
    </row>
    <row r="493" spans="1:35" ht="14.25" customHeight="1">
      <c r="A493" s="188"/>
      <c r="B493" s="188"/>
      <c r="C493" s="188"/>
      <c r="D493" s="188"/>
      <c r="E493" s="188"/>
      <c r="F493" s="188"/>
      <c r="G493" s="188"/>
      <c r="H493" s="188"/>
      <c r="I493" s="188"/>
      <c r="J493" s="188"/>
      <c r="K493" s="188"/>
      <c r="L493" s="189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9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</row>
    <row r="494" spans="1:35" ht="14.25" customHeight="1">
      <c r="A494" s="188"/>
      <c r="B494" s="188"/>
      <c r="C494" s="188"/>
      <c r="D494" s="188"/>
      <c r="E494" s="188"/>
      <c r="F494" s="188"/>
      <c r="G494" s="188"/>
      <c r="H494" s="188"/>
      <c r="I494" s="188"/>
      <c r="J494" s="188"/>
      <c r="K494" s="188"/>
      <c r="L494" s="189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9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</row>
    <row r="495" spans="1:35" ht="14.25" customHeight="1">
      <c r="A495" s="188"/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89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9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</row>
    <row r="496" spans="1:35" ht="14.25" customHeight="1">
      <c r="A496" s="188"/>
      <c r="B496" s="188"/>
      <c r="C496" s="188"/>
      <c r="D496" s="188"/>
      <c r="E496" s="188"/>
      <c r="F496" s="188"/>
      <c r="G496" s="188"/>
      <c r="H496" s="188"/>
      <c r="I496" s="188"/>
      <c r="J496" s="188"/>
      <c r="K496" s="188"/>
      <c r="L496" s="189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9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</row>
    <row r="497" spans="1:35" ht="14.25" customHeight="1">
      <c r="A497" s="188"/>
      <c r="B497" s="188"/>
      <c r="C497" s="188"/>
      <c r="D497" s="188"/>
      <c r="E497" s="188"/>
      <c r="F497" s="188"/>
      <c r="G497" s="188"/>
      <c r="H497" s="188"/>
      <c r="I497" s="188"/>
      <c r="J497" s="188"/>
      <c r="K497" s="188"/>
      <c r="L497" s="189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9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</row>
    <row r="498" spans="1:35" ht="14.25" customHeight="1">
      <c r="A498" s="188"/>
      <c r="B498" s="188"/>
      <c r="C498" s="188"/>
      <c r="D498" s="188"/>
      <c r="E498" s="188"/>
      <c r="F498" s="188"/>
      <c r="G498" s="188"/>
      <c r="H498" s="188"/>
      <c r="I498" s="188"/>
      <c r="J498" s="188"/>
      <c r="K498" s="188"/>
      <c r="L498" s="189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9"/>
      <c r="Y498" s="188"/>
      <c r="Z498" s="188"/>
      <c r="AA498" s="188"/>
      <c r="AB498" s="188"/>
      <c r="AC498" s="188"/>
      <c r="AD498" s="188"/>
      <c r="AE498" s="188"/>
      <c r="AF498" s="188"/>
      <c r="AG498" s="188"/>
      <c r="AH498" s="188"/>
      <c r="AI498" s="188"/>
    </row>
    <row r="499" spans="1:35" ht="14.25" customHeight="1">
      <c r="A499" s="188"/>
      <c r="B499" s="188"/>
      <c r="C499" s="188"/>
      <c r="D499" s="188"/>
      <c r="E499" s="188"/>
      <c r="F499" s="188"/>
      <c r="G499" s="188"/>
      <c r="H499" s="188"/>
      <c r="I499" s="188"/>
      <c r="J499" s="188"/>
      <c r="K499" s="188"/>
      <c r="L499" s="189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9"/>
      <c r="Y499" s="188"/>
      <c r="Z499" s="188"/>
      <c r="AA499" s="188"/>
      <c r="AB499" s="188"/>
      <c r="AC499" s="188"/>
      <c r="AD499" s="188"/>
      <c r="AE499" s="188"/>
      <c r="AF499" s="188"/>
      <c r="AG499" s="188"/>
      <c r="AH499" s="188"/>
      <c r="AI499" s="188"/>
    </row>
    <row r="500" spans="1:35" ht="14.25" customHeight="1">
      <c r="A500" s="188"/>
      <c r="B500" s="188"/>
      <c r="C500" s="188"/>
      <c r="D500" s="188"/>
      <c r="E500" s="188"/>
      <c r="F500" s="188"/>
      <c r="G500" s="188"/>
      <c r="H500" s="188"/>
      <c r="I500" s="188"/>
      <c r="J500" s="188"/>
      <c r="K500" s="188"/>
      <c r="L500" s="189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9"/>
      <c r="Y500" s="188"/>
      <c r="Z500" s="188"/>
      <c r="AA500" s="188"/>
      <c r="AB500" s="188"/>
      <c r="AC500" s="188"/>
      <c r="AD500" s="188"/>
      <c r="AE500" s="188"/>
      <c r="AF500" s="188"/>
      <c r="AG500" s="188"/>
      <c r="AH500" s="188"/>
      <c r="AI500" s="188"/>
    </row>
    <row r="501" spans="1:35" ht="14.25" customHeight="1">
      <c r="A501" s="188"/>
      <c r="B501" s="188"/>
      <c r="C501" s="188"/>
      <c r="D501" s="188"/>
      <c r="E501" s="188"/>
      <c r="F501" s="188"/>
      <c r="G501" s="188"/>
      <c r="H501" s="188"/>
      <c r="I501" s="188"/>
      <c r="J501" s="188"/>
      <c r="K501" s="188"/>
      <c r="L501" s="189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9"/>
      <c r="Y501" s="188"/>
      <c r="Z501" s="188"/>
      <c r="AA501" s="188"/>
      <c r="AB501" s="188"/>
      <c r="AC501" s="188"/>
      <c r="AD501" s="188"/>
      <c r="AE501" s="188"/>
      <c r="AF501" s="188"/>
      <c r="AG501" s="188"/>
      <c r="AH501" s="188"/>
      <c r="AI501" s="188"/>
    </row>
    <row r="502" spans="1:35" ht="14.25" customHeight="1">
      <c r="A502" s="188"/>
      <c r="B502" s="188"/>
      <c r="C502" s="188"/>
      <c r="D502" s="188"/>
      <c r="E502" s="188"/>
      <c r="F502" s="188"/>
      <c r="G502" s="188"/>
      <c r="H502" s="188"/>
      <c r="I502" s="188"/>
      <c r="J502" s="188"/>
      <c r="K502" s="188"/>
      <c r="L502" s="189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9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</row>
    <row r="503" spans="1:35" ht="14.25" customHeight="1">
      <c r="A503" s="188"/>
      <c r="B503" s="188"/>
      <c r="C503" s="188"/>
      <c r="D503" s="188"/>
      <c r="E503" s="188"/>
      <c r="F503" s="188"/>
      <c r="G503" s="188"/>
      <c r="H503" s="188"/>
      <c r="I503" s="188"/>
      <c r="J503" s="188"/>
      <c r="K503" s="188"/>
      <c r="L503" s="189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9"/>
      <c r="Y503" s="188"/>
      <c r="Z503" s="188"/>
      <c r="AA503" s="188"/>
      <c r="AB503" s="188"/>
      <c r="AC503" s="188"/>
      <c r="AD503" s="188"/>
      <c r="AE503" s="188"/>
      <c r="AF503" s="188"/>
      <c r="AG503" s="188"/>
      <c r="AH503" s="188"/>
      <c r="AI503" s="188"/>
    </row>
    <row r="504" spans="1:35" ht="14.25" customHeight="1">
      <c r="A504" s="188"/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89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9"/>
      <c r="Y504" s="188"/>
      <c r="Z504" s="188"/>
      <c r="AA504" s="188"/>
      <c r="AB504" s="188"/>
      <c r="AC504" s="188"/>
      <c r="AD504" s="188"/>
      <c r="AE504" s="188"/>
      <c r="AF504" s="188"/>
      <c r="AG504" s="188"/>
      <c r="AH504" s="188"/>
      <c r="AI504" s="188"/>
    </row>
    <row r="505" spans="1:35" ht="14.25" customHeight="1">
      <c r="A505" s="188"/>
      <c r="B505" s="188"/>
      <c r="C505" s="188"/>
      <c r="D505" s="188"/>
      <c r="E505" s="188"/>
      <c r="F505" s="188"/>
      <c r="G505" s="188"/>
      <c r="H505" s="188"/>
      <c r="I505" s="188"/>
      <c r="J505" s="188"/>
      <c r="K505" s="188"/>
      <c r="L505" s="189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9"/>
      <c r="Y505" s="188"/>
      <c r="Z505" s="188"/>
      <c r="AA505" s="188"/>
      <c r="AB505" s="188"/>
      <c r="AC505" s="188"/>
      <c r="AD505" s="188"/>
      <c r="AE505" s="188"/>
      <c r="AF505" s="188"/>
      <c r="AG505" s="188"/>
      <c r="AH505" s="188"/>
      <c r="AI505" s="188"/>
    </row>
    <row r="506" spans="1:35" ht="14.25" customHeight="1">
      <c r="A506" s="188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9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9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8"/>
      <c r="AI506" s="188"/>
    </row>
    <row r="507" spans="1:35" ht="14.25" customHeight="1">
      <c r="A507" s="188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9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9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</row>
    <row r="508" spans="1:35" ht="14.25" customHeight="1">
      <c r="A508" s="188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9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9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</row>
    <row r="509" spans="1:35" ht="14.25" customHeight="1">
      <c r="A509" s="188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9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9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</row>
    <row r="510" spans="1:35" ht="14.25" customHeight="1">
      <c r="A510" s="188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9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9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</row>
    <row r="511" spans="1:35" ht="14.25" customHeight="1">
      <c r="A511" s="188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9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9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8"/>
      <c r="AI511" s="188"/>
    </row>
    <row r="512" spans="1:35" ht="14.25" customHeight="1">
      <c r="A512" s="188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9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9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  <c r="AI512" s="188"/>
    </row>
    <row r="513" spans="1:35" ht="14.25" customHeight="1">
      <c r="A513" s="188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9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9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8"/>
      <c r="AI513" s="188"/>
    </row>
    <row r="514" spans="1:35" ht="14.25" customHeight="1">
      <c r="A514" s="188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9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9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8"/>
      <c r="AI514" s="188"/>
    </row>
    <row r="515" spans="1:35" ht="14.25" customHeight="1">
      <c r="A515" s="188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9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9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8"/>
      <c r="AI515" s="188"/>
    </row>
    <row r="516" spans="1:35" ht="14.25" customHeight="1">
      <c r="A516" s="188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9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9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8"/>
      <c r="AI516" s="188"/>
    </row>
    <row r="517" spans="1:35" ht="14.25" customHeight="1">
      <c r="A517" s="188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9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9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8"/>
      <c r="AI517" s="188"/>
    </row>
    <row r="518" spans="1:35" ht="14.25" customHeight="1">
      <c r="A518" s="188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9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9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8"/>
      <c r="AI518" s="188"/>
    </row>
    <row r="519" spans="1:35" ht="14.25" customHeight="1">
      <c r="A519" s="188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9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9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8"/>
      <c r="AI519" s="188"/>
    </row>
    <row r="520" spans="1:35" ht="14.25" customHeight="1">
      <c r="A520" s="188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9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9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8"/>
      <c r="AI520" s="188"/>
    </row>
    <row r="521" spans="1:35" ht="14.25" customHeight="1">
      <c r="A521" s="188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9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9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8"/>
      <c r="AI521" s="188"/>
    </row>
    <row r="522" spans="1:35" ht="14.25" customHeight="1">
      <c r="A522" s="188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9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9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</row>
    <row r="523" spans="1:35" ht="14.25" customHeight="1">
      <c r="A523" s="188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9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9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8"/>
      <c r="AI523" s="188"/>
    </row>
    <row r="524" spans="1:35" ht="14.25" customHeight="1">
      <c r="A524" s="188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9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9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8"/>
      <c r="AI524" s="188"/>
    </row>
    <row r="525" spans="1:35" ht="14.25" customHeight="1">
      <c r="A525" s="188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9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9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8"/>
      <c r="AI525" s="188"/>
    </row>
    <row r="526" spans="1:35" ht="14.25" customHeight="1">
      <c r="A526" s="188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9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9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8"/>
      <c r="AI526" s="188"/>
    </row>
    <row r="527" spans="1:35" ht="14.25" customHeight="1">
      <c r="A527" s="188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9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9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</row>
    <row r="528" spans="1:35" ht="14.25" customHeight="1">
      <c r="A528" s="188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9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9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8"/>
      <c r="AI528" s="188"/>
    </row>
    <row r="529" spans="1:35" ht="14.25" customHeight="1">
      <c r="A529" s="188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9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9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8"/>
      <c r="AI529" s="188"/>
    </row>
    <row r="530" spans="1:35" ht="14.25" customHeight="1">
      <c r="A530" s="188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9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9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</row>
    <row r="531" spans="1:35" ht="14.25" customHeight="1">
      <c r="A531" s="188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9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9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</row>
    <row r="532" spans="1:35" ht="14.25" customHeight="1">
      <c r="A532" s="188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9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9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</row>
    <row r="533" spans="1:35" ht="14.25" customHeight="1">
      <c r="A533" s="188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9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9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</row>
    <row r="534" spans="1:35" ht="14.25" customHeight="1">
      <c r="A534" s="188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9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9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</row>
    <row r="535" spans="1:35" ht="14.25" customHeight="1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9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9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8"/>
      <c r="AI535" s="188"/>
    </row>
    <row r="536" spans="1:35" ht="14.25" customHeight="1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9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9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8"/>
      <c r="AI536" s="188"/>
    </row>
    <row r="537" spans="1:35" ht="14.25" customHeight="1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9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9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8"/>
      <c r="AI537" s="188"/>
    </row>
    <row r="538" spans="1:35" ht="14.25" customHeight="1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9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9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8"/>
      <c r="AI538" s="188"/>
    </row>
    <row r="539" spans="1:35" ht="14.25" customHeight="1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9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9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8"/>
      <c r="AI539" s="188"/>
    </row>
    <row r="540" spans="1:35" ht="14.25" customHeight="1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9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9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8"/>
      <c r="AI540" s="188"/>
    </row>
    <row r="541" spans="1:35" ht="14.25" customHeight="1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9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9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8"/>
      <c r="AI541" s="188"/>
    </row>
    <row r="542" spans="1:35" ht="14.25" customHeight="1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9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9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8"/>
      <c r="AI542" s="188"/>
    </row>
    <row r="543" spans="1:35" ht="14.25" customHeight="1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9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9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</row>
    <row r="544" spans="1:35" ht="14.25" customHeight="1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9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9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8"/>
      <c r="AI544" s="188"/>
    </row>
    <row r="545" spans="1:35" ht="14.25" customHeight="1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9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9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</row>
    <row r="546" spans="1:35" ht="14.25" customHeight="1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9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9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8"/>
      <c r="AI546" s="188"/>
    </row>
    <row r="547" spans="1:35" ht="14.25" customHeight="1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9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9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8"/>
      <c r="AI547" s="188"/>
    </row>
    <row r="548" spans="1:35" ht="14.25" customHeight="1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9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9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</row>
    <row r="549" spans="1:35" ht="14.25" customHeight="1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9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9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8"/>
      <c r="AI549" s="188"/>
    </row>
    <row r="550" spans="1:35" ht="14.25" customHeight="1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9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9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8"/>
      <c r="AI550" s="188"/>
    </row>
    <row r="551" spans="1:35" ht="14.25" customHeight="1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9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9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8"/>
      <c r="AI551" s="188"/>
    </row>
    <row r="552" spans="1:35" ht="14.25" customHeight="1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9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9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8"/>
      <c r="AI552" s="188"/>
    </row>
    <row r="553" spans="1:35" ht="14.25" customHeight="1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9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9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8"/>
      <c r="AI553" s="188"/>
    </row>
    <row r="554" spans="1:35" ht="14.25" customHeight="1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9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9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</row>
    <row r="555" spans="1:35" ht="14.25" customHeight="1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9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9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8"/>
      <c r="AI555" s="188"/>
    </row>
    <row r="556" spans="1:35" ht="14.25" customHeight="1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9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9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8"/>
      <c r="AI556" s="188"/>
    </row>
    <row r="557" spans="1:35" ht="14.25" customHeight="1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9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9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</row>
    <row r="558" spans="1:35" ht="14.25" customHeight="1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9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9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8"/>
      <c r="AI558" s="188"/>
    </row>
    <row r="559" spans="1:35" ht="14.25" customHeight="1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9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9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8"/>
      <c r="AI559" s="188"/>
    </row>
    <row r="560" spans="1:35" ht="14.25" customHeight="1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9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9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</row>
    <row r="561" spans="1:35" ht="14.25" customHeight="1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9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9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</row>
    <row r="562" spans="1:35" ht="14.25" customHeight="1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9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9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8"/>
      <c r="AI562" s="188"/>
    </row>
    <row r="563" spans="1:35" ht="14.25" customHeight="1">
      <c r="A563" s="188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9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9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</row>
    <row r="564" spans="1:35" ht="14.25" customHeight="1">
      <c r="A564" s="188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9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9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</row>
    <row r="565" spans="1:35" ht="14.25" customHeight="1">
      <c r="A565" s="188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9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9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</row>
    <row r="566" spans="1:35" ht="14.25" customHeight="1">
      <c r="A566" s="188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9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9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</row>
    <row r="567" spans="1:35" ht="14.25" customHeight="1">
      <c r="A567" s="188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9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9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8"/>
      <c r="AI567" s="188"/>
    </row>
    <row r="568" spans="1:35" ht="14.25" customHeight="1">
      <c r="A568" s="188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9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9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8"/>
      <c r="AI568" s="188"/>
    </row>
    <row r="569" spans="1:35" ht="14.25" customHeight="1">
      <c r="A569" s="188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9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9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8"/>
      <c r="AI569" s="188"/>
    </row>
    <row r="570" spans="1:35" ht="14.25" customHeight="1">
      <c r="A570" s="188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9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9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</row>
    <row r="571" spans="1:35" ht="14.25" customHeight="1">
      <c r="A571" s="188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9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9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</row>
    <row r="572" spans="1:35" ht="14.25" customHeight="1">
      <c r="A572" s="188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9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9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</row>
    <row r="573" spans="1:35" ht="14.25" customHeight="1">
      <c r="A573" s="188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9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9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8"/>
      <c r="AI573" s="188"/>
    </row>
    <row r="574" spans="1:35" ht="14.25" customHeight="1">
      <c r="A574" s="188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9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9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8"/>
      <c r="AI574" s="188"/>
    </row>
    <row r="575" spans="1:35" ht="14.25" customHeight="1">
      <c r="A575" s="188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9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9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</row>
    <row r="576" spans="1:35" ht="14.25" customHeight="1">
      <c r="A576" s="188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9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9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8"/>
      <c r="AI576" s="188"/>
    </row>
    <row r="577" spans="1:35" ht="14.25" customHeight="1">
      <c r="A577" s="188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9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9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</row>
    <row r="578" spans="1:35" ht="14.25" customHeight="1">
      <c r="A578" s="188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9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9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</row>
    <row r="579" spans="1:35" ht="14.25" customHeight="1">
      <c r="A579" s="188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9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9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</row>
    <row r="580" spans="1:35" ht="14.25" customHeight="1">
      <c r="A580" s="188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9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9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8"/>
      <c r="AI580" s="188"/>
    </row>
    <row r="581" spans="1:35" ht="14.25" customHeight="1">
      <c r="A581" s="188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9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9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</row>
    <row r="582" spans="1:35" ht="14.25" customHeight="1">
      <c r="A582" s="188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9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9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8"/>
      <c r="AI582" s="188"/>
    </row>
    <row r="583" spans="1:35" ht="14.25" customHeight="1">
      <c r="A583" s="188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9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9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</row>
    <row r="584" spans="1:35" ht="14.25" customHeight="1">
      <c r="A584" s="188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9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9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</row>
    <row r="585" spans="1:35" ht="14.25" customHeight="1">
      <c r="A585" s="188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9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9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</row>
    <row r="586" spans="1:35" ht="14.25" customHeight="1">
      <c r="A586" s="188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9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9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</row>
    <row r="587" spans="1:35" ht="14.25" customHeight="1">
      <c r="A587" s="188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9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9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8"/>
      <c r="AI587" s="188"/>
    </row>
    <row r="588" spans="1:35" ht="14.25" customHeight="1">
      <c r="A588" s="188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9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9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</row>
    <row r="589" spans="1:35" ht="14.25" customHeight="1">
      <c r="A589" s="188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9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9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</row>
    <row r="590" spans="1:35" ht="14.25" customHeight="1">
      <c r="A590" s="188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9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9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</row>
    <row r="591" spans="1:35" ht="14.25" customHeight="1">
      <c r="A591" s="188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9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9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</row>
    <row r="592" spans="1:35" ht="14.25" customHeight="1">
      <c r="A592" s="188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9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9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</row>
    <row r="593" spans="1:35" ht="14.25" customHeight="1">
      <c r="A593" s="188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9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9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</row>
    <row r="594" spans="1:35" ht="14.25" customHeight="1">
      <c r="A594" s="188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9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9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8"/>
      <c r="AI594" s="188"/>
    </row>
    <row r="595" spans="1:35" ht="14.25" customHeight="1">
      <c r="A595" s="188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9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9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</row>
    <row r="596" spans="1:35" ht="14.25" customHeight="1">
      <c r="A596" s="188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9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9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</row>
    <row r="597" spans="1:35" ht="14.25" customHeight="1">
      <c r="A597" s="188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9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9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</row>
    <row r="598" spans="1:35" ht="14.25" customHeight="1">
      <c r="A598" s="188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9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9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</row>
    <row r="599" spans="1:35" ht="14.25" customHeight="1">
      <c r="A599" s="188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9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9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</row>
    <row r="600" spans="1:35" ht="14.25" customHeight="1">
      <c r="A600" s="188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9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9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8"/>
      <c r="AI600" s="188"/>
    </row>
    <row r="601" spans="1:35" ht="14.25" customHeight="1">
      <c r="A601" s="188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9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9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</row>
    <row r="602" spans="1:35" ht="14.25" customHeight="1">
      <c r="A602" s="188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9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9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</row>
    <row r="603" spans="1:35" ht="14.25" customHeight="1">
      <c r="A603" s="188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9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9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</row>
    <row r="604" spans="1:35" ht="14.25" customHeight="1">
      <c r="A604" s="188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9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9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8"/>
      <c r="AI604" s="188"/>
    </row>
    <row r="605" spans="1:35" ht="14.25" customHeight="1">
      <c r="A605" s="188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9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9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</row>
    <row r="606" spans="1:35" ht="14.25" customHeight="1">
      <c r="A606" s="188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9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9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</row>
    <row r="607" spans="1:35" ht="14.25" customHeight="1">
      <c r="A607" s="188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9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9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</row>
    <row r="608" spans="1:35" ht="14.25" customHeight="1">
      <c r="A608" s="188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9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9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8"/>
      <c r="AI608" s="188"/>
    </row>
    <row r="609" spans="1:35" ht="14.25" customHeight="1">
      <c r="A609" s="188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9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9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8"/>
      <c r="AI609" s="188"/>
    </row>
    <row r="610" spans="1:35" ht="14.25" customHeight="1">
      <c r="A610" s="188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9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9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</row>
    <row r="611" spans="1:35" ht="14.25" customHeight="1">
      <c r="A611" s="188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9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9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8"/>
      <c r="AI611" s="188"/>
    </row>
    <row r="612" spans="1:35" ht="14.25" customHeight="1">
      <c r="A612" s="188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9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9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8"/>
      <c r="AI612" s="188"/>
    </row>
    <row r="613" spans="1:35" ht="14.25" customHeight="1">
      <c r="A613" s="188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9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9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8"/>
      <c r="AI613" s="188"/>
    </row>
    <row r="614" spans="1:35" ht="14.25" customHeight="1">
      <c r="A614" s="188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9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9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8"/>
      <c r="AI614" s="188"/>
    </row>
    <row r="615" spans="1:35" ht="14.25" customHeight="1">
      <c r="A615" s="188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9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9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8"/>
      <c r="AI615" s="188"/>
    </row>
    <row r="616" spans="1:35" ht="14.25" customHeight="1">
      <c r="A616" s="188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9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9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8"/>
      <c r="AI616" s="188"/>
    </row>
    <row r="617" spans="1:35" ht="14.25" customHeight="1">
      <c r="A617" s="188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9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9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</row>
    <row r="618" spans="1:35" ht="14.25" customHeight="1">
      <c r="A618" s="188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9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9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8"/>
      <c r="AI618" s="188"/>
    </row>
    <row r="619" spans="1:35" ht="14.25" customHeight="1">
      <c r="A619" s="188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9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9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8"/>
      <c r="AI619" s="188"/>
    </row>
    <row r="620" spans="1:35" ht="14.25" customHeight="1">
      <c r="A620" s="188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9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9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8"/>
      <c r="AI620" s="188"/>
    </row>
    <row r="621" spans="1:35" ht="14.25" customHeight="1">
      <c r="A621" s="188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9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9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8"/>
      <c r="AI621" s="188"/>
    </row>
    <row r="622" spans="1:35" ht="14.25" customHeight="1">
      <c r="A622" s="188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9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9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</row>
    <row r="623" spans="1:35" ht="14.25" customHeight="1">
      <c r="A623" s="188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9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9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</row>
    <row r="624" spans="1:35" ht="14.25" customHeight="1">
      <c r="A624" s="188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9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9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</row>
    <row r="625" spans="1:35" ht="14.25" customHeight="1">
      <c r="A625" s="188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9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9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</row>
    <row r="626" spans="1:35" ht="14.25" customHeight="1">
      <c r="A626" s="188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9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9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8"/>
      <c r="AI626" s="188"/>
    </row>
    <row r="627" spans="1:35" ht="14.25" customHeight="1">
      <c r="A627" s="188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9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9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8"/>
      <c r="AI627" s="188"/>
    </row>
    <row r="628" spans="1:35" ht="14.25" customHeight="1">
      <c r="A628" s="188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9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9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8"/>
      <c r="AI628" s="188"/>
    </row>
    <row r="629" spans="1:35" ht="14.25" customHeight="1">
      <c r="A629" s="188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9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9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</row>
    <row r="630" spans="1:35" ht="14.25" customHeight="1">
      <c r="A630" s="188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9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9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</row>
    <row r="631" spans="1:35" ht="14.25" customHeight="1">
      <c r="A631" s="188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9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9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8"/>
      <c r="AI631" s="188"/>
    </row>
    <row r="632" spans="1:35" ht="14.25" customHeight="1">
      <c r="A632" s="188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9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9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8"/>
      <c r="AI632" s="188"/>
    </row>
    <row r="633" spans="1:35" ht="14.25" customHeight="1">
      <c r="A633" s="188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9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9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8"/>
      <c r="AI633" s="188"/>
    </row>
    <row r="634" spans="1:35" ht="14.25" customHeight="1">
      <c r="A634" s="188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9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9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</row>
    <row r="635" spans="1:35" ht="14.25" customHeight="1">
      <c r="A635" s="188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9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9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</row>
    <row r="636" spans="1:35" ht="14.25" customHeight="1">
      <c r="A636" s="188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9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9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8"/>
      <c r="AI636" s="188"/>
    </row>
    <row r="637" spans="1:35" ht="14.25" customHeight="1">
      <c r="A637" s="188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9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9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8"/>
      <c r="AI637" s="188"/>
    </row>
    <row r="638" spans="1:35" ht="14.25" customHeight="1">
      <c r="A638" s="188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9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9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</row>
    <row r="639" spans="1:35" ht="14.25" customHeight="1">
      <c r="A639" s="188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9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9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8"/>
      <c r="AI639" s="188"/>
    </row>
    <row r="640" spans="1:35" ht="14.25" customHeight="1">
      <c r="A640" s="188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9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9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</row>
    <row r="641" spans="1:35" ht="14.25" customHeight="1">
      <c r="A641" s="188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9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9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8"/>
      <c r="AI641" s="188"/>
    </row>
    <row r="642" spans="1:35" ht="14.25" customHeight="1">
      <c r="A642" s="188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9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9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8"/>
      <c r="AI642" s="188"/>
    </row>
    <row r="643" spans="1:35" ht="14.25" customHeight="1">
      <c r="A643" s="188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9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9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8"/>
      <c r="AI643" s="188"/>
    </row>
    <row r="644" spans="1:35" ht="14.25" customHeight="1">
      <c r="A644" s="188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9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9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8"/>
      <c r="AI644" s="188"/>
    </row>
    <row r="645" spans="1:35" ht="14.25" customHeight="1">
      <c r="A645" s="188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9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9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</row>
    <row r="646" spans="1:35" ht="14.25" customHeight="1">
      <c r="A646" s="188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9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9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</row>
    <row r="647" spans="1:35" ht="14.25" customHeight="1">
      <c r="A647" s="188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9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9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</row>
    <row r="648" spans="1:35" ht="14.25" customHeight="1">
      <c r="A648" s="188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9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9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</row>
    <row r="649" spans="1:35" ht="14.25" customHeight="1">
      <c r="A649" s="188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9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9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</row>
    <row r="650" spans="1:35" ht="14.25" customHeight="1">
      <c r="A650" s="188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9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9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8"/>
      <c r="AI650" s="188"/>
    </row>
    <row r="651" spans="1:35" ht="14.25" customHeight="1">
      <c r="A651" s="188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9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9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8"/>
      <c r="AI651" s="188"/>
    </row>
    <row r="652" spans="1:35" ht="14.25" customHeight="1">
      <c r="A652" s="188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9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9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8"/>
      <c r="AI652" s="188"/>
    </row>
    <row r="653" spans="1:35" ht="14.25" customHeight="1">
      <c r="A653" s="188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9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9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8"/>
      <c r="AI653" s="188"/>
    </row>
    <row r="654" spans="1:35" ht="14.25" customHeight="1">
      <c r="A654" s="188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9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9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</row>
    <row r="655" spans="1:35" ht="14.25" customHeight="1">
      <c r="A655" s="188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9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9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</row>
    <row r="656" spans="1:35" ht="14.25" customHeight="1">
      <c r="A656" s="188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9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9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</row>
    <row r="657" spans="1:35" ht="14.25" customHeight="1">
      <c r="A657" s="188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9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9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8"/>
      <c r="AI657" s="188"/>
    </row>
    <row r="658" spans="1:35" ht="14.25" customHeight="1">
      <c r="A658" s="188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9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9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8"/>
      <c r="AI658" s="188"/>
    </row>
    <row r="659" spans="1:35" ht="14.25" customHeight="1">
      <c r="A659" s="188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9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9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</row>
    <row r="660" spans="1:35" ht="14.25" customHeight="1">
      <c r="A660" s="188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9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9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</row>
    <row r="661" spans="1:35" ht="14.25" customHeight="1">
      <c r="A661" s="188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9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9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8"/>
      <c r="AI661" s="188"/>
    </row>
    <row r="662" spans="1:35" ht="14.25" customHeight="1">
      <c r="A662" s="188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9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9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</row>
    <row r="663" spans="1:35" ht="14.25" customHeight="1">
      <c r="A663" s="188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9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9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8"/>
      <c r="AI663" s="188"/>
    </row>
    <row r="664" spans="1:35" ht="14.25" customHeight="1">
      <c r="A664" s="188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9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9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8"/>
      <c r="AI664" s="188"/>
    </row>
    <row r="665" spans="1:35" ht="14.25" customHeight="1">
      <c r="A665" s="188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9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9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8"/>
      <c r="AI665" s="188"/>
    </row>
    <row r="666" spans="1:35" ht="14.25" customHeight="1">
      <c r="A666" s="188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9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9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8"/>
      <c r="AI666" s="188"/>
    </row>
    <row r="667" spans="1:35" ht="14.25" customHeight="1">
      <c r="A667" s="188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9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9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8"/>
      <c r="AI667" s="188"/>
    </row>
    <row r="668" spans="1:35" ht="14.25" customHeight="1">
      <c r="A668" s="188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9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9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8"/>
      <c r="AI668" s="188"/>
    </row>
    <row r="669" spans="1:35" ht="14.25" customHeight="1">
      <c r="A669" s="188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9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9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8"/>
      <c r="AI669" s="188"/>
    </row>
    <row r="670" spans="1:35" ht="14.25" customHeight="1">
      <c r="A670" s="188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9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9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</row>
    <row r="671" spans="1:35" ht="14.25" customHeight="1">
      <c r="A671" s="188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9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9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</row>
    <row r="672" spans="1:35" ht="14.25" customHeight="1">
      <c r="A672" s="188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9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9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</row>
    <row r="673" spans="1:35" ht="14.25" customHeight="1">
      <c r="A673" s="188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9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9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8"/>
      <c r="AI673" s="188"/>
    </row>
    <row r="674" spans="1:35" ht="14.25" customHeight="1">
      <c r="A674" s="188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9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9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</row>
    <row r="675" spans="1:35" ht="14.25" customHeight="1">
      <c r="A675" s="188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9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9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</row>
    <row r="676" spans="1:35" ht="14.25" customHeight="1">
      <c r="A676" s="188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9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9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</row>
    <row r="677" spans="1:35" ht="14.25" customHeight="1">
      <c r="A677" s="188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9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9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8"/>
      <c r="AI677" s="188"/>
    </row>
    <row r="678" spans="1:35" ht="14.25" customHeight="1">
      <c r="A678" s="188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9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9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8"/>
      <c r="AI678" s="188"/>
    </row>
    <row r="679" spans="1:35" ht="14.25" customHeight="1">
      <c r="A679" s="188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9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9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</row>
    <row r="680" spans="1:35" ht="14.25" customHeight="1">
      <c r="A680" s="188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9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9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8"/>
      <c r="AI680" s="188"/>
    </row>
    <row r="681" spans="1:35" ht="14.25" customHeight="1">
      <c r="A681" s="188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9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9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8"/>
      <c r="AI681" s="188"/>
    </row>
    <row r="682" spans="1:35" ht="14.25" customHeight="1">
      <c r="A682" s="188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9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9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</row>
    <row r="683" spans="1:35" ht="14.25" customHeight="1">
      <c r="A683" s="188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9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9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</row>
    <row r="684" spans="1:35" ht="14.25" customHeight="1">
      <c r="A684" s="188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9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9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8"/>
      <c r="AI684" s="188"/>
    </row>
    <row r="685" spans="1:35" ht="14.25" customHeight="1">
      <c r="A685" s="188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9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9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8"/>
      <c r="AI685" s="188"/>
    </row>
    <row r="686" spans="1:35" ht="14.25" customHeight="1">
      <c r="A686" s="188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9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9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</row>
    <row r="687" spans="1:35" ht="14.25" customHeight="1">
      <c r="A687" s="188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9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9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</row>
    <row r="688" spans="1:35" ht="14.25" customHeight="1">
      <c r="A688" s="188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9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9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8"/>
      <c r="AI688" s="188"/>
    </row>
    <row r="689" spans="1:35" ht="14.25" customHeight="1">
      <c r="A689" s="188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9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9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8"/>
      <c r="AI689" s="188"/>
    </row>
    <row r="690" spans="1:35" ht="14.25" customHeight="1">
      <c r="A690" s="188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9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9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8"/>
      <c r="AI690" s="188"/>
    </row>
    <row r="691" spans="1:35" ht="14.25" customHeight="1">
      <c r="A691" s="188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9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9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8"/>
      <c r="AI691" s="188"/>
    </row>
    <row r="692" spans="1:35" ht="14.25" customHeight="1">
      <c r="A692" s="188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9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9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8"/>
      <c r="AI692" s="188"/>
    </row>
    <row r="693" spans="1:35" ht="14.25" customHeight="1">
      <c r="A693" s="188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9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9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8"/>
      <c r="AI693" s="188"/>
    </row>
    <row r="694" spans="1:35" ht="14.25" customHeight="1">
      <c r="A694" s="188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9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9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8"/>
      <c r="AI694" s="188"/>
    </row>
    <row r="695" spans="1:35" ht="14.25" customHeight="1">
      <c r="A695" s="188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9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9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8"/>
      <c r="AI695" s="188"/>
    </row>
    <row r="696" spans="1:35" ht="14.25" customHeight="1">
      <c r="A696" s="188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9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9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</row>
    <row r="697" spans="1:35" ht="14.25" customHeight="1">
      <c r="A697" s="188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9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9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</row>
    <row r="698" spans="1:35" ht="14.25" customHeight="1">
      <c r="A698" s="188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9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9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8"/>
      <c r="AI698" s="188"/>
    </row>
    <row r="699" spans="1:35" ht="14.25" customHeight="1">
      <c r="A699" s="188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9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9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8"/>
      <c r="AI699" s="188"/>
    </row>
    <row r="700" spans="1:35" ht="14.25" customHeight="1">
      <c r="A700" s="188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9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9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</row>
    <row r="701" spans="1:35" ht="14.25" customHeight="1">
      <c r="A701" s="188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9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9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8"/>
      <c r="AI701" s="188"/>
    </row>
    <row r="702" spans="1:35" ht="14.25" customHeight="1">
      <c r="A702" s="188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9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9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8"/>
      <c r="AI702" s="188"/>
    </row>
    <row r="703" spans="1:35" ht="14.25" customHeight="1">
      <c r="A703" s="188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9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9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8"/>
      <c r="AI703" s="188"/>
    </row>
    <row r="704" spans="1:35" ht="14.25" customHeight="1">
      <c r="A704" s="188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9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9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</row>
    <row r="705" spans="1:35" ht="14.25" customHeight="1">
      <c r="A705" s="188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9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9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8"/>
      <c r="AI705" s="188"/>
    </row>
    <row r="706" spans="1:35" ht="14.25" customHeight="1">
      <c r="A706" s="188"/>
      <c r="B706" s="188"/>
      <c r="C706" s="188"/>
      <c r="D706" s="188"/>
      <c r="E706" s="188"/>
      <c r="F706" s="188"/>
      <c r="G706" s="188"/>
      <c r="H706" s="188"/>
      <c r="I706" s="188"/>
      <c r="J706" s="188"/>
      <c r="K706" s="188"/>
      <c r="L706" s="189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9"/>
      <c r="Y706" s="188"/>
      <c r="Z706" s="188"/>
      <c r="AA706" s="188"/>
      <c r="AB706" s="188"/>
      <c r="AC706" s="188"/>
      <c r="AD706" s="188"/>
      <c r="AE706" s="188"/>
      <c r="AF706" s="188"/>
      <c r="AG706" s="188"/>
      <c r="AH706" s="188"/>
      <c r="AI706" s="188"/>
    </row>
    <row r="707" spans="1:35" ht="14.25" customHeight="1">
      <c r="A707" s="188"/>
      <c r="B707" s="188"/>
      <c r="C707" s="188"/>
      <c r="D707" s="188"/>
      <c r="E707" s="188"/>
      <c r="F707" s="188"/>
      <c r="G707" s="188"/>
      <c r="H707" s="188"/>
      <c r="I707" s="188"/>
      <c r="J707" s="188"/>
      <c r="K707" s="188"/>
      <c r="L707" s="189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9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</row>
    <row r="708" spans="1:35" ht="14.25" customHeight="1">
      <c r="A708" s="188"/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89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9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</row>
    <row r="709" spans="1:35" ht="14.25" customHeight="1">
      <c r="A709" s="188"/>
      <c r="B709" s="188"/>
      <c r="C709" s="188"/>
      <c r="D709" s="188"/>
      <c r="E709" s="188"/>
      <c r="F709" s="188"/>
      <c r="G709" s="188"/>
      <c r="H709" s="188"/>
      <c r="I709" s="188"/>
      <c r="J709" s="188"/>
      <c r="K709" s="188"/>
      <c r="L709" s="189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9"/>
      <c r="Y709" s="188"/>
      <c r="Z709" s="188"/>
      <c r="AA709" s="188"/>
      <c r="AB709" s="188"/>
      <c r="AC709" s="188"/>
      <c r="AD709" s="188"/>
      <c r="AE709" s="188"/>
      <c r="AF709" s="188"/>
      <c r="AG709" s="188"/>
      <c r="AH709" s="188"/>
      <c r="AI709" s="188"/>
    </row>
    <row r="710" spans="1:35" ht="14.25" customHeight="1">
      <c r="A710" s="188"/>
      <c r="B710" s="188"/>
      <c r="C710" s="188"/>
      <c r="D710" s="188"/>
      <c r="E710" s="188"/>
      <c r="F710" s="188"/>
      <c r="G710" s="188"/>
      <c r="H710" s="188"/>
      <c r="I710" s="188"/>
      <c r="J710" s="188"/>
      <c r="K710" s="188"/>
      <c r="L710" s="189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9"/>
      <c r="Y710" s="188"/>
      <c r="Z710" s="188"/>
      <c r="AA710" s="188"/>
      <c r="AB710" s="188"/>
      <c r="AC710" s="188"/>
      <c r="AD710" s="188"/>
      <c r="AE710" s="188"/>
      <c r="AF710" s="188"/>
      <c r="AG710" s="188"/>
      <c r="AH710" s="188"/>
      <c r="AI710" s="188"/>
    </row>
    <row r="711" spans="1:35" ht="14.25" customHeight="1">
      <c r="A711" s="188"/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89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9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</row>
    <row r="712" spans="1:35" ht="14.25" customHeight="1">
      <c r="A712" s="188"/>
      <c r="B712" s="188"/>
      <c r="C712" s="188"/>
      <c r="D712" s="188"/>
      <c r="E712" s="188"/>
      <c r="F712" s="188"/>
      <c r="G712" s="188"/>
      <c r="H712" s="188"/>
      <c r="I712" s="188"/>
      <c r="J712" s="188"/>
      <c r="K712" s="188"/>
      <c r="L712" s="189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9"/>
      <c r="Y712" s="188"/>
      <c r="Z712" s="188"/>
      <c r="AA712" s="188"/>
      <c r="AB712" s="188"/>
      <c r="AC712" s="188"/>
      <c r="AD712" s="188"/>
      <c r="AE712" s="188"/>
      <c r="AF712" s="188"/>
      <c r="AG712" s="188"/>
      <c r="AH712" s="188"/>
      <c r="AI712" s="188"/>
    </row>
    <row r="713" spans="1:35" ht="14.25" customHeight="1">
      <c r="A713" s="188"/>
      <c r="B713" s="188"/>
      <c r="C713" s="188"/>
      <c r="D713" s="188"/>
      <c r="E713" s="188"/>
      <c r="F713" s="188"/>
      <c r="G713" s="188"/>
      <c r="H713" s="188"/>
      <c r="I713" s="188"/>
      <c r="J713" s="188"/>
      <c r="K713" s="188"/>
      <c r="L713" s="189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9"/>
      <c r="Y713" s="188"/>
      <c r="Z713" s="188"/>
      <c r="AA713" s="188"/>
      <c r="AB713" s="188"/>
      <c r="AC713" s="188"/>
      <c r="AD713" s="188"/>
      <c r="AE713" s="188"/>
      <c r="AF713" s="188"/>
      <c r="AG713" s="188"/>
      <c r="AH713" s="188"/>
      <c r="AI713" s="188"/>
    </row>
    <row r="714" spans="1:35" ht="14.25" customHeight="1">
      <c r="A714" s="188"/>
      <c r="B714" s="188"/>
      <c r="C714" s="188"/>
      <c r="D714" s="188"/>
      <c r="E714" s="188"/>
      <c r="F714" s="188"/>
      <c r="G714" s="188"/>
      <c r="H714" s="188"/>
      <c r="I714" s="188"/>
      <c r="J714" s="188"/>
      <c r="K714" s="188"/>
      <c r="L714" s="189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9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</row>
    <row r="715" spans="1:35" ht="14.25" customHeight="1">
      <c r="A715" s="188"/>
      <c r="B715" s="188"/>
      <c r="C715" s="188"/>
      <c r="D715" s="188"/>
      <c r="E715" s="188"/>
      <c r="F715" s="188"/>
      <c r="G715" s="188"/>
      <c r="H715" s="188"/>
      <c r="I715" s="188"/>
      <c r="J715" s="188"/>
      <c r="K715" s="188"/>
      <c r="L715" s="189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9"/>
      <c r="Y715" s="188"/>
      <c r="Z715" s="188"/>
      <c r="AA715" s="188"/>
      <c r="AB715" s="188"/>
      <c r="AC715" s="188"/>
      <c r="AD715" s="188"/>
      <c r="AE715" s="188"/>
      <c r="AF715" s="188"/>
      <c r="AG715" s="188"/>
      <c r="AH715" s="188"/>
      <c r="AI715" s="188"/>
    </row>
    <row r="716" spans="1:35" ht="14.25" customHeight="1">
      <c r="A716" s="188"/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89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9"/>
      <c r="Y716" s="188"/>
      <c r="Z716" s="188"/>
      <c r="AA716" s="188"/>
      <c r="AB716" s="188"/>
      <c r="AC716" s="188"/>
      <c r="AD716" s="188"/>
      <c r="AE716" s="188"/>
      <c r="AF716" s="188"/>
      <c r="AG716" s="188"/>
      <c r="AH716" s="188"/>
      <c r="AI716" s="188"/>
    </row>
    <row r="717" spans="1:35" ht="14.25" customHeight="1">
      <c r="A717" s="188"/>
      <c r="B717" s="188"/>
      <c r="C717" s="188"/>
      <c r="D717" s="188"/>
      <c r="E717" s="188"/>
      <c r="F717" s="188"/>
      <c r="G717" s="188"/>
      <c r="H717" s="188"/>
      <c r="I717" s="188"/>
      <c r="J717" s="188"/>
      <c r="K717" s="188"/>
      <c r="L717" s="189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9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</row>
    <row r="718" spans="1:35" ht="14.25" customHeight="1">
      <c r="A718" s="188"/>
      <c r="B718" s="188"/>
      <c r="C718" s="188"/>
      <c r="D718" s="188"/>
      <c r="E718" s="188"/>
      <c r="F718" s="188"/>
      <c r="G718" s="188"/>
      <c r="H718" s="188"/>
      <c r="I718" s="188"/>
      <c r="J718" s="188"/>
      <c r="K718" s="188"/>
      <c r="L718" s="189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9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</row>
    <row r="719" spans="1:35" ht="14.25" customHeight="1">
      <c r="A719" s="188"/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89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9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</row>
    <row r="720" spans="1:35" ht="14.25" customHeight="1">
      <c r="A720" s="188"/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89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9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</row>
    <row r="721" spans="1:35" ht="14.25" customHeight="1">
      <c r="A721" s="188"/>
      <c r="B721" s="188"/>
      <c r="C721" s="188"/>
      <c r="D721" s="188"/>
      <c r="E721" s="188"/>
      <c r="F721" s="188"/>
      <c r="G721" s="188"/>
      <c r="H721" s="188"/>
      <c r="I721" s="188"/>
      <c r="J721" s="188"/>
      <c r="K721" s="188"/>
      <c r="L721" s="189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9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</row>
    <row r="722" spans="1:35" ht="14.25" customHeight="1">
      <c r="A722" s="188"/>
      <c r="B722" s="188"/>
      <c r="C722" s="188"/>
      <c r="D722" s="188"/>
      <c r="E722" s="188"/>
      <c r="F722" s="188"/>
      <c r="G722" s="188"/>
      <c r="H722" s="188"/>
      <c r="I722" s="188"/>
      <c r="J722" s="188"/>
      <c r="K722" s="188"/>
      <c r="L722" s="189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9"/>
      <c r="Y722" s="188"/>
      <c r="Z722" s="188"/>
      <c r="AA722" s="188"/>
      <c r="AB722" s="188"/>
      <c r="AC722" s="188"/>
      <c r="AD722" s="188"/>
      <c r="AE722" s="188"/>
      <c r="AF722" s="188"/>
      <c r="AG722" s="188"/>
      <c r="AH722" s="188"/>
      <c r="AI722" s="188"/>
    </row>
    <row r="723" spans="1:35" ht="14.25" customHeight="1">
      <c r="A723" s="188"/>
      <c r="B723" s="188"/>
      <c r="C723" s="188"/>
      <c r="D723" s="188"/>
      <c r="E723" s="188"/>
      <c r="F723" s="188"/>
      <c r="G723" s="188"/>
      <c r="H723" s="188"/>
      <c r="I723" s="188"/>
      <c r="J723" s="188"/>
      <c r="K723" s="188"/>
      <c r="L723" s="189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9"/>
      <c r="Y723" s="188"/>
      <c r="Z723" s="188"/>
      <c r="AA723" s="188"/>
      <c r="AB723" s="188"/>
      <c r="AC723" s="188"/>
      <c r="AD723" s="188"/>
      <c r="AE723" s="188"/>
      <c r="AF723" s="188"/>
      <c r="AG723" s="188"/>
      <c r="AH723" s="188"/>
      <c r="AI723" s="188"/>
    </row>
    <row r="724" spans="1:35" ht="14.25" customHeight="1">
      <c r="A724" s="188"/>
      <c r="B724" s="188"/>
      <c r="C724" s="188"/>
      <c r="D724" s="188"/>
      <c r="E724" s="188"/>
      <c r="F724" s="188"/>
      <c r="G724" s="188"/>
      <c r="H724" s="188"/>
      <c r="I724" s="188"/>
      <c r="J724" s="188"/>
      <c r="K724" s="188"/>
      <c r="L724" s="189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9"/>
      <c r="Y724" s="188"/>
      <c r="Z724" s="188"/>
      <c r="AA724" s="188"/>
      <c r="AB724" s="188"/>
      <c r="AC724" s="188"/>
      <c r="AD724" s="188"/>
      <c r="AE724" s="188"/>
      <c r="AF724" s="188"/>
      <c r="AG724" s="188"/>
      <c r="AH724" s="188"/>
      <c r="AI724" s="188"/>
    </row>
    <row r="725" spans="1:35" ht="14.25" customHeight="1">
      <c r="A725" s="188"/>
      <c r="B725" s="188"/>
      <c r="C725" s="188"/>
      <c r="D725" s="188"/>
      <c r="E725" s="188"/>
      <c r="F725" s="188"/>
      <c r="G725" s="188"/>
      <c r="H725" s="188"/>
      <c r="I725" s="188"/>
      <c r="J725" s="188"/>
      <c r="K725" s="188"/>
      <c r="L725" s="189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9"/>
      <c r="Y725" s="188"/>
      <c r="Z725" s="188"/>
      <c r="AA725" s="188"/>
      <c r="AB725" s="188"/>
      <c r="AC725" s="188"/>
      <c r="AD725" s="188"/>
      <c r="AE725" s="188"/>
      <c r="AF725" s="188"/>
      <c r="AG725" s="188"/>
      <c r="AH725" s="188"/>
      <c r="AI725" s="188"/>
    </row>
    <row r="726" spans="1:35" ht="14.25" customHeight="1">
      <c r="A726" s="188"/>
      <c r="B726" s="188"/>
      <c r="C726" s="188"/>
      <c r="D726" s="188"/>
      <c r="E726" s="188"/>
      <c r="F726" s="188"/>
      <c r="G726" s="188"/>
      <c r="H726" s="188"/>
      <c r="I726" s="188"/>
      <c r="J726" s="188"/>
      <c r="K726" s="188"/>
      <c r="L726" s="189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9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</row>
    <row r="727" spans="1:35" ht="14.25" customHeight="1">
      <c r="A727" s="188"/>
      <c r="B727" s="188"/>
      <c r="C727" s="188"/>
      <c r="D727" s="188"/>
      <c r="E727" s="188"/>
      <c r="F727" s="188"/>
      <c r="G727" s="188"/>
      <c r="H727" s="188"/>
      <c r="I727" s="188"/>
      <c r="J727" s="188"/>
      <c r="K727" s="188"/>
      <c r="L727" s="189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9"/>
      <c r="Y727" s="188"/>
      <c r="Z727" s="188"/>
      <c r="AA727" s="188"/>
      <c r="AB727" s="188"/>
      <c r="AC727" s="188"/>
      <c r="AD727" s="188"/>
      <c r="AE727" s="188"/>
      <c r="AF727" s="188"/>
      <c r="AG727" s="188"/>
      <c r="AH727" s="188"/>
      <c r="AI727" s="188"/>
    </row>
    <row r="728" spans="1:35" ht="14.25" customHeight="1">
      <c r="A728" s="188"/>
      <c r="B728" s="188"/>
      <c r="C728" s="188"/>
      <c r="D728" s="188"/>
      <c r="E728" s="188"/>
      <c r="F728" s="188"/>
      <c r="G728" s="188"/>
      <c r="H728" s="188"/>
      <c r="I728" s="188"/>
      <c r="J728" s="188"/>
      <c r="K728" s="188"/>
      <c r="L728" s="189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9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</row>
    <row r="729" spans="1:35" ht="14.25" customHeight="1">
      <c r="A729" s="188"/>
      <c r="B729" s="188"/>
      <c r="C729" s="188"/>
      <c r="D729" s="188"/>
      <c r="E729" s="188"/>
      <c r="F729" s="188"/>
      <c r="G729" s="188"/>
      <c r="H729" s="188"/>
      <c r="I729" s="188"/>
      <c r="J729" s="188"/>
      <c r="K729" s="188"/>
      <c r="L729" s="189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9"/>
      <c r="Y729" s="188"/>
      <c r="Z729" s="188"/>
      <c r="AA729" s="188"/>
      <c r="AB729" s="188"/>
      <c r="AC729" s="188"/>
      <c r="AD729" s="188"/>
      <c r="AE729" s="188"/>
      <c r="AF729" s="188"/>
      <c r="AG729" s="188"/>
      <c r="AH729" s="188"/>
      <c r="AI729" s="188"/>
    </row>
    <row r="730" spans="1:35" ht="14.25" customHeight="1">
      <c r="A730" s="188"/>
      <c r="B730" s="188"/>
      <c r="C730" s="188"/>
      <c r="D730" s="188"/>
      <c r="E730" s="188"/>
      <c r="F730" s="188"/>
      <c r="G730" s="188"/>
      <c r="H730" s="188"/>
      <c r="I730" s="188"/>
      <c r="J730" s="188"/>
      <c r="K730" s="188"/>
      <c r="L730" s="189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9"/>
      <c r="Y730" s="188"/>
      <c r="Z730" s="188"/>
      <c r="AA730" s="188"/>
      <c r="AB730" s="188"/>
      <c r="AC730" s="188"/>
      <c r="AD730" s="188"/>
      <c r="AE730" s="188"/>
      <c r="AF730" s="188"/>
      <c r="AG730" s="188"/>
      <c r="AH730" s="188"/>
      <c r="AI730" s="188"/>
    </row>
    <row r="731" spans="1:35" ht="14.25" customHeight="1">
      <c r="A731" s="188"/>
      <c r="B731" s="188"/>
      <c r="C731" s="188"/>
      <c r="D731" s="188"/>
      <c r="E731" s="188"/>
      <c r="F731" s="188"/>
      <c r="G731" s="188"/>
      <c r="H731" s="188"/>
      <c r="I731" s="188"/>
      <c r="J731" s="188"/>
      <c r="K731" s="188"/>
      <c r="L731" s="189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9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</row>
    <row r="732" spans="1:35" ht="14.25" customHeight="1">
      <c r="A732" s="188"/>
      <c r="B732" s="188"/>
      <c r="C732" s="188"/>
      <c r="D732" s="188"/>
      <c r="E732" s="188"/>
      <c r="F732" s="188"/>
      <c r="G732" s="188"/>
      <c r="H732" s="188"/>
      <c r="I732" s="188"/>
      <c r="J732" s="188"/>
      <c r="K732" s="188"/>
      <c r="L732" s="189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9"/>
      <c r="Y732" s="188"/>
      <c r="Z732" s="188"/>
      <c r="AA732" s="188"/>
      <c r="AB732" s="188"/>
      <c r="AC732" s="188"/>
      <c r="AD732" s="188"/>
      <c r="AE732" s="188"/>
      <c r="AF732" s="188"/>
      <c r="AG732" s="188"/>
      <c r="AH732" s="188"/>
      <c r="AI732" s="188"/>
    </row>
    <row r="733" spans="1:35" ht="14.25" customHeight="1">
      <c r="A733" s="188"/>
      <c r="B733" s="188"/>
      <c r="C733" s="188"/>
      <c r="D733" s="188"/>
      <c r="E733" s="188"/>
      <c r="F733" s="188"/>
      <c r="G733" s="188"/>
      <c r="H733" s="188"/>
      <c r="I733" s="188"/>
      <c r="J733" s="188"/>
      <c r="K733" s="188"/>
      <c r="L733" s="189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9"/>
      <c r="Y733" s="188"/>
      <c r="Z733" s="188"/>
      <c r="AA733" s="188"/>
      <c r="AB733" s="188"/>
      <c r="AC733" s="188"/>
      <c r="AD733" s="188"/>
      <c r="AE733" s="188"/>
      <c r="AF733" s="188"/>
      <c r="AG733" s="188"/>
      <c r="AH733" s="188"/>
      <c r="AI733" s="188"/>
    </row>
    <row r="734" spans="1:35" ht="14.25" customHeight="1">
      <c r="A734" s="188"/>
      <c r="B734" s="188"/>
      <c r="C734" s="188"/>
      <c r="D734" s="188"/>
      <c r="E734" s="188"/>
      <c r="F734" s="188"/>
      <c r="G734" s="188"/>
      <c r="H734" s="188"/>
      <c r="I734" s="188"/>
      <c r="J734" s="188"/>
      <c r="K734" s="188"/>
      <c r="L734" s="189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9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</row>
    <row r="735" spans="1:35" ht="14.25" customHeight="1">
      <c r="A735" s="188"/>
      <c r="B735" s="188"/>
      <c r="C735" s="188"/>
      <c r="D735" s="188"/>
      <c r="E735" s="188"/>
      <c r="F735" s="188"/>
      <c r="G735" s="188"/>
      <c r="H735" s="188"/>
      <c r="I735" s="188"/>
      <c r="J735" s="188"/>
      <c r="K735" s="188"/>
      <c r="L735" s="189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9"/>
      <c r="Y735" s="188"/>
      <c r="Z735" s="188"/>
      <c r="AA735" s="188"/>
      <c r="AB735" s="188"/>
      <c r="AC735" s="188"/>
      <c r="AD735" s="188"/>
      <c r="AE735" s="188"/>
      <c r="AF735" s="188"/>
      <c r="AG735" s="188"/>
      <c r="AH735" s="188"/>
      <c r="AI735" s="188"/>
    </row>
    <row r="736" spans="1:35" ht="14.25" customHeight="1">
      <c r="A736" s="188"/>
      <c r="B736" s="188"/>
      <c r="C736" s="188"/>
      <c r="D736" s="188"/>
      <c r="E736" s="188"/>
      <c r="F736" s="188"/>
      <c r="G736" s="188"/>
      <c r="H736" s="188"/>
      <c r="I736" s="188"/>
      <c r="J736" s="188"/>
      <c r="K736" s="188"/>
      <c r="L736" s="189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9"/>
      <c r="Y736" s="188"/>
      <c r="Z736" s="188"/>
      <c r="AA736" s="188"/>
      <c r="AB736" s="188"/>
      <c r="AC736" s="188"/>
      <c r="AD736" s="188"/>
      <c r="AE736" s="188"/>
      <c r="AF736" s="188"/>
      <c r="AG736" s="188"/>
      <c r="AH736" s="188"/>
      <c r="AI736" s="188"/>
    </row>
    <row r="737" spans="1:35" ht="14.25" customHeight="1">
      <c r="A737" s="188"/>
      <c r="B737" s="188"/>
      <c r="C737" s="188"/>
      <c r="D737" s="188"/>
      <c r="E737" s="188"/>
      <c r="F737" s="188"/>
      <c r="G737" s="188"/>
      <c r="H737" s="188"/>
      <c r="I737" s="188"/>
      <c r="J737" s="188"/>
      <c r="K737" s="188"/>
      <c r="L737" s="189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9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</row>
    <row r="738" spans="1:35" ht="14.25" customHeight="1">
      <c r="A738" s="188"/>
      <c r="B738" s="188"/>
      <c r="C738" s="188"/>
      <c r="D738" s="188"/>
      <c r="E738" s="188"/>
      <c r="F738" s="188"/>
      <c r="G738" s="188"/>
      <c r="H738" s="188"/>
      <c r="I738" s="188"/>
      <c r="J738" s="188"/>
      <c r="K738" s="188"/>
      <c r="L738" s="189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9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</row>
    <row r="739" spans="1:35" ht="14.25" customHeight="1">
      <c r="A739" s="188"/>
      <c r="B739" s="188"/>
      <c r="C739" s="188"/>
      <c r="D739" s="188"/>
      <c r="E739" s="188"/>
      <c r="F739" s="188"/>
      <c r="G739" s="188"/>
      <c r="H739" s="188"/>
      <c r="I739" s="188"/>
      <c r="J739" s="188"/>
      <c r="K739" s="188"/>
      <c r="L739" s="189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9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</row>
    <row r="740" spans="1:35" ht="14.25" customHeight="1">
      <c r="A740" s="188"/>
      <c r="B740" s="188"/>
      <c r="C740" s="188"/>
      <c r="D740" s="188"/>
      <c r="E740" s="188"/>
      <c r="F740" s="188"/>
      <c r="G740" s="188"/>
      <c r="H740" s="188"/>
      <c r="I740" s="188"/>
      <c r="J740" s="188"/>
      <c r="K740" s="188"/>
      <c r="L740" s="189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9"/>
      <c r="Y740" s="188"/>
      <c r="Z740" s="188"/>
      <c r="AA740" s="188"/>
      <c r="AB740" s="188"/>
      <c r="AC740" s="188"/>
      <c r="AD740" s="188"/>
      <c r="AE740" s="188"/>
      <c r="AF740" s="188"/>
      <c r="AG740" s="188"/>
      <c r="AH740" s="188"/>
      <c r="AI740" s="188"/>
    </row>
    <row r="741" spans="1:35" ht="14.25" customHeight="1">
      <c r="A741" s="188"/>
      <c r="B741" s="188"/>
      <c r="C741" s="188"/>
      <c r="D741" s="188"/>
      <c r="E741" s="188"/>
      <c r="F741" s="188"/>
      <c r="G741" s="188"/>
      <c r="H741" s="188"/>
      <c r="I741" s="188"/>
      <c r="J741" s="188"/>
      <c r="K741" s="188"/>
      <c r="L741" s="189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9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</row>
    <row r="742" spans="1:35" ht="14.25" customHeight="1">
      <c r="A742" s="188"/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89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9"/>
      <c r="Y742" s="188"/>
      <c r="Z742" s="188"/>
      <c r="AA742" s="188"/>
      <c r="AB742" s="188"/>
      <c r="AC742" s="188"/>
      <c r="AD742" s="188"/>
      <c r="AE742" s="188"/>
      <c r="AF742" s="188"/>
      <c r="AG742" s="188"/>
      <c r="AH742" s="188"/>
      <c r="AI742" s="188"/>
    </row>
    <row r="743" spans="1:35" ht="14.25" customHeight="1">
      <c r="A743" s="188"/>
      <c r="B743" s="188"/>
      <c r="C743" s="188"/>
      <c r="D743" s="188"/>
      <c r="E743" s="188"/>
      <c r="F743" s="188"/>
      <c r="G743" s="188"/>
      <c r="H743" s="188"/>
      <c r="I743" s="188"/>
      <c r="J743" s="188"/>
      <c r="K743" s="188"/>
      <c r="L743" s="189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9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</row>
    <row r="744" spans="1:35" ht="14.25" customHeight="1">
      <c r="A744" s="188"/>
      <c r="B744" s="188"/>
      <c r="C744" s="188"/>
      <c r="D744" s="188"/>
      <c r="E744" s="188"/>
      <c r="F744" s="188"/>
      <c r="G744" s="188"/>
      <c r="H744" s="188"/>
      <c r="I744" s="188"/>
      <c r="J744" s="188"/>
      <c r="K744" s="188"/>
      <c r="L744" s="189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9"/>
      <c r="Y744" s="188"/>
      <c r="Z744" s="188"/>
      <c r="AA744" s="188"/>
      <c r="AB744" s="188"/>
      <c r="AC744" s="188"/>
      <c r="AD744" s="188"/>
      <c r="AE744" s="188"/>
      <c r="AF744" s="188"/>
      <c r="AG744" s="188"/>
      <c r="AH744" s="188"/>
      <c r="AI744" s="188"/>
    </row>
    <row r="745" spans="1:35" ht="14.25" customHeight="1">
      <c r="A745" s="188"/>
      <c r="B745" s="188"/>
      <c r="C745" s="188"/>
      <c r="D745" s="188"/>
      <c r="E745" s="188"/>
      <c r="F745" s="188"/>
      <c r="G745" s="188"/>
      <c r="H745" s="188"/>
      <c r="I745" s="188"/>
      <c r="J745" s="188"/>
      <c r="K745" s="188"/>
      <c r="L745" s="189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9"/>
      <c r="Y745" s="188"/>
      <c r="Z745" s="188"/>
      <c r="AA745" s="188"/>
      <c r="AB745" s="188"/>
      <c r="AC745" s="188"/>
      <c r="AD745" s="188"/>
      <c r="AE745" s="188"/>
      <c r="AF745" s="188"/>
      <c r="AG745" s="188"/>
      <c r="AH745" s="188"/>
      <c r="AI745" s="188"/>
    </row>
    <row r="746" spans="1:35" ht="14.25" customHeight="1">
      <c r="A746" s="188"/>
      <c r="B746" s="188"/>
      <c r="C746" s="188"/>
      <c r="D746" s="188"/>
      <c r="E746" s="188"/>
      <c r="F746" s="188"/>
      <c r="G746" s="188"/>
      <c r="H746" s="188"/>
      <c r="I746" s="188"/>
      <c r="J746" s="188"/>
      <c r="K746" s="188"/>
      <c r="L746" s="189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9"/>
      <c r="Y746" s="188"/>
      <c r="Z746" s="188"/>
      <c r="AA746" s="188"/>
      <c r="AB746" s="188"/>
      <c r="AC746" s="188"/>
      <c r="AD746" s="188"/>
      <c r="AE746" s="188"/>
      <c r="AF746" s="188"/>
      <c r="AG746" s="188"/>
      <c r="AH746" s="188"/>
      <c r="AI746" s="188"/>
    </row>
    <row r="747" spans="1:35" ht="14.25" customHeight="1">
      <c r="A747" s="188"/>
      <c r="B747" s="188"/>
      <c r="C747" s="188"/>
      <c r="D747" s="188"/>
      <c r="E747" s="188"/>
      <c r="F747" s="188"/>
      <c r="G747" s="188"/>
      <c r="H747" s="188"/>
      <c r="I747" s="188"/>
      <c r="J747" s="188"/>
      <c r="K747" s="188"/>
      <c r="L747" s="189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9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</row>
    <row r="748" spans="1:35" ht="14.25" customHeight="1">
      <c r="A748" s="188"/>
      <c r="B748" s="188"/>
      <c r="C748" s="188"/>
      <c r="D748" s="188"/>
      <c r="E748" s="188"/>
      <c r="F748" s="188"/>
      <c r="G748" s="188"/>
      <c r="H748" s="188"/>
      <c r="I748" s="188"/>
      <c r="J748" s="188"/>
      <c r="K748" s="188"/>
      <c r="L748" s="189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9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</row>
    <row r="749" spans="1:35" ht="14.25" customHeight="1">
      <c r="A749" s="188"/>
      <c r="B749" s="188"/>
      <c r="C749" s="188"/>
      <c r="D749" s="188"/>
      <c r="E749" s="188"/>
      <c r="F749" s="188"/>
      <c r="G749" s="188"/>
      <c r="H749" s="188"/>
      <c r="I749" s="188"/>
      <c r="J749" s="188"/>
      <c r="K749" s="188"/>
      <c r="L749" s="189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9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</row>
    <row r="750" spans="1:35" ht="14.25" customHeight="1">
      <c r="A750" s="188"/>
      <c r="B750" s="188"/>
      <c r="C750" s="188"/>
      <c r="D750" s="188"/>
      <c r="E750" s="188"/>
      <c r="F750" s="188"/>
      <c r="G750" s="188"/>
      <c r="H750" s="188"/>
      <c r="I750" s="188"/>
      <c r="J750" s="188"/>
      <c r="K750" s="188"/>
      <c r="L750" s="189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9"/>
      <c r="Y750" s="188"/>
      <c r="Z750" s="188"/>
      <c r="AA750" s="188"/>
      <c r="AB750" s="188"/>
      <c r="AC750" s="188"/>
      <c r="AD750" s="188"/>
      <c r="AE750" s="188"/>
      <c r="AF750" s="188"/>
      <c r="AG750" s="188"/>
      <c r="AH750" s="188"/>
      <c r="AI750" s="188"/>
    </row>
    <row r="751" spans="1:35" ht="14.25" customHeight="1">
      <c r="A751" s="188"/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89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9"/>
      <c r="Y751" s="188"/>
      <c r="Z751" s="188"/>
      <c r="AA751" s="188"/>
      <c r="AB751" s="188"/>
      <c r="AC751" s="188"/>
      <c r="AD751" s="188"/>
      <c r="AE751" s="188"/>
      <c r="AF751" s="188"/>
      <c r="AG751" s="188"/>
      <c r="AH751" s="188"/>
      <c r="AI751" s="188"/>
    </row>
    <row r="752" spans="1:35" ht="14.25" customHeight="1">
      <c r="A752" s="188"/>
      <c r="B752" s="188"/>
      <c r="C752" s="188"/>
      <c r="D752" s="188"/>
      <c r="E752" s="188"/>
      <c r="F752" s="188"/>
      <c r="G752" s="188"/>
      <c r="H752" s="188"/>
      <c r="I752" s="188"/>
      <c r="J752" s="188"/>
      <c r="K752" s="188"/>
      <c r="L752" s="189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9"/>
      <c r="Y752" s="188"/>
      <c r="Z752" s="188"/>
      <c r="AA752" s="188"/>
      <c r="AB752" s="188"/>
      <c r="AC752" s="188"/>
      <c r="AD752" s="188"/>
      <c r="AE752" s="188"/>
      <c r="AF752" s="188"/>
      <c r="AG752" s="188"/>
      <c r="AH752" s="188"/>
      <c r="AI752" s="188"/>
    </row>
    <row r="753" spans="1:35" ht="14.25" customHeight="1">
      <c r="A753" s="188"/>
      <c r="B753" s="188"/>
      <c r="C753" s="188"/>
      <c r="D753" s="188"/>
      <c r="E753" s="188"/>
      <c r="F753" s="188"/>
      <c r="G753" s="188"/>
      <c r="H753" s="188"/>
      <c r="I753" s="188"/>
      <c r="J753" s="188"/>
      <c r="K753" s="188"/>
      <c r="L753" s="189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9"/>
      <c r="Y753" s="188"/>
      <c r="Z753" s="188"/>
      <c r="AA753" s="188"/>
      <c r="AB753" s="188"/>
      <c r="AC753" s="188"/>
      <c r="AD753" s="188"/>
      <c r="AE753" s="188"/>
      <c r="AF753" s="188"/>
      <c r="AG753" s="188"/>
      <c r="AH753" s="188"/>
      <c r="AI753" s="188"/>
    </row>
    <row r="754" spans="1:35" ht="14.25" customHeight="1">
      <c r="A754" s="188"/>
      <c r="B754" s="188"/>
      <c r="C754" s="188"/>
      <c r="D754" s="188"/>
      <c r="E754" s="188"/>
      <c r="F754" s="188"/>
      <c r="G754" s="188"/>
      <c r="H754" s="188"/>
      <c r="I754" s="188"/>
      <c r="J754" s="188"/>
      <c r="K754" s="188"/>
      <c r="L754" s="189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9"/>
      <c r="Y754" s="188"/>
      <c r="Z754" s="188"/>
      <c r="AA754" s="188"/>
      <c r="AB754" s="188"/>
      <c r="AC754" s="188"/>
      <c r="AD754" s="188"/>
      <c r="AE754" s="188"/>
      <c r="AF754" s="188"/>
      <c r="AG754" s="188"/>
      <c r="AH754" s="188"/>
      <c r="AI754" s="188"/>
    </row>
    <row r="755" spans="1:35" ht="14.25" customHeight="1">
      <c r="A755" s="188"/>
      <c r="B755" s="188"/>
      <c r="C755" s="188"/>
      <c r="D755" s="188"/>
      <c r="E755" s="188"/>
      <c r="F755" s="188"/>
      <c r="G755" s="188"/>
      <c r="H755" s="188"/>
      <c r="I755" s="188"/>
      <c r="J755" s="188"/>
      <c r="K755" s="188"/>
      <c r="L755" s="189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9"/>
      <c r="Y755" s="188"/>
      <c r="Z755" s="188"/>
      <c r="AA755" s="188"/>
      <c r="AB755" s="188"/>
      <c r="AC755" s="188"/>
      <c r="AD755" s="188"/>
      <c r="AE755" s="188"/>
      <c r="AF755" s="188"/>
      <c r="AG755" s="188"/>
      <c r="AH755" s="188"/>
      <c r="AI755" s="188"/>
    </row>
    <row r="756" spans="1:35" ht="14.25" customHeight="1">
      <c r="A756" s="188"/>
      <c r="B756" s="188"/>
      <c r="C756" s="188"/>
      <c r="D756" s="188"/>
      <c r="E756" s="188"/>
      <c r="F756" s="188"/>
      <c r="G756" s="188"/>
      <c r="H756" s="188"/>
      <c r="I756" s="188"/>
      <c r="J756" s="188"/>
      <c r="K756" s="188"/>
      <c r="L756" s="189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9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</row>
    <row r="757" spans="1:35" ht="14.25" customHeight="1">
      <c r="A757" s="188"/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89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9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</row>
    <row r="758" spans="1:35" ht="14.25" customHeight="1">
      <c r="A758" s="188"/>
      <c r="B758" s="188"/>
      <c r="C758" s="188"/>
      <c r="D758" s="188"/>
      <c r="E758" s="188"/>
      <c r="F758" s="188"/>
      <c r="G758" s="188"/>
      <c r="H758" s="188"/>
      <c r="I758" s="188"/>
      <c r="J758" s="188"/>
      <c r="K758" s="188"/>
      <c r="L758" s="189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9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</row>
    <row r="759" spans="1:35" ht="14.25" customHeight="1">
      <c r="A759" s="188"/>
      <c r="B759" s="188"/>
      <c r="C759" s="188"/>
      <c r="D759" s="188"/>
      <c r="E759" s="188"/>
      <c r="F759" s="188"/>
      <c r="G759" s="188"/>
      <c r="H759" s="188"/>
      <c r="I759" s="188"/>
      <c r="J759" s="188"/>
      <c r="K759" s="188"/>
      <c r="L759" s="189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9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</row>
    <row r="760" spans="1:35" ht="14.25" customHeight="1">
      <c r="A760" s="188"/>
      <c r="B760" s="188"/>
      <c r="C760" s="188"/>
      <c r="D760" s="188"/>
      <c r="E760" s="188"/>
      <c r="F760" s="188"/>
      <c r="G760" s="188"/>
      <c r="H760" s="188"/>
      <c r="I760" s="188"/>
      <c r="J760" s="188"/>
      <c r="K760" s="188"/>
      <c r="L760" s="189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9"/>
      <c r="Y760" s="188"/>
      <c r="Z760" s="188"/>
      <c r="AA760" s="188"/>
      <c r="AB760" s="188"/>
      <c r="AC760" s="188"/>
      <c r="AD760" s="188"/>
      <c r="AE760" s="188"/>
      <c r="AF760" s="188"/>
      <c r="AG760" s="188"/>
      <c r="AH760" s="188"/>
      <c r="AI760" s="188"/>
    </row>
    <row r="761" spans="1:35" ht="14.25" customHeight="1">
      <c r="A761" s="188"/>
      <c r="B761" s="188"/>
      <c r="C761" s="188"/>
      <c r="D761" s="188"/>
      <c r="E761" s="188"/>
      <c r="F761" s="188"/>
      <c r="G761" s="188"/>
      <c r="H761" s="188"/>
      <c r="I761" s="188"/>
      <c r="J761" s="188"/>
      <c r="K761" s="188"/>
      <c r="L761" s="189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9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</row>
    <row r="762" spans="1:35" ht="14.25" customHeight="1">
      <c r="A762" s="188"/>
      <c r="B762" s="188"/>
      <c r="C762" s="188"/>
      <c r="D762" s="188"/>
      <c r="E762" s="188"/>
      <c r="F762" s="188"/>
      <c r="G762" s="188"/>
      <c r="H762" s="188"/>
      <c r="I762" s="188"/>
      <c r="J762" s="188"/>
      <c r="K762" s="188"/>
      <c r="L762" s="189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9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</row>
    <row r="763" spans="1:35" ht="14.25" customHeight="1">
      <c r="A763" s="188"/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9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9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</row>
    <row r="764" spans="1:35" ht="14.25" customHeight="1">
      <c r="A764" s="188"/>
      <c r="B764" s="188"/>
      <c r="C764" s="188"/>
      <c r="D764" s="188"/>
      <c r="E764" s="188"/>
      <c r="F764" s="188"/>
      <c r="G764" s="188"/>
      <c r="H764" s="188"/>
      <c r="I764" s="188"/>
      <c r="J764" s="188"/>
      <c r="K764" s="188"/>
      <c r="L764" s="189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9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</row>
    <row r="765" spans="1:35" ht="14.25" customHeight="1">
      <c r="A765" s="188"/>
      <c r="B765" s="188"/>
      <c r="C765" s="188"/>
      <c r="D765" s="188"/>
      <c r="E765" s="188"/>
      <c r="F765" s="188"/>
      <c r="G765" s="188"/>
      <c r="H765" s="188"/>
      <c r="I765" s="188"/>
      <c r="J765" s="188"/>
      <c r="K765" s="188"/>
      <c r="L765" s="189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9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</row>
    <row r="766" spans="1:35" ht="14.25" customHeight="1">
      <c r="A766" s="188"/>
      <c r="B766" s="188"/>
      <c r="C766" s="188"/>
      <c r="D766" s="188"/>
      <c r="E766" s="188"/>
      <c r="F766" s="188"/>
      <c r="G766" s="188"/>
      <c r="H766" s="188"/>
      <c r="I766" s="188"/>
      <c r="J766" s="188"/>
      <c r="K766" s="188"/>
      <c r="L766" s="189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9"/>
      <c r="Y766" s="188"/>
      <c r="Z766" s="188"/>
      <c r="AA766" s="188"/>
      <c r="AB766" s="188"/>
      <c r="AC766" s="188"/>
      <c r="AD766" s="188"/>
      <c r="AE766" s="188"/>
      <c r="AF766" s="188"/>
      <c r="AG766" s="188"/>
      <c r="AH766" s="188"/>
      <c r="AI766" s="188"/>
    </row>
    <row r="767" spans="1:35" ht="14.25" customHeight="1">
      <c r="A767" s="188"/>
      <c r="B767" s="188"/>
      <c r="C767" s="188"/>
      <c r="D767" s="188"/>
      <c r="E767" s="188"/>
      <c r="F767" s="188"/>
      <c r="G767" s="188"/>
      <c r="H767" s="188"/>
      <c r="I767" s="188"/>
      <c r="J767" s="188"/>
      <c r="K767" s="188"/>
      <c r="L767" s="189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9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</row>
    <row r="768" spans="1:35" ht="14.25" customHeight="1">
      <c r="A768" s="188"/>
      <c r="B768" s="188"/>
      <c r="C768" s="188"/>
      <c r="D768" s="188"/>
      <c r="E768" s="188"/>
      <c r="F768" s="188"/>
      <c r="G768" s="188"/>
      <c r="H768" s="188"/>
      <c r="I768" s="188"/>
      <c r="J768" s="188"/>
      <c r="K768" s="188"/>
      <c r="L768" s="189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9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</row>
    <row r="769" spans="1:35" ht="14.25" customHeight="1">
      <c r="A769" s="188"/>
      <c r="B769" s="188"/>
      <c r="C769" s="188"/>
      <c r="D769" s="188"/>
      <c r="E769" s="188"/>
      <c r="F769" s="188"/>
      <c r="G769" s="188"/>
      <c r="H769" s="188"/>
      <c r="I769" s="188"/>
      <c r="J769" s="188"/>
      <c r="K769" s="188"/>
      <c r="L769" s="189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9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</row>
    <row r="770" spans="1:35" ht="14.25" customHeight="1">
      <c r="A770" s="188"/>
      <c r="B770" s="188"/>
      <c r="C770" s="188"/>
      <c r="D770" s="188"/>
      <c r="E770" s="188"/>
      <c r="F770" s="188"/>
      <c r="G770" s="188"/>
      <c r="H770" s="188"/>
      <c r="I770" s="188"/>
      <c r="J770" s="188"/>
      <c r="K770" s="188"/>
      <c r="L770" s="189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9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</row>
    <row r="771" spans="1:35" ht="14.25" customHeight="1">
      <c r="A771" s="188"/>
      <c r="B771" s="188"/>
      <c r="C771" s="188"/>
      <c r="D771" s="188"/>
      <c r="E771" s="188"/>
      <c r="F771" s="188"/>
      <c r="G771" s="188"/>
      <c r="H771" s="188"/>
      <c r="I771" s="188"/>
      <c r="J771" s="188"/>
      <c r="K771" s="188"/>
      <c r="L771" s="189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9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</row>
    <row r="772" spans="1:35" ht="14.25" customHeight="1">
      <c r="A772" s="188"/>
      <c r="B772" s="188"/>
      <c r="C772" s="188"/>
      <c r="D772" s="188"/>
      <c r="E772" s="188"/>
      <c r="F772" s="188"/>
      <c r="G772" s="188"/>
      <c r="H772" s="188"/>
      <c r="I772" s="188"/>
      <c r="J772" s="188"/>
      <c r="K772" s="188"/>
      <c r="L772" s="189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9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</row>
    <row r="773" spans="1:35" ht="14.25" customHeight="1">
      <c r="A773" s="188"/>
      <c r="B773" s="188"/>
      <c r="C773" s="188"/>
      <c r="D773" s="188"/>
      <c r="E773" s="188"/>
      <c r="F773" s="188"/>
      <c r="G773" s="188"/>
      <c r="H773" s="188"/>
      <c r="I773" s="188"/>
      <c r="J773" s="188"/>
      <c r="K773" s="188"/>
      <c r="L773" s="189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9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</row>
    <row r="774" spans="1:35" ht="14.25" customHeight="1">
      <c r="A774" s="188"/>
      <c r="B774" s="188"/>
      <c r="C774" s="188"/>
      <c r="D774" s="188"/>
      <c r="E774" s="188"/>
      <c r="F774" s="188"/>
      <c r="G774" s="188"/>
      <c r="H774" s="188"/>
      <c r="I774" s="188"/>
      <c r="J774" s="188"/>
      <c r="K774" s="188"/>
      <c r="L774" s="189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9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</row>
    <row r="775" spans="1:35" ht="14.25" customHeight="1">
      <c r="A775" s="188"/>
      <c r="B775" s="188"/>
      <c r="C775" s="188"/>
      <c r="D775" s="188"/>
      <c r="E775" s="188"/>
      <c r="F775" s="188"/>
      <c r="G775" s="188"/>
      <c r="H775" s="188"/>
      <c r="I775" s="188"/>
      <c r="J775" s="188"/>
      <c r="K775" s="188"/>
      <c r="L775" s="189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9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</row>
    <row r="776" spans="1:35" ht="14.25" customHeight="1">
      <c r="A776" s="188"/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89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9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</row>
    <row r="777" spans="1:35" ht="14.25" customHeight="1">
      <c r="A777" s="188"/>
      <c r="B777" s="188"/>
      <c r="C777" s="188"/>
      <c r="D777" s="188"/>
      <c r="E777" s="188"/>
      <c r="F777" s="188"/>
      <c r="G777" s="188"/>
      <c r="H777" s="188"/>
      <c r="I777" s="188"/>
      <c r="J777" s="188"/>
      <c r="K777" s="188"/>
      <c r="L777" s="189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9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</row>
    <row r="778" spans="1:35" ht="14.25" customHeight="1">
      <c r="A778" s="188"/>
      <c r="B778" s="188"/>
      <c r="C778" s="188"/>
      <c r="D778" s="188"/>
      <c r="E778" s="188"/>
      <c r="F778" s="188"/>
      <c r="G778" s="188"/>
      <c r="H778" s="188"/>
      <c r="I778" s="188"/>
      <c r="J778" s="188"/>
      <c r="K778" s="188"/>
      <c r="L778" s="189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9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</row>
    <row r="779" spans="1:35" ht="14.25" customHeight="1">
      <c r="A779" s="188"/>
      <c r="B779" s="188"/>
      <c r="C779" s="188"/>
      <c r="D779" s="188"/>
      <c r="E779" s="188"/>
      <c r="F779" s="188"/>
      <c r="G779" s="188"/>
      <c r="H779" s="188"/>
      <c r="I779" s="188"/>
      <c r="J779" s="188"/>
      <c r="K779" s="188"/>
      <c r="L779" s="189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9"/>
      <c r="Y779" s="188"/>
      <c r="Z779" s="188"/>
      <c r="AA779" s="188"/>
      <c r="AB779" s="188"/>
      <c r="AC779" s="188"/>
      <c r="AD779" s="188"/>
      <c r="AE779" s="188"/>
      <c r="AF779" s="188"/>
      <c r="AG779" s="188"/>
      <c r="AH779" s="188"/>
      <c r="AI779" s="188"/>
    </row>
    <row r="780" spans="1:35" ht="14.25" customHeight="1">
      <c r="A780" s="188"/>
      <c r="B780" s="188"/>
      <c r="C780" s="188"/>
      <c r="D780" s="188"/>
      <c r="E780" s="188"/>
      <c r="F780" s="188"/>
      <c r="G780" s="188"/>
      <c r="H780" s="188"/>
      <c r="I780" s="188"/>
      <c r="J780" s="188"/>
      <c r="K780" s="188"/>
      <c r="L780" s="189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9"/>
      <c r="Y780" s="188"/>
      <c r="Z780" s="188"/>
      <c r="AA780" s="188"/>
      <c r="AB780" s="188"/>
      <c r="AC780" s="188"/>
      <c r="AD780" s="188"/>
      <c r="AE780" s="188"/>
      <c r="AF780" s="188"/>
      <c r="AG780" s="188"/>
      <c r="AH780" s="188"/>
      <c r="AI780" s="188"/>
    </row>
    <row r="781" spans="1:35" ht="14.25" customHeight="1">
      <c r="A781" s="188"/>
      <c r="B781" s="188"/>
      <c r="C781" s="188"/>
      <c r="D781" s="188"/>
      <c r="E781" s="188"/>
      <c r="F781" s="188"/>
      <c r="G781" s="188"/>
      <c r="H781" s="188"/>
      <c r="I781" s="188"/>
      <c r="J781" s="188"/>
      <c r="K781" s="188"/>
      <c r="L781" s="189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9"/>
      <c r="Y781" s="188"/>
      <c r="Z781" s="188"/>
      <c r="AA781" s="188"/>
      <c r="AB781" s="188"/>
      <c r="AC781" s="188"/>
      <c r="AD781" s="188"/>
      <c r="AE781" s="188"/>
      <c r="AF781" s="188"/>
      <c r="AG781" s="188"/>
      <c r="AH781" s="188"/>
      <c r="AI781" s="188"/>
    </row>
    <row r="782" spans="1:35" ht="14.25" customHeight="1">
      <c r="A782" s="188"/>
      <c r="B782" s="188"/>
      <c r="C782" s="188"/>
      <c r="D782" s="188"/>
      <c r="E782" s="188"/>
      <c r="F782" s="188"/>
      <c r="G782" s="188"/>
      <c r="H782" s="188"/>
      <c r="I782" s="188"/>
      <c r="J782" s="188"/>
      <c r="K782" s="188"/>
      <c r="L782" s="189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9"/>
      <c r="Y782" s="188"/>
      <c r="Z782" s="188"/>
      <c r="AA782" s="188"/>
      <c r="AB782" s="188"/>
      <c r="AC782" s="188"/>
      <c r="AD782" s="188"/>
      <c r="AE782" s="188"/>
      <c r="AF782" s="188"/>
      <c r="AG782" s="188"/>
      <c r="AH782" s="188"/>
      <c r="AI782" s="188"/>
    </row>
    <row r="783" spans="1:35" ht="14.25" customHeight="1">
      <c r="A783" s="188"/>
      <c r="B783" s="188"/>
      <c r="C783" s="188"/>
      <c r="D783" s="188"/>
      <c r="E783" s="188"/>
      <c r="F783" s="188"/>
      <c r="G783" s="188"/>
      <c r="H783" s="188"/>
      <c r="I783" s="188"/>
      <c r="J783" s="188"/>
      <c r="K783" s="188"/>
      <c r="L783" s="189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9"/>
      <c r="Y783" s="188"/>
      <c r="Z783" s="188"/>
      <c r="AA783" s="188"/>
      <c r="AB783" s="188"/>
      <c r="AC783" s="188"/>
      <c r="AD783" s="188"/>
      <c r="AE783" s="188"/>
      <c r="AF783" s="188"/>
      <c r="AG783" s="188"/>
      <c r="AH783" s="188"/>
      <c r="AI783" s="188"/>
    </row>
    <row r="784" spans="1:35" ht="14.25" customHeight="1">
      <c r="A784" s="188"/>
      <c r="B784" s="188"/>
      <c r="C784" s="188"/>
      <c r="D784" s="188"/>
      <c r="E784" s="188"/>
      <c r="F784" s="188"/>
      <c r="G784" s="188"/>
      <c r="H784" s="188"/>
      <c r="I784" s="188"/>
      <c r="J784" s="188"/>
      <c r="K784" s="188"/>
      <c r="L784" s="189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9"/>
      <c r="Y784" s="188"/>
      <c r="Z784" s="188"/>
      <c r="AA784" s="188"/>
      <c r="AB784" s="188"/>
      <c r="AC784" s="188"/>
      <c r="AD784" s="188"/>
      <c r="AE784" s="188"/>
      <c r="AF784" s="188"/>
      <c r="AG784" s="188"/>
      <c r="AH784" s="188"/>
      <c r="AI784" s="188"/>
    </row>
    <row r="785" spans="1:35" ht="14.25" customHeight="1">
      <c r="A785" s="188"/>
      <c r="B785" s="188"/>
      <c r="C785" s="188"/>
      <c r="D785" s="188"/>
      <c r="E785" s="188"/>
      <c r="F785" s="188"/>
      <c r="G785" s="188"/>
      <c r="H785" s="188"/>
      <c r="I785" s="188"/>
      <c r="J785" s="188"/>
      <c r="K785" s="188"/>
      <c r="L785" s="189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9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</row>
    <row r="786" spans="1:35" ht="14.25" customHeight="1">
      <c r="A786" s="188"/>
      <c r="B786" s="188"/>
      <c r="C786" s="188"/>
      <c r="D786" s="188"/>
      <c r="E786" s="188"/>
      <c r="F786" s="188"/>
      <c r="G786" s="188"/>
      <c r="H786" s="188"/>
      <c r="I786" s="188"/>
      <c r="J786" s="188"/>
      <c r="K786" s="188"/>
      <c r="L786" s="189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9"/>
      <c r="Y786" s="188"/>
      <c r="Z786" s="188"/>
      <c r="AA786" s="188"/>
      <c r="AB786" s="188"/>
      <c r="AC786" s="188"/>
      <c r="AD786" s="188"/>
      <c r="AE786" s="188"/>
      <c r="AF786" s="188"/>
      <c r="AG786" s="188"/>
      <c r="AH786" s="188"/>
      <c r="AI786" s="188"/>
    </row>
    <row r="787" spans="1:35" ht="14.25" customHeight="1">
      <c r="A787" s="188"/>
      <c r="B787" s="188"/>
      <c r="C787" s="188"/>
      <c r="D787" s="188"/>
      <c r="E787" s="188"/>
      <c r="F787" s="188"/>
      <c r="G787" s="188"/>
      <c r="H787" s="188"/>
      <c r="I787" s="188"/>
      <c r="J787" s="188"/>
      <c r="K787" s="188"/>
      <c r="L787" s="189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9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</row>
    <row r="788" spans="1:35" ht="14.25" customHeight="1">
      <c r="A788" s="188"/>
      <c r="B788" s="188"/>
      <c r="C788" s="188"/>
      <c r="D788" s="188"/>
      <c r="E788" s="188"/>
      <c r="F788" s="188"/>
      <c r="G788" s="188"/>
      <c r="H788" s="188"/>
      <c r="I788" s="188"/>
      <c r="J788" s="188"/>
      <c r="K788" s="188"/>
      <c r="L788" s="189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9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</row>
    <row r="789" spans="1:35" ht="14.25" customHeight="1">
      <c r="A789" s="188"/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89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9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</row>
    <row r="790" spans="1:35" ht="14.25" customHeight="1">
      <c r="A790" s="188"/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89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9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</row>
    <row r="791" spans="1:35" ht="14.25" customHeight="1">
      <c r="A791" s="188"/>
      <c r="B791" s="188"/>
      <c r="C791" s="188"/>
      <c r="D791" s="188"/>
      <c r="E791" s="188"/>
      <c r="F791" s="188"/>
      <c r="G791" s="188"/>
      <c r="H791" s="188"/>
      <c r="I791" s="188"/>
      <c r="J791" s="188"/>
      <c r="K791" s="188"/>
      <c r="L791" s="189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9"/>
      <c r="Y791" s="188"/>
      <c r="Z791" s="188"/>
      <c r="AA791" s="188"/>
      <c r="AB791" s="188"/>
      <c r="AC791" s="188"/>
      <c r="AD791" s="188"/>
      <c r="AE791" s="188"/>
      <c r="AF791" s="188"/>
      <c r="AG791" s="188"/>
      <c r="AH791" s="188"/>
      <c r="AI791" s="188"/>
    </row>
    <row r="792" spans="1:35" ht="14.25" customHeight="1">
      <c r="A792" s="188"/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89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9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</row>
    <row r="793" spans="1:35" ht="14.25" customHeight="1">
      <c r="A793" s="188"/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89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9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</row>
    <row r="794" spans="1:35" ht="14.25" customHeight="1">
      <c r="A794" s="188"/>
      <c r="B794" s="188"/>
      <c r="C794" s="188"/>
      <c r="D794" s="188"/>
      <c r="E794" s="188"/>
      <c r="F794" s="188"/>
      <c r="G794" s="188"/>
      <c r="H794" s="188"/>
      <c r="I794" s="188"/>
      <c r="J794" s="188"/>
      <c r="K794" s="188"/>
      <c r="L794" s="189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9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</row>
    <row r="795" spans="1:35" ht="14.25" customHeight="1">
      <c r="A795" s="188"/>
      <c r="B795" s="188"/>
      <c r="C795" s="188"/>
      <c r="D795" s="188"/>
      <c r="E795" s="188"/>
      <c r="F795" s="188"/>
      <c r="G795" s="188"/>
      <c r="H795" s="188"/>
      <c r="I795" s="188"/>
      <c r="J795" s="188"/>
      <c r="K795" s="188"/>
      <c r="L795" s="189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9"/>
      <c r="Y795" s="188"/>
      <c r="Z795" s="188"/>
      <c r="AA795" s="188"/>
      <c r="AB795" s="188"/>
      <c r="AC795" s="188"/>
      <c r="AD795" s="188"/>
      <c r="AE795" s="188"/>
      <c r="AF795" s="188"/>
      <c r="AG795" s="188"/>
      <c r="AH795" s="188"/>
      <c r="AI795" s="188"/>
    </row>
    <row r="796" spans="1:35" ht="14.25" customHeight="1">
      <c r="A796" s="188"/>
      <c r="B796" s="188"/>
      <c r="C796" s="188"/>
      <c r="D796" s="188"/>
      <c r="E796" s="188"/>
      <c r="F796" s="188"/>
      <c r="G796" s="188"/>
      <c r="H796" s="188"/>
      <c r="I796" s="188"/>
      <c r="J796" s="188"/>
      <c r="K796" s="188"/>
      <c r="L796" s="189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9"/>
      <c r="Y796" s="188"/>
      <c r="Z796" s="188"/>
      <c r="AA796" s="188"/>
      <c r="AB796" s="188"/>
      <c r="AC796" s="188"/>
      <c r="AD796" s="188"/>
      <c r="AE796" s="188"/>
      <c r="AF796" s="188"/>
      <c r="AG796" s="188"/>
      <c r="AH796" s="188"/>
      <c r="AI796" s="188"/>
    </row>
    <row r="797" spans="1:35" ht="14.25" customHeight="1">
      <c r="A797" s="188"/>
      <c r="B797" s="188"/>
      <c r="C797" s="188"/>
      <c r="D797" s="188"/>
      <c r="E797" s="188"/>
      <c r="F797" s="188"/>
      <c r="G797" s="188"/>
      <c r="H797" s="188"/>
      <c r="I797" s="188"/>
      <c r="J797" s="188"/>
      <c r="K797" s="188"/>
      <c r="L797" s="189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9"/>
      <c r="Y797" s="188"/>
      <c r="Z797" s="188"/>
      <c r="AA797" s="188"/>
      <c r="AB797" s="188"/>
      <c r="AC797" s="188"/>
      <c r="AD797" s="188"/>
      <c r="AE797" s="188"/>
      <c r="AF797" s="188"/>
      <c r="AG797" s="188"/>
      <c r="AH797" s="188"/>
      <c r="AI797" s="188"/>
    </row>
    <row r="798" spans="1:35" ht="14.25" customHeight="1">
      <c r="A798" s="188"/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89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9"/>
      <c r="Y798" s="188"/>
      <c r="Z798" s="188"/>
      <c r="AA798" s="188"/>
      <c r="AB798" s="188"/>
      <c r="AC798" s="188"/>
      <c r="AD798" s="188"/>
      <c r="AE798" s="188"/>
      <c r="AF798" s="188"/>
      <c r="AG798" s="188"/>
      <c r="AH798" s="188"/>
      <c r="AI798" s="188"/>
    </row>
    <row r="799" spans="1:35" ht="14.25" customHeight="1">
      <c r="A799" s="188"/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89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9"/>
      <c r="Y799" s="188"/>
      <c r="Z799" s="188"/>
      <c r="AA799" s="188"/>
      <c r="AB799" s="188"/>
      <c r="AC799" s="188"/>
      <c r="AD799" s="188"/>
      <c r="AE799" s="188"/>
      <c r="AF799" s="188"/>
      <c r="AG799" s="188"/>
      <c r="AH799" s="188"/>
      <c r="AI799" s="188"/>
    </row>
    <row r="800" spans="1:35" ht="14.25" customHeight="1">
      <c r="A800" s="188"/>
      <c r="B800" s="188"/>
      <c r="C800" s="188"/>
      <c r="D800" s="188"/>
      <c r="E800" s="188"/>
      <c r="F800" s="188"/>
      <c r="G800" s="188"/>
      <c r="H800" s="188"/>
      <c r="I800" s="188"/>
      <c r="J800" s="188"/>
      <c r="K800" s="188"/>
      <c r="L800" s="189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9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</row>
    <row r="801" spans="1:35" ht="14.25" customHeight="1">
      <c r="A801" s="188"/>
      <c r="B801" s="188"/>
      <c r="C801" s="188"/>
      <c r="D801" s="188"/>
      <c r="E801" s="188"/>
      <c r="F801" s="188"/>
      <c r="G801" s="188"/>
      <c r="H801" s="188"/>
      <c r="I801" s="188"/>
      <c r="J801" s="188"/>
      <c r="K801" s="188"/>
      <c r="L801" s="189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9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</row>
    <row r="802" spans="1:35" ht="14.25" customHeight="1">
      <c r="A802" s="188"/>
      <c r="B802" s="188"/>
      <c r="C802" s="188"/>
      <c r="D802" s="188"/>
      <c r="E802" s="188"/>
      <c r="F802" s="188"/>
      <c r="G802" s="188"/>
      <c r="H802" s="188"/>
      <c r="I802" s="188"/>
      <c r="J802" s="188"/>
      <c r="K802" s="188"/>
      <c r="L802" s="189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9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</row>
    <row r="803" spans="1:35" ht="14.25" customHeight="1">
      <c r="A803" s="188"/>
      <c r="B803" s="188"/>
      <c r="C803" s="188"/>
      <c r="D803" s="188"/>
      <c r="E803" s="188"/>
      <c r="F803" s="188"/>
      <c r="G803" s="188"/>
      <c r="H803" s="188"/>
      <c r="I803" s="188"/>
      <c r="J803" s="188"/>
      <c r="K803" s="188"/>
      <c r="L803" s="189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9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</row>
    <row r="804" spans="1:35" ht="14.25" customHeight="1">
      <c r="A804" s="188"/>
      <c r="B804" s="188"/>
      <c r="C804" s="188"/>
      <c r="D804" s="188"/>
      <c r="E804" s="188"/>
      <c r="F804" s="188"/>
      <c r="G804" s="188"/>
      <c r="H804" s="188"/>
      <c r="I804" s="188"/>
      <c r="J804" s="188"/>
      <c r="K804" s="188"/>
      <c r="L804" s="189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9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</row>
    <row r="805" spans="1:35" ht="14.25" customHeight="1">
      <c r="A805" s="188"/>
      <c r="B805" s="188"/>
      <c r="C805" s="188"/>
      <c r="D805" s="188"/>
      <c r="E805" s="188"/>
      <c r="F805" s="188"/>
      <c r="G805" s="188"/>
      <c r="H805" s="188"/>
      <c r="I805" s="188"/>
      <c r="J805" s="188"/>
      <c r="K805" s="188"/>
      <c r="L805" s="189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9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</row>
    <row r="806" spans="1:35" ht="14.25" customHeight="1">
      <c r="A806" s="188"/>
      <c r="B806" s="188"/>
      <c r="C806" s="188"/>
      <c r="D806" s="188"/>
      <c r="E806" s="188"/>
      <c r="F806" s="188"/>
      <c r="G806" s="188"/>
      <c r="H806" s="188"/>
      <c r="I806" s="188"/>
      <c r="J806" s="188"/>
      <c r="K806" s="188"/>
      <c r="L806" s="189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9"/>
      <c r="Y806" s="188"/>
      <c r="Z806" s="188"/>
      <c r="AA806" s="188"/>
      <c r="AB806" s="188"/>
      <c r="AC806" s="188"/>
      <c r="AD806" s="188"/>
      <c r="AE806" s="188"/>
      <c r="AF806" s="188"/>
      <c r="AG806" s="188"/>
      <c r="AH806" s="188"/>
      <c r="AI806" s="188"/>
    </row>
    <row r="807" spans="1:35" ht="14.25" customHeight="1">
      <c r="A807" s="188"/>
      <c r="B807" s="188"/>
      <c r="C807" s="188"/>
      <c r="D807" s="188"/>
      <c r="E807" s="188"/>
      <c r="F807" s="188"/>
      <c r="G807" s="188"/>
      <c r="H807" s="188"/>
      <c r="I807" s="188"/>
      <c r="J807" s="188"/>
      <c r="K807" s="188"/>
      <c r="L807" s="189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9"/>
      <c r="Y807" s="188"/>
      <c r="Z807" s="188"/>
      <c r="AA807" s="188"/>
      <c r="AB807" s="188"/>
      <c r="AC807" s="188"/>
      <c r="AD807" s="188"/>
      <c r="AE807" s="188"/>
      <c r="AF807" s="188"/>
      <c r="AG807" s="188"/>
      <c r="AH807" s="188"/>
      <c r="AI807" s="188"/>
    </row>
    <row r="808" spans="1:35" ht="14.25" customHeight="1">
      <c r="A808" s="188"/>
      <c r="B808" s="188"/>
      <c r="C808" s="188"/>
      <c r="D808" s="188"/>
      <c r="E808" s="188"/>
      <c r="F808" s="188"/>
      <c r="G808" s="188"/>
      <c r="H808" s="188"/>
      <c r="I808" s="188"/>
      <c r="J808" s="188"/>
      <c r="K808" s="188"/>
      <c r="L808" s="189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9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</row>
    <row r="809" spans="1:35" ht="14.25" customHeight="1">
      <c r="A809" s="188"/>
      <c r="B809" s="188"/>
      <c r="C809" s="188"/>
      <c r="D809" s="188"/>
      <c r="E809" s="188"/>
      <c r="F809" s="188"/>
      <c r="G809" s="188"/>
      <c r="H809" s="188"/>
      <c r="I809" s="188"/>
      <c r="J809" s="188"/>
      <c r="K809" s="188"/>
      <c r="L809" s="189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9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</row>
    <row r="810" spans="1:35" ht="14.25" customHeight="1">
      <c r="A810" s="188"/>
      <c r="B810" s="188"/>
      <c r="C810" s="188"/>
      <c r="D810" s="188"/>
      <c r="E810" s="188"/>
      <c r="F810" s="188"/>
      <c r="G810" s="188"/>
      <c r="H810" s="188"/>
      <c r="I810" s="188"/>
      <c r="J810" s="188"/>
      <c r="K810" s="188"/>
      <c r="L810" s="189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9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</row>
    <row r="811" spans="1:35" ht="14.25" customHeight="1">
      <c r="A811" s="188"/>
      <c r="B811" s="188"/>
      <c r="C811" s="188"/>
      <c r="D811" s="188"/>
      <c r="E811" s="188"/>
      <c r="F811" s="188"/>
      <c r="G811" s="188"/>
      <c r="H811" s="188"/>
      <c r="I811" s="188"/>
      <c r="J811" s="188"/>
      <c r="K811" s="188"/>
      <c r="L811" s="189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9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</row>
    <row r="812" spans="1:35" ht="14.25" customHeight="1">
      <c r="A812" s="188"/>
      <c r="B812" s="188"/>
      <c r="C812" s="188"/>
      <c r="D812" s="188"/>
      <c r="E812" s="188"/>
      <c r="F812" s="188"/>
      <c r="G812" s="188"/>
      <c r="H812" s="188"/>
      <c r="I812" s="188"/>
      <c r="J812" s="188"/>
      <c r="K812" s="188"/>
      <c r="L812" s="189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9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</row>
    <row r="813" spans="1:35" ht="14.25" customHeight="1">
      <c r="A813" s="188"/>
      <c r="B813" s="188"/>
      <c r="C813" s="188"/>
      <c r="D813" s="188"/>
      <c r="E813" s="188"/>
      <c r="F813" s="188"/>
      <c r="G813" s="188"/>
      <c r="H813" s="188"/>
      <c r="I813" s="188"/>
      <c r="J813" s="188"/>
      <c r="K813" s="188"/>
      <c r="L813" s="189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9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</row>
    <row r="814" spans="1:35" ht="14.25" customHeight="1">
      <c r="A814" s="188"/>
      <c r="B814" s="188"/>
      <c r="C814" s="188"/>
      <c r="D814" s="188"/>
      <c r="E814" s="188"/>
      <c r="F814" s="188"/>
      <c r="G814" s="188"/>
      <c r="H814" s="188"/>
      <c r="I814" s="188"/>
      <c r="J814" s="188"/>
      <c r="K814" s="188"/>
      <c r="L814" s="189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9"/>
      <c r="Y814" s="188"/>
      <c r="Z814" s="188"/>
      <c r="AA814" s="188"/>
      <c r="AB814" s="188"/>
      <c r="AC814" s="188"/>
      <c r="AD814" s="188"/>
      <c r="AE814" s="188"/>
      <c r="AF814" s="188"/>
      <c r="AG814" s="188"/>
      <c r="AH814" s="188"/>
      <c r="AI814" s="188"/>
    </row>
    <row r="815" spans="1:35" ht="14.25" customHeight="1">
      <c r="A815" s="188"/>
      <c r="B815" s="188"/>
      <c r="C815" s="188"/>
      <c r="D815" s="188"/>
      <c r="E815" s="188"/>
      <c r="F815" s="188"/>
      <c r="G815" s="188"/>
      <c r="H815" s="188"/>
      <c r="I815" s="188"/>
      <c r="J815" s="188"/>
      <c r="K815" s="188"/>
      <c r="L815" s="189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9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</row>
    <row r="816" spans="1:35" ht="14.25" customHeight="1">
      <c r="A816" s="188"/>
      <c r="B816" s="188"/>
      <c r="C816" s="188"/>
      <c r="D816" s="188"/>
      <c r="E816" s="188"/>
      <c r="F816" s="188"/>
      <c r="G816" s="188"/>
      <c r="H816" s="188"/>
      <c r="I816" s="188"/>
      <c r="J816" s="188"/>
      <c r="K816" s="188"/>
      <c r="L816" s="189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9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</row>
    <row r="817" spans="1:35" ht="14.25" customHeight="1">
      <c r="A817" s="188"/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89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9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</row>
    <row r="818" spans="1:35" ht="14.25" customHeight="1">
      <c r="A818" s="188"/>
      <c r="B818" s="188"/>
      <c r="C818" s="188"/>
      <c r="D818" s="188"/>
      <c r="E818" s="188"/>
      <c r="F818" s="188"/>
      <c r="G818" s="188"/>
      <c r="H818" s="188"/>
      <c r="I818" s="188"/>
      <c r="J818" s="188"/>
      <c r="K818" s="188"/>
      <c r="L818" s="189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9"/>
      <c r="Y818" s="188"/>
      <c r="Z818" s="188"/>
      <c r="AA818" s="188"/>
      <c r="AB818" s="188"/>
      <c r="AC818" s="188"/>
      <c r="AD818" s="188"/>
      <c r="AE818" s="188"/>
      <c r="AF818" s="188"/>
      <c r="AG818" s="188"/>
      <c r="AH818" s="188"/>
      <c r="AI818" s="188"/>
    </row>
    <row r="819" spans="1:35" ht="14.25" customHeight="1">
      <c r="A819" s="188"/>
      <c r="B819" s="188"/>
      <c r="C819" s="188"/>
      <c r="D819" s="188"/>
      <c r="E819" s="188"/>
      <c r="F819" s="188"/>
      <c r="G819" s="188"/>
      <c r="H819" s="188"/>
      <c r="I819" s="188"/>
      <c r="J819" s="188"/>
      <c r="K819" s="188"/>
      <c r="L819" s="189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9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</row>
    <row r="820" spans="1:35" ht="14.25" customHeight="1">
      <c r="A820" s="188"/>
      <c r="B820" s="188"/>
      <c r="C820" s="188"/>
      <c r="D820" s="188"/>
      <c r="E820" s="188"/>
      <c r="F820" s="188"/>
      <c r="G820" s="188"/>
      <c r="H820" s="188"/>
      <c r="I820" s="188"/>
      <c r="J820" s="188"/>
      <c r="K820" s="188"/>
      <c r="L820" s="189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9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</row>
    <row r="821" spans="1:35" ht="14.25" customHeight="1">
      <c r="A821" s="188"/>
      <c r="B821" s="188"/>
      <c r="C821" s="188"/>
      <c r="D821" s="188"/>
      <c r="E821" s="188"/>
      <c r="F821" s="188"/>
      <c r="G821" s="188"/>
      <c r="H821" s="188"/>
      <c r="I821" s="188"/>
      <c r="J821" s="188"/>
      <c r="K821" s="188"/>
      <c r="L821" s="189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9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</row>
    <row r="822" spans="1:35" ht="14.25" customHeight="1">
      <c r="A822" s="188"/>
      <c r="B822" s="188"/>
      <c r="C822" s="188"/>
      <c r="D822" s="188"/>
      <c r="E822" s="188"/>
      <c r="F822" s="188"/>
      <c r="G822" s="188"/>
      <c r="H822" s="188"/>
      <c r="I822" s="188"/>
      <c r="J822" s="188"/>
      <c r="K822" s="188"/>
      <c r="L822" s="189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9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</row>
    <row r="823" spans="1:35" ht="14.25" customHeight="1">
      <c r="A823" s="188"/>
      <c r="B823" s="188"/>
      <c r="C823" s="188"/>
      <c r="D823" s="188"/>
      <c r="E823" s="188"/>
      <c r="F823" s="188"/>
      <c r="G823" s="188"/>
      <c r="H823" s="188"/>
      <c r="I823" s="188"/>
      <c r="J823" s="188"/>
      <c r="K823" s="188"/>
      <c r="L823" s="189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9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</row>
    <row r="824" spans="1:35" ht="14.25" customHeight="1">
      <c r="A824" s="188"/>
      <c r="B824" s="188"/>
      <c r="C824" s="188"/>
      <c r="D824" s="188"/>
      <c r="E824" s="188"/>
      <c r="F824" s="188"/>
      <c r="G824" s="188"/>
      <c r="H824" s="188"/>
      <c r="I824" s="188"/>
      <c r="J824" s="188"/>
      <c r="K824" s="188"/>
      <c r="L824" s="189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9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</row>
    <row r="825" spans="1:35" ht="14.25" customHeight="1">
      <c r="A825" s="188"/>
      <c r="B825" s="188"/>
      <c r="C825" s="188"/>
      <c r="D825" s="188"/>
      <c r="E825" s="188"/>
      <c r="F825" s="188"/>
      <c r="G825" s="188"/>
      <c r="H825" s="188"/>
      <c r="I825" s="188"/>
      <c r="J825" s="188"/>
      <c r="K825" s="188"/>
      <c r="L825" s="189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9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</row>
    <row r="826" spans="1:35" ht="14.25" customHeight="1">
      <c r="A826" s="188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189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9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</row>
    <row r="827" spans="1:35" ht="14.25" customHeight="1">
      <c r="A827" s="188"/>
      <c r="B827" s="188"/>
      <c r="C827" s="188"/>
      <c r="D827" s="188"/>
      <c r="E827" s="188"/>
      <c r="F827" s="188"/>
      <c r="G827" s="188"/>
      <c r="H827" s="188"/>
      <c r="I827" s="188"/>
      <c r="J827" s="188"/>
      <c r="K827" s="188"/>
      <c r="L827" s="189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9"/>
      <c r="Y827" s="188"/>
      <c r="Z827" s="188"/>
      <c r="AA827" s="188"/>
      <c r="AB827" s="188"/>
      <c r="AC827" s="188"/>
      <c r="AD827" s="188"/>
      <c r="AE827" s="188"/>
      <c r="AF827" s="188"/>
      <c r="AG827" s="188"/>
      <c r="AH827" s="188"/>
      <c r="AI827" s="188"/>
    </row>
    <row r="828" spans="1:35" ht="14.25" customHeight="1">
      <c r="A828" s="188"/>
      <c r="B828" s="188"/>
      <c r="C828" s="188"/>
      <c r="D828" s="188"/>
      <c r="E828" s="188"/>
      <c r="F828" s="188"/>
      <c r="G828" s="188"/>
      <c r="H828" s="188"/>
      <c r="I828" s="188"/>
      <c r="J828" s="188"/>
      <c r="K828" s="188"/>
      <c r="L828" s="189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9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</row>
    <row r="829" spans="1:35" ht="14.25" customHeight="1">
      <c r="A829" s="188"/>
      <c r="B829" s="188"/>
      <c r="C829" s="188"/>
      <c r="D829" s="188"/>
      <c r="E829" s="188"/>
      <c r="F829" s="188"/>
      <c r="G829" s="188"/>
      <c r="H829" s="188"/>
      <c r="I829" s="188"/>
      <c r="J829" s="188"/>
      <c r="K829" s="188"/>
      <c r="L829" s="189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9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</row>
    <row r="830" spans="1:35" ht="14.25" customHeight="1">
      <c r="A830" s="188"/>
      <c r="B830" s="188"/>
      <c r="C830" s="188"/>
      <c r="D830" s="188"/>
      <c r="E830" s="188"/>
      <c r="F830" s="188"/>
      <c r="G830" s="188"/>
      <c r="H830" s="188"/>
      <c r="I830" s="188"/>
      <c r="J830" s="188"/>
      <c r="K830" s="188"/>
      <c r="L830" s="189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9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</row>
    <row r="831" spans="1:35" ht="14.25" customHeight="1">
      <c r="A831" s="188"/>
      <c r="B831" s="188"/>
      <c r="C831" s="188"/>
      <c r="D831" s="188"/>
      <c r="E831" s="188"/>
      <c r="F831" s="188"/>
      <c r="G831" s="188"/>
      <c r="H831" s="188"/>
      <c r="I831" s="188"/>
      <c r="J831" s="188"/>
      <c r="K831" s="188"/>
      <c r="L831" s="189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9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</row>
    <row r="832" spans="1:35" ht="14.25" customHeight="1">
      <c r="A832" s="188"/>
      <c r="B832" s="188"/>
      <c r="C832" s="188"/>
      <c r="D832" s="188"/>
      <c r="E832" s="188"/>
      <c r="F832" s="188"/>
      <c r="G832" s="188"/>
      <c r="H832" s="188"/>
      <c r="I832" s="188"/>
      <c r="J832" s="188"/>
      <c r="K832" s="188"/>
      <c r="L832" s="189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9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</row>
    <row r="833" spans="1:35" ht="14.25" customHeight="1">
      <c r="A833" s="188"/>
      <c r="B833" s="188"/>
      <c r="C833" s="188"/>
      <c r="D833" s="188"/>
      <c r="E833" s="188"/>
      <c r="F833" s="188"/>
      <c r="G833" s="188"/>
      <c r="H833" s="188"/>
      <c r="I833" s="188"/>
      <c r="J833" s="188"/>
      <c r="K833" s="188"/>
      <c r="L833" s="189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9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</row>
    <row r="834" spans="1:35" ht="14.25" customHeight="1">
      <c r="A834" s="188"/>
      <c r="B834" s="188"/>
      <c r="C834" s="188"/>
      <c r="D834" s="188"/>
      <c r="E834" s="188"/>
      <c r="F834" s="188"/>
      <c r="G834" s="188"/>
      <c r="H834" s="188"/>
      <c r="I834" s="188"/>
      <c r="J834" s="188"/>
      <c r="K834" s="188"/>
      <c r="L834" s="189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9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</row>
    <row r="835" spans="1:35" ht="14.25" customHeight="1">
      <c r="A835" s="188"/>
      <c r="B835" s="188"/>
      <c r="C835" s="188"/>
      <c r="D835" s="188"/>
      <c r="E835" s="188"/>
      <c r="F835" s="188"/>
      <c r="G835" s="188"/>
      <c r="H835" s="188"/>
      <c r="I835" s="188"/>
      <c r="J835" s="188"/>
      <c r="K835" s="188"/>
      <c r="L835" s="189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9"/>
      <c r="Y835" s="188"/>
      <c r="Z835" s="188"/>
      <c r="AA835" s="188"/>
      <c r="AB835" s="188"/>
      <c r="AC835" s="188"/>
      <c r="AD835" s="188"/>
      <c r="AE835" s="188"/>
      <c r="AF835" s="188"/>
      <c r="AG835" s="188"/>
      <c r="AH835" s="188"/>
      <c r="AI835" s="188"/>
    </row>
    <row r="836" spans="1:35" ht="14.25" customHeight="1">
      <c r="A836" s="188"/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89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9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</row>
    <row r="837" spans="1:35" ht="14.25" customHeight="1">
      <c r="A837" s="188"/>
      <c r="B837" s="188"/>
      <c r="C837" s="188"/>
      <c r="D837" s="188"/>
      <c r="E837" s="188"/>
      <c r="F837" s="188"/>
      <c r="G837" s="188"/>
      <c r="H837" s="188"/>
      <c r="I837" s="188"/>
      <c r="J837" s="188"/>
      <c r="K837" s="188"/>
      <c r="L837" s="189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9"/>
      <c r="Y837" s="188"/>
      <c r="Z837" s="188"/>
      <c r="AA837" s="188"/>
      <c r="AB837" s="188"/>
      <c r="AC837" s="188"/>
      <c r="AD837" s="188"/>
      <c r="AE837" s="188"/>
      <c r="AF837" s="188"/>
      <c r="AG837" s="188"/>
      <c r="AH837" s="188"/>
      <c r="AI837" s="188"/>
    </row>
    <row r="838" spans="1:35" ht="14.25" customHeight="1">
      <c r="A838" s="188"/>
      <c r="B838" s="188"/>
      <c r="C838" s="188"/>
      <c r="D838" s="188"/>
      <c r="E838" s="188"/>
      <c r="F838" s="188"/>
      <c r="G838" s="188"/>
      <c r="H838" s="188"/>
      <c r="I838" s="188"/>
      <c r="J838" s="188"/>
      <c r="K838" s="188"/>
      <c r="L838" s="189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9"/>
      <c r="Y838" s="188"/>
      <c r="Z838" s="188"/>
      <c r="AA838" s="188"/>
      <c r="AB838" s="188"/>
      <c r="AC838" s="188"/>
      <c r="AD838" s="188"/>
      <c r="AE838" s="188"/>
      <c r="AF838" s="188"/>
      <c r="AG838" s="188"/>
      <c r="AH838" s="188"/>
      <c r="AI838" s="188"/>
    </row>
    <row r="839" spans="1:35" ht="14.25" customHeight="1">
      <c r="A839" s="188"/>
      <c r="B839" s="188"/>
      <c r="C839" s="188"/>
      <c r="D839" s="188"/>
      <c r="E839" s="188"/>
      <c r="F839" s="188"/>
      <c r="G839" s="188"/>
      <c r="H839" s="188"/>
      <c r="I839" s="188"/>
      <c r="J839" s="188"/>
      <c r="K839" s="188"/>
      <c r="L839" s="189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9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</row>
    <row r="840" spans="1:35" ht="14.25" customHeight="1">
      <c r="A840" s="188"/>
      <c r="B840" s="188"/>
      <c r="C840" s="188"/>
      <c r="D840" s="188"/>
      <c r="E840" s="188"/>
      <c r="F840" s="188"/>
      <c r="G840" s="188"/>
      <c r="H840" s="188"/>
      <c r="I840" s="188"/>
      <c r="J840" s="188"/>
      <c r="K840" s="188"/>
      <c r="L840" s="189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9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</row>
    <row r="841" spans="1:35" ht="14.25" customHeight="1">
      <c r="A841" s="188"/>
      <c r="B841" s="188"/>
      <c r="C841" s="188"/>
      <c r="D841" s="188"/>
      <c r="E841" s="188"/>
      <c r="F841" s="188"/>
      <c r="G841" s="188"/>
      <c r="H841" s="188"/>
      <c r="I841" s="188"/>
      <c r="J841" s="188"/>
      <c r="K841" s="188"/>
      <c r="L841" s="189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9"/>
      <c r="Y841" s="188"/>
      <c r="Z841" s="188"/>
      <c r="AA841" s="188"/>
      <c r="AB841" s="188"/>
      <c r="AC841" s="188"/>
      <c r="AD841" s="188"/>
      <c r="AE841" s="188"/>
      <c r="AF841" s="188"/>
      <c r="AG841" s="188"/>
      <c r="AH841" s="188"/>
      <c r="AI841" s="188"/>
    </row>
    <row r="842" spans="1:35" ht="14.25" customHeight="1">
      <c r="A842" s="188"/>
      <c r="B842" s="188"/>
      <c r="C842" s="188"/>
      <c r="D842" s="188"/>
      <c r="E842" s="188"/>
      <c r="F842" s="188"/>
      <c r="G842" s="188"/>
      <c r="H842" s="188"/>
      <c r="I842" s="188"/>
      <c r="J842" s="188"/>
      <c r="K842" s="188"/>
      <c r="L842" s="189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9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</row>
    <row r="843" spans="1:35" ht="14.25" customHeight="1">
      <c r="A843" s="188"/>
      <c r="B843" s="188"/>
      <c r="C843" s="188"/>
      <c r="D843" s="188"/>
      <c r="E843" s="188"/>
      <c r="F843" s="188"/>
      <c r="G843" s="188"/>
      <c r="H843" s="188"/>
      <c r="I843" s="188"/>
      <c r="J843" s="188"/>
      <c r="K843" s="188"/>
      <c r="L843" s="189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9"/>
      <c r="Y843" s="188"/>
      <c r="Z843" s="188"/>
      <c r="AA843" s="188"/>
      <c r="AB843" s="188"/>
      <c r="AC843" s="188"/>
      <c r="AD843" s="188"/>
      <c r="AE843" s="188"/>
      <c r="AF843" s="188"/>
      <c r="AG843" s="188"/>
      <c r="AH843" s="188"/>
      <c r="AI843" s="188"/>
    </row>
    <row r="844" spans="1:35" ht="14.25" customHeight="1">
      <c r="A844" s="188"/>
      <c r="B844" s="188"/>
      <c r="C844" s="188"/>
      <c r="D844" s="188"/>
      <c r="E844" s="188"/>
      <c r="F844" s="188"/>
      <c r="G844" s="188"/>
      <c r="H844" s="188"/>
      <c r="I844" s="188"/>
      <c r="J844" s="188"/>
      <c r="K844" s="188"/>
      <c r="L844" s="189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9"/>
      <c r="Y844" s="188"/>
      <c r="Z844" s="188"/>
      <c r="AA844" s="188"/>
      <c r="AB844" s="188"/>
      <c r="AC844" s="188"/>
      <c r="AD844" s="188"/>
      <c r="AE844" s="188"/>
      <c r="AF844" s="188"/>
      <c r="AG844" s="188"/>
      <c r="AH844" s="188"/>
      <c r="AI844" s="188"/>
    </row>
    <row r="845" spans="1:35" ht="14.25" customHeight="1">
      <c r="A845" s="188"/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89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9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</row>
    <row r="846" spans="1:35" ht="14.25" customHeight="1">
      <c r="A846" s="188"/>
      <c r="B846" s="188"/>
      <c r="C846" s="188"/>
      <c r="D846" s="188"/>
      <c r="E846" s="188"/>
      <c r="F846" s="188"/>
      <c r="G846" s="188"/>
      <c r="H846" s="188"/>
      <c r="I846" s="188"/>
      <c r="J846" s="188"/>
      <c r="K846" s="188"/>
      <c r="L846" s="189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9"/>
      <c r="Y846" s="188"/>
      <c r="Z846" s="188"/>
      <c r="AA846" s="188"/>
      <c r="AB846" s="188"/>
      <c r="AC846" s="188"/>
      <c r="AD846" s="188"/>
      <c r="AE846" s="188"/>
      <c r="AF846" s="188"/>
      <c r="AG846" s="188"/>
      <c r="AH846" s="188"/>
      <c r="AI846" s="188"/>
    </row>
    <row r="847" spans="1:35" ht="14.25" customHeight="1">
      <c r="A847" s="188"/>
      <c r="B847" s="188"/>
      <c r="C847" s="188"/>
      <c r="D847" s="188"/>
      <c r="E847" s="188"/>
      <c r="F847" s="188"/>
      <c r="G847" s="188"/>
      <c r="H847" s="188"/>
      <c r="I847" s="188"/>
      <c r="J847" s="188"/>
      <c r="K847" s="188"/>
      <c r="L847" s="189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9"/>
      <c r="Y847" s="188"/>
      <c r="Z847" s="188"/>
      <c r="AA847" s="188"/>
      <c r="AB847" s="188"/>
      <c r="AC847" s="188"/>
      <c r="AD847" s="188"/>
      <c r="AE847" s="188"/>
      <c r="AF847" s="188"/>
      <c r="AG847" s="188"/>
      <c r="AH847" s="188"/>
      <c r="AI847" s="188"/>
    </row>
    <row r="848" spans="1:35" ht="14.25" customHeight="1">
      <c r="A848" s="188"/>
      <c r="B848" s="188"/>
      <c r="C848" s="188"/>
      <c r="D848" s="188"/>
      <c r="E848" s="188"/>
      <c r="F848" s="188"/>
      <c r="G848" s="188"/>
      <c r="H848" s="188"/>
      <c r="I848" s="188"/>
      <c r="J848" s="188"/>
      <c r="K848" s="188"/>
      <c r="L848" s="189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9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</row>
    <row r="849" spans="1:35" ht="14.25" customHeight="1">
      <c r="A849" s="188"/>
      <c r="B849" s="188"/>
      <c r="C849" s="188"/>
      <c r="D849" s="188"/>
      <c r="E849" s="188"/>
      <c r="F849" s="188"/>
      <c r="G849" s="188"/>
      <c r="H849" s="188"/>
      <c r="I849" s="188"/>
      <c r="J849" s="188"/>
      <c r="K849" s="188"/>
      <c r="L849" s="189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9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</row>
    <row r="850" spans="1:35" ht="14.25" customHeight="1">
      <c r="A850" s="188"/>
      <c r="B850" s="188"/>
      <c r="C850" s="188"/>
      <c r="D850" s="188"/>
      <c r="E850" s="188"/>
      <c r="F850" s="188"/>
      <c r="G850" s="188"/>
      <c r="H850" s="188"/>
      <c r="I850" s="188"/>
      <c r="J850" s="188"/>
      <c r="K850" s="188"/>
      <c r="L850" s="189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9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</row>
    <row r="851" spans="1:35" ht="14.25" customHeight="1">
      <c r="A851" s="188"/>
      <c r="B851" s="188"/>
      <c r="C851" s="188"/>
      <c r="D851" s="188"/>
      <c r="E851" s="188"/>
      <c r="F851" s="188"/>
      <c r="G851" s="188"/>
      <c r="H851" s="188"/>
      <c r="I851" s="188"/>
      <c r="J851" s="188"/>
      <c r="K851" s="188"/>
      <c r="L851" s="189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9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</row>
    <row r="852" spans="1:35" ht="14.25" customHeight="1">
      <c r="A852" s="188"/>
      <c r="B852" s="188"/>
      <c r="C852" s="188"/>
      <c r="D852" s="188"/>
      <c r="E852" s="188"/>
      <c r="F852" s="188"/>
      <c r="G852" s="188"/>
      <c r="H852" s="188"/>
      <c r="I852" s="188"/>
      <c r="J852" s="188"/>
      <c r="K852" s="188"/>
      <c r="L852" s="189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9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</row>
    <row r="853" spans="1:35" ht="14.25" customHeight="1">
      <c r="A853" s="188"/>
      <c r="B853" s="188"/>
      <c r="C853" s="188"/>
      <c r="D853" s="188"/>
      <c r="E853" s="188"/>
      <c r="F853" s="188"/>
      <c r="G853" s="188"/>
      <c r="H853" s="188"/>
      <c r="I853" s="188"/>
      <c r="J853" s="188"/>
      <c r="K853" s="188"/>
      <c r="L853" s="189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9"/>
      <c r="Y853" s="188"/>
      <c r="Z853" s="188"/>
      <c r="AA853" s="188"/>
      <c r="AB853" s="188"/>
      <c r="AC853" s="188"/>
      <c r="AD853" s="188"/>
      <c r="AE853" s="188"/>
      <c r="AF853" s="188"/>
      <c r="AG853" s="188"/>
      <c r="AH853" s="188"/>
      <c r="AI853" s="188"/>
    </row>
    <row r="854" spans="1:35" ht="14.25" customHeight="1">
      <c r="A854" s="188"/>
      <c r="B854" s="188"/>
      <c r="C854" s="188"/>
      <c r="D854" s="188"/>
      <c r="E854" s="188"/>
      <c r="F854" s="188"/>
      <c r="G854" s="188"/>
      <c r="H854" s="188"/>
      <c r="I854" s="188"/>
      <c r="J854" s="188"/>
      <c r="K854" s="188"/>
      <c r="L854" s="189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9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</row>
    <row r="855" spans="1:35" ht="14.25" customHeight="1">
      <c r="A855" s="188"/>
      <c r="B855" s="188"/>
      <c r="C855" s="188"/>
      <c r="D855" s="188"/>
      <c r="E855" s="188"/>
      <c r="F855" s="188"/>
      <c r="G855" s="188"/>
      <c r="H855" s="188"/>
      <c r="I855" s="188"/>
      <c r="J855" s="188"/>
      <c r="K855" s="188"/>
      <c r="L855" s="189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9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</row>
    <row r="856" spans="1:35" ht="14.25" customHeight="1">
      <c r="A856" s="188"/>
      <c r="B856" s="188"/>
      <c r="C856" s="188"/>
      <c r="D856" s="188"/>
      <c r="E856" s="188"/>
      <c r="F856" s="188"/>
      <c r="G856" s="188"/>
      <c r="H856" s="188"/>
      <c r="I856" s="188"/>
      <c r="J856" s="188"/>
      <c r="K856" s="188"/>
      <c r="L856" s="189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9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</row>
    <row r="857" spans="1:35" ht="14.25" customHeight="1">
      <c r="A857" s="188"/>
      <c r="B857" s="188"/>
      <c r="C857" s="188"/>
      <c r="D857" s="188"/>
      <c r="E857" s="188"/>
      <c r="F857" s="188"/>
      <c r="G857" s="188"/>
      <c r="H857" s="188"/>
      <c r="I857" s="188"/>
      <c r="J857" s="188"/>
      <c r="K857" s="188"/>
      <c r="L857" s="189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9"/>
      <c r="Y857" s="188"/>
      <c r="Z857" s="188"/>
      <c r="AA857" s="188"/>
      <c r="AB857" s="188"/>
      <c r="AC857" s="188"/>
      <c r="AD857" s="188"/>
      <c r="AE857" s="188"/>
      <c r="AF857" s="188"/>
      <c r="AG857" s="188"/>
      <c r="AH857" s="188"/>
      <c r="AI857" s="188"/>
    </row>
    <row r="858" spans="1:35" ht="14.25" customHeight="1">
      <c r="A858" s="188"/>
      <c r="B858" s="188"/>
      <c r="C858" s="188"/>
      <c r="D858" s="188"/>
      <c r="E858" s="188"/>
      <c r="F858" s="188"/>
      <c r="G858" s="188"/>
      <c r="H858" s="188"/>
      <c r="I858" s="188"/>
      <c r="J858" s="188"/>
      <c r="K858" s="188"/>
      <c r="L858" s="189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9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</row>
    <row r="859" spans="1:35" ht="14.25" customHeight="1">
      <c r="A859" s="188"/>
      <c r="B859" s="188"/>
      <c r="C859" s="188"/>
      <c r="D859" s="188"/>
      <c r="E859" s="188"/>
      <c r="F859" s="188"/>
      <c r="G859" s="188"/>
      <c r="H859" s="188"/>
      <c r="I859" s="188"/>
      <c r="J859" s="188"/>
      <c r="K859" s="188"/>
      <c r="L859" s="189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9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</row>
    <row r="860" spans="1:35" ht="14.25" customHeight="1">
      <c r="A860" s="188"/>
      <c r="B860" s="188"/>
      <c r="C860" s="188"/>
      <c r="D860" s="188"/>
      <c r="E860" s="188"/>
      <c r="F860" s="188"/>
      <c r="G860" s="188"/>
      <c r="H860" s="188"/>
      <c r="I860" s="188"/>
      <c r="J860" s="188"/>
      <c r="K860" s="188"/>
      <c r="L860" s="189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9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</row>
    <row r="861" spans="1:35" ht="14.25" customHeight="1">
      <c r="A861" s="188"/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89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9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</row>
    <row r="862" spans="1:35" ht="14.25" customHeight="1">
      <c r="A862" s="188"/>
      <c r="B862" s="188"/>
      <c r="C862" s="188"/>
      <c r="D862" s="188"/>
      <c r="E862" s="188"/>
      <c r="F862" s="188"/>
      <c r="G862" s="188"/>
      <c r="H862" s="188"/>
      <c r="I862" s="188"/>
      <c r="J862" s="188"/>
      <c r="K862" s="188"/>
      <c r="L862" s="189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9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</row>
    <row r="863" spans="1:35" ht="14.25" customHeight="1">
      <c r="A863" s="188"/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89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9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</row>
    <row r="864" spans="1:35" ht="14.25" customHeight="1">
      <c r="A864" s="188"/>
      <c r="B864" s="188"/>
      <c r="C864" s="188"/>
      <c r="D864" s="188"/>
      <c r="E864" s="188"/>
      <c r="F864" s="188"/>
      <c r="G864" s="188"/>
      <c r="H864" s="188"/>
      <c r="I864" s="188"/>
      <c r="J864" s="188"/>
      <c r="K864" s="188"/>
      <c r="L864" s="189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9"/>
      <c r="Y864" s="188"/>
      <c r="Z864" s="188"/>
      <c r="AA864" s="188"/>
      <c r="AB864" s="188"/>
      <c r="AC864" s="188"/>
      <c r="AD864" s="188"/>
      <c r="AE864" s="188"/>
      <c r="AF864" s="188"/>
      <c r="AG864" s="188"/>
      <c r="AH864" s="188"/>
      <c r="AI864" s="188"/>
    </row>
    <row r="865" spans="1:35" ht="14.25" customHeight="1">
      <c r="A865" s="188"/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89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9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</row>
    <row r="866" spans="1:35" ht="14.25" customHeight="1">
      <c r="A866" s="188"/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89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9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</row>
    <row r="867" spans="1:35" ht="14.25" customHeight="1">
      <c r="A867" s="188"/>
      <c r="B867" s="188"/>
      <c r="C867" s="188"/>
      <c r="D867" s="188"/>
      <c r="E867" s="188"/>
      <c r="F867" s="188"/>
      <c r="G867" s="188"/>
      <c r="H867" s="188"/>
      <c r="I867" s="188"/>
      <c r="J867" s="188"/>
      <c r="K867" s="188"/>
      <c r="L867" s="189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9"/>
      <c r="Y867" s="188"/>
      <c r="Z867" s="188"/>
      <c r="AA867" s="188"/>
      <c r="AB867" s="188"/>
      <c r="AC867" s="188"/>
      <c r="AD867" s="188"/>
      <c r="AE867" s="188"/>
      <c r="AF867" s="188"/>
      <c r="AG867" s="188"/>
      <c r="AH867" s="188"/>
      <c r="AI867" s="188"/>
    </row>
    <row r="868" spans="1:35" ht="14.25" customHeight="1">
      <c r="A868" s="188"/>
      <c r="B868" s="188"/>
      <c r="C868" s="188"/>
      <c r="D868" s="188"/>
      <c r="E868" s="188"/>
      <c r="F868" s="188"/>
      <c r="G868" s="188"/>
      <c r="H868" s="188"/>
      <c r="I868" s="188"/>
      <c r="J868" s="188"/>
      <c r="K868" s="188"/>
      <c r="L868" s="189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9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</row>
    <row r="869" spans="1:35" ht="14.25" customHeight="1">
      <c r="A869" s="188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89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9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</row>
    <row r="870" spans="1:35" ht="14.25" customHeight="1">
      <c r="A870" s="188"/>
      <c r="B870" s="188"/>
      <c r="C870" s="188"/>
      <c r="D870" s="188"/>
      <c r="E870" s="188"/>
      <c r="F870" s="188"/>
      <c r="G870" s="188"/>
      <c r="H870" s="188"/>
      <c r="I870" s="188"/>
      <c r="J870" s="188"/>
      <c r="K870" s="188"/>
      <c r="L870" s="189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9"/>
      <c r="Y870" s="188"/>
      <c r="Z870" s="188"/>
      <c r="AA870" s="188"/>
      <c r="AB870" s="188"/>
      <c r="AC870" s="188"/>
      <c r="AD870" s="188"/>
      <c r="AE870" s="188"/>
      <c r="AF870" s="188"/>
      <c r="AG870" s="188"/>
      <c r="AH870" s="188"/>
      <c r="AI870" s="188"/>
    </row>
    <row r="871" spans="1:35" ht="14.25" customHeight="1">
      <c r="A871" s="188"/>
      <c r="B871" s="188"/>
      <c r="C871" s="188"/>
      <c r="D871" s="188"/>
      <c r="E871" s="188"/>
      <c r="F871" s="188"/>
      <c r="G871" s="188"/>
      <c r="H871" s="188"/>
      <c r="I871" s="188"/>
      <c r="J871" s="188"/>
      <c r="K871" s="188"/>
      <c r="L871" s="189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9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</row>
    <row r="872" spans="1:35" ht="14.25" customHeight="1">
      <c r="A872" s="188"/>
      <c r="B872" s="188"/>
      <c r="C872" s="188"/>
      <c r="D872" s="188"/>
      <c r="E872" s="188"/>
      <c r="F872" s="188"/>
      <c r="G872" s="188"/>
      <c r="H872" s="188"/>
      <c r="I872" s="188"/>
      <c r="J872" s="188"/>
      <c r="K872" s="188"/>
      <c r="L872" s="189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9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</row>
    <row r="873" spans="1:35" ht="14.25" customHeight="1">
      <c r="A873" s="188"/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89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9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</row>
    <row r="874" spans="1:35" ht="14.25" customHeight="1">
      <c r="A874" s="188"/>
      <c r="B874" s="188"/>
      <c r="C874" s="188"/>
      <c r="D874" s="188"/>
      <c r="E874" s="188"/>
      <c r="F874" s="188"/>
      <c r="G874" s="188"/>
      <c r="H874" s="188"/>
      <c r="I874" s="188"/>
      <c r="J874" s="188"/>
      <c r="K874" s="188"/>
      <c r="L874" s="189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9"/>
      <c r="Y874" s="188"/>
      <c r="Z874" s="188"/>
      <c r="AA874" s="188"/>
      <c r="AB874" s="188"/>
      <c r="AC874" s="188"/>
      <c r="AD874" s="188"/>
      <c r="AE874" s="188"/>
      <c r="AF874" s="188"/>
      <c r="AG874" s="188"/>
      <c r="AH874" s="188"/>
      <c r="AI874" s="188"/>
    </row>
    <row r="875" spans="1:35" ht="14.25" customHeight="1">
      <c r="A875" s="188"/>
      <c r="B875" s="188"/>
      <c r="C875" s="188"/>
      <c r="D875" s="188"/>
      <c r="E875" s="188"/>
      <c r="F875" s="188"/>
      <c r="G875" s="188"/>
      <c r="H875" s="188"/>
      <c r="I875" s="188"/>
      <c r="J875" s="188"/>
      <c r="K875" s="188"/>
      <c r="L875" s="189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9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</row>
    <row r="876" spans="1:35" ht="14.25" customHeight="1">
      <c r="A876" s="188"/>
      <c r="B876" s="188"/>
      <c r="C876" s="188"/>
      <c r="D876" s="188"/>
      <c r="E876" s="188"/>
      <c r="F876" s="188"/>
      <c r="G876" s="188"/>
      <c r="H876" s="188"/>
      <c r="I876" s="188"/>
      <c r="J876" s="188"/>
      <c r="K876" s="188"/>
      <c r="L876" s="189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9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</row>
    <row r="877" spans="1:35" ht="14.25" customHeight="1">
      <c r="A877" s="188"/>
      <c r="B877" s="188"/>
      <c r="C877" s="188"/>
      <c r="D877" s="188"/>
      <c r="E877" s="188"/>
      <c r="F877" s="188"/>
      <c r="G877" s="188"/>
      <c r="H877" s="188"/>
      <c r="I877" s="188"/>
      <c r="J877" s="188"/>
      <c r="K877" s="188"/>
      <c r="L877" s="189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9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</row>
    <row r="878" spans="1:35" ht="14.25" customHeight="1">
      <c r="A878" s="188"/>
      <c r="B878" s="188"/>
      <c r="C878" s="188"/>
      <c r="D878" s="188"/>
      <c r="E878" s="188"/>
      <c r="F878" s="188"/>
      <c r="G878" s="188"/>
      <c r="H878" s="188"/>
      <c r="I878" s="188"/>
      <c r="J878" s="188"/>
      <c r="K878" s="188"/>
      <c r="L878" s="189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9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</row>
    <row r="879" spans="1:35" ht="14.25" customHeight="1">
      <c r="A879" s="188"/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89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9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</row>
    <row r="880" spans="1:35" ht="14.25" customHeight="1">
      <c r="A880" s="188"/>
      <c r="B880" s="188"/>
      <c r="C880" s="188"/>
      <c r="D880" s="188"/>
      <c r="E880" s="188"/>
      <c r="F880" s="188"/>
      <c r="G880" s="188"/>
      <c r="H880" s="188"/>
      <c r="I880" s="188"/>
      <c r="J880" s="188"/>
      <c r="K880" s="188"/>
      <c r="L880" s="189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9"/>
      <c r="Y880" s="188"/>
      <c r="Z880" s="188"/>
      <c r="AA880" s="188"/>
      <c r="AB880" s="188"/>
      <c r="AC880" s="188"/>
      <c r="AD880" s="188"/>
      <c r="AE880" s="188"/>
      <c r="AF880" s="188"/>
      <c r="AG880" s="188"/>
      <c r="AH880" s="188"/>
      <c r="AI880" s="188"/>
    </row>
    <row r="881" spans="1:35" ht="14.25" customHeight="1">
      <c r="A881" s="188"/>
      <c r="B881" s="188"/>
      <c r="C881" s="188"/>
      <c r="D881" s="188"/>
      <c r="E881" s="188"/>
      <c r="F881" s="188"/>
      <c r="G881" s="188"/>
      <c r="H881" s="188"/>
      <c r="I881" s="188"/>
      <c r="J881" s="188"/>
      <c r="K881" s="188"/>
      <c r="L881" s="189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9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</row>
    <row r="882" spans="1:35" ht="14.25" customHeight="1">
      <c r="A882" s="188"/>
      <c r="B882" s="188"/>
      <c r="C882" s="188"/>
      <c r="D882" s="188"/>
      <c r="E882" s="188"/>
      <c r="F882" s="188"/>
      <c r="G882" s="188"/>
      <c r="H882" s="188"/>
      <c r="I882" s="188"/>
      <c r="J882" s="188"/>
      <c r="K882" s="188"/>
      <c r="L882" s="189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9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</row>
    <row r="883" spans="1:35" ht="14.25" customHeight="1">
      <c r="A883" s="188"/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89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9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</row>
    <row r="884" spans="1:35" ht="14.25" customHeight="1">
      <c r="A884" s="188"/>
      <c r="B884" s="188"/>
      <c r="C884" s="188"/>
      <c r="D884" s="188"/>
      <c r="E884" s="188"/>
      <c r="F884" s="188"/>
      <c r="G884" s="188"/>
      <c r="H884" s="188"/>
      <c r="I884" s="188"/>
      <c r="J884" s="188"/>
      <c r="K884" s="188"/>
      <c r="L884" s="189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9"/>
      <c r="Y884" s="188"/>
      <c r="Z884" s="188"/>
      <c r="AA884" s="188"/>
      <c r="AB884" s="188"/>
      <c r="AC884" s="188"/>
      <c r="AD884" s="188"/>
      <c r="AE884" s="188"/>
      <c r="AF884" s="188"/>
      <c r="AG884" s="188"/>
      <c r="AH884" s="188"/>
      <c r="AI884" s="188"/>
    </row>
    <row r="885" spans="1:35" ht="14.25" customHeight="1">
      <c r="A885" s="188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89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9"/>
      <c r="Y885" s="188"/>
      <c r="Z885" s="188"/>
      <c r="AA885" s="188"/>
      <c r="AB885" s="188"/>
      <c r="AC885" s="188"/>
      <c r="AD885" s="188"/>
      <c r="AE885" s="188"/>
      <c r="AF885" s="188"/>
      <c r="AG885" s="188"/>
      <c r="AH885" s="188"/>
      <c r="AI885" s="188"/>
    </row>
    <row r="886" spans="1:35" ht="14.25" customHeight="1">
      <c r="A886" s="188"/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89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9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</row>
    <row r="887" spans="1:35" ht="14.25" customHeight="1">
      <c r="A887" s="188"/>
      <c r="B887" s="188"/>
      <c r="C887" s="188"/>
      <c r="D887" s="188"/>
      <c r="E887" s="188"/>
      <c r="F887" s="188"/>
      <c r="G887" s="188"/>
      <c r="H887" s="188"/>
      <c r="I887" s="188"/>
      <c r="J887" s="188"/>
      <c r="K887" s="188"/>
      <c r="L887" s="189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9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</row>
    <row r="888" spans="1:35" ht="14.25" customHeight="1">
      <c r="A888" s="188"/>
      <c r="B888" s="188"/>
      <c r="C888" s="188"/>
      <c r="D888" s="188"/>
      <c r="E888" s="188"/>
      <c r="F888" s="188"/>
      <c r="G888" s="188"/>
      <c r="H888" s="188"/>
      <c r="I888" s="188"/>
      <c r="J888" s="188"/>
      <c r="K888" s="188"/>
      <c r="L888" s="189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9"/>
      <c r="Y888" s="188"/>
      <c r="Z888" s="188"/>
      <c r="AA888" s="188"/>
      <c r="AB888" s="188"/>
      <c r="AC888" s="188"/>
      <c r="AD888" s="188"/>
      <c r="AE888" s="188"/>
      <c r="AF888" s="188"/>
      <c r="AG888" s="188"/>
      <c r="AH888" s="188"/>
      <c r="AI888" s="188"/>
    </row>
    <row r="889" spans="1:35" ht="14.25" customHeight="1">
      <c r="A889" s="188"/>
      <c r="B889" s="188"/>
      <c r="C889" s="188"/>
      <c r="D889" s="188"/>
      <c r="E889" s="188"/>
      <c r="F889" s="188"/>
      <c r="G889" s="188"/>
      <c r="H889" s="188"/>
      <c r="I889" s="188"/>
      <c r="J889" s="188"/>
      <c r="K889" s="188"/>
      <c r="L889" s="189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9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</row>
    <row r="890" spans="1:35" ht="14.25" customHeight="1">
      <c r="A890" s="188"/>
      <c r="B890" s="188"/>
      <c r="C890" s="188"/>
      <c r="D890" s="188"/>
      <c r="E890" s="188"/>
      <c r="F890" s="188"/>
      <c r="G890" s="188"/>
      <c r="H890" s="188"/>
      <c r="I890" s="188"/>
      <c r="J890" s="188"/>
      <c r="K890" s="188"/>
      <c r="L890" s="189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9"/>
      <c r="Y890" s="188"/>
      <c r="Z890" s="188"/>
      <c r="AA890" s="188"/>
      <c r="AB890" s="188"/>
      <c r="AC890" s="188"/>
      <c r="AD890" s="188"/>
      <c r="AE890" s="188"/>
      <c r="AF890" s="188"/>
      <c r="AG890" s="188"/>
      <c r="AH890" s="188"/>
      <c r="AI890" s="188"/>
    </row>
    <row r="891" spans="1:35" ht="14.25" customHeight="1">
      <c r="A891" s="188"/>
      <c r="B891" s="188"/>
      <c r="C891" s="188"/>
      <c r="D891" s="188"/>
      <c r="E891" s="188"/>
      <c r="F891" s="188"/>
      <c r="G891" s="188"/>
      <c r="H891" s="188"/>
      <c r="I891" s="188"/>
      <c r="J891" s="188"/>
      <c r="K891" s="188"/>
      <c r="L891" s="189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9"/>
      <c r="Y891" s="188"/>
      <c r="Z891" s="188"/>
      <c r="AA891" s="188"/>
      <c r="AB891" s="188"/>
      <c r="AC891" s="188"/>
      <c r="AD891" s="188"/>
      <c r="AE891" s="188"/>
      <c r="AF891" s="188"/>
      <c r="AG891" s="188"/>
      <c r="AH891" s="188"/>
      <c r="AI891" s="188"/>
    </row>
    <row r="892" spans="1:35" ht="14.25" customHeight="1">
      <c r="A892" s="188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9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9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</row>
    <row r="893" spans="1:35" ht="14.25" customHeight="1">
      <c r="A893" s="188"/>
      <c r="B893" s="188"/>
      <c r="C893" s="188"/>
      <c r="D893" s="188"/>
      <c r="E893" s="188"/>
      <c r="F893" s="188"/>
      <c r="G893" s="188"/>
      <c r="H893" s="188"/>
      <c r="I893" s="188"/>
      <c r="J893" s="188"/>
      <c r="K893" s="188"/>
      <c r="L893" s="189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9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</row>
    <row r="894" spans="1:35" ht="14.25" customHeight="1">
      <c r="A894" s="188"/>
      <c r="B894" s="188"/>
      <c r="C894" s="188"/>
      <c r="D894" s="188"/>
      <c r="E894" s="188"/>
      <c r="F894" s="188"/>
      <c r="G894" s="188"/>
      <c r="H894" s="188"/>
      <c r="I894" s="188"/>
      <c r="J894" s="188"/>
      <c r="K894" s="188"/>
      <c r="L894" s="189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9"/>
      <c r="Y894" s="188"/>
      <c r="Z894" s="188"/>
      <c r="AA894" s="188"/>
      <c r="AB894" s="188"/>
      <c r="AC894" s="188"/>
      <c r="AD894" s="188"/>
      <c r="AE894" s="188"/>
      <c r="AF894" s="188"/>
      <c r="AG894" s="188"/>
      <c r="AH894" s="188"/>
      <c r="AI894" s="188"/>
    </row>
    <row r="895" spans="1:35" ht="14.25" customHeight="1">
      <c r="A895" s="188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89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9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</row>
    <row r="896" spans="1:35" ht="14.25" customHeight="1">
      <c r="A896" s="188"/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89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9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</row>
    <row r="897" spans="1:35" ht="14.25" customHeight="1">
      <c r="A897" s="188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89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9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</row>
    <row r="898" spans="1:35" ht="14.25" customHeight="1">
      <c r="A898" s="188"/>
      <c r="B898" s="188"/>
      <c r="C898" s="188"/>
      <c r="D898" s="188"/>
      <c r="E898" s="188"/>
      <c r="F898" s="188"/>
      <c r="G898" s="188"/>
      <c r="H898" s="188"/>
      <c r="I898" s="188"/>
      <c r="J898" s="188"/>
      <c r="K898" s="188"/>
      <c r="L898" s="189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9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</row>
    <row r="899" spans="1:35" ht="14.25" customHeight="1">
      <c r="A899" s="188"/>
      <c r="B899" s="188"/>
      <c r="C899" s="188"/>
      <c r="D899" s="188"/>
      <c r="E899" s="188"/>
      <c r="F899" s="188"/>
      <c r="G899" s="188"/>
      <c r="H899" s="188"/>
      <c r="I899" s="188"/>
      <c r="J899" s="188"/>
      <c r="K899" s="188"/>
      <c r="L899" s="189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9"/>
      <c r="Y899" s="188"/>
      <c r="Z899" s="188"/>
      <c r="AA899" s="188"/>
      <c r="AB899" s="188"/>
      <c r="AC899" s="188"/>
      <c r="AD899" s="188"/>
      <c r="AE899" s="188"/>
      <c r="AF899" s="188"/>
      <c r="AG899" s="188"/>
      <c r="AH899" s="188"/>
      <c r="AI899" s="188"/>
    </row>
    <row r="900" spans="1:35" ht="14.25" customHeight="1">
      <c r="A900" s="188"/>
      <c r="B900" s="188"/>
      <c r="C900" s="188"/>
      <c r="D900" s="188"/>
      <c r="E900" s="188"/>
      <c r="F900" s="188"/>
      <c r="G900" s="188"/>
      <c r="H900" s="188"/>
      <c r="I900" s="188"/>
      <c r="J900" s="188"/>
      <c r="K900" s="188"/>
      <c r="L900" s="189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9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</row>
    <row r="901" spans="1:35" ht="14.25" customHeight="1">
      <c r="A901" s="188"/>
      <c r="B901" s="188"/>
      <c r="C901" s="188"/>
      <c r="D901" s="188"/>
      <c r="E901" s="188"/>
      <c r="F901" s="188"/>
      <c r="G901" s="188"/>
      <c r="H901" s="188"/>
      <c r="I901" s="188"/>
      <c r="J901" s="188"/>
      <c r="K901" s="188"/>
      <c r="L901" s="189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9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</row>
    <row r="902" spans="1:35" ht="14.25" customHeight="1">
      <c r="A902" s="188"/>
      <c r="B902" s="188"/>
      <c r="C902" s="188"/>
      <c r="D902" s="188"/>
      <c r="E902" s="188"/>
      <c r="F902" s="188"/>
      <c r="G902" s="188"/>
      <c r="H902" s="188"/>
      <c r="I902" s="188"/>
      <c r="J902" s="188"/>
      <c r="K902" s="188"/>
      <c r="L902" s="189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9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</row>
    <row r="903" spans="1:35" ht="14.25" customHeight="1">
      <c r="A903" s="188"/>
      <c r="B903" s="188"/>
      <c r="C903" s="188"/>
      <c r="D903" s="188"/>
      <c r="E903" s="188"/>
      <c r="F903" s="188"/>
      <c r="G903" s="188"/>
      <c r="H903" s="188"/>
      <c r="I903" s="188"/>
      <c r="J903" s="188"/>
      <c r="K903" s="188"/>
      <c r="L903" s="189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9"/>
      <c r="Y903" s="188"/>
      <c r="Z903" s="188"/>
      <c r="AA903" s="188"/>
      <c r="AB903" s="188"/>
      <c r="AC903" s="188"/>
      <c r="AD903" s="188"/>
      <c r="AE903" s="188"/>
      <c r="AF903" s="188"/>
      <c r="AG903" s="188"/>
      <c r="AH903" s="188"/>
      <c r="AI903" s="188"/>
    </row>
    <row r="904" spans="1:35" ht="14.25" customHeight="1">
      <c r="A904" s="188"/>
      <c r="B904" s="188"/>
      <c r="C904" s="188"/>
      <c r="D904" s="188"/>
      <c r="E904" s="188"/>
      <c r="F904" s="188"/>
      <c r="G904" s="188"/>
      <c r="H904" s="188"/>
      <c r="I904" s="188"/>
      <c r="J904" s="188"/>
      <c r="K904" s="188"/>
      <c r="L904" s="189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9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</row>
    <row r="905" spans="1:35" ht="14.25" customHeight="1">
      <c r="A905" s="188"/>
      <c r="B905" s="188"/>
      <c r="C905" s="188"/>
      <c r="D905" s="188"/>
      <c r="E905" s="188"/>
      <c r="F905" s="188"/>
      <c r="G905" s="188"/>
      <c r="H905" s="188"/>
      <c r="I905" s="188"/>
      <c r="J905" s="188"/>
      <c r="K905" s="188"/>
      <c r="L905" s="189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9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</row>
    <row r="906" spans="1:35" ht="14.25" customHeight="1">
      <c r="A906" s="188"/>
      <c r="B906" s="188"/>
      <c r="C906" s="188"/>
      <c r="D906" s="188"/>
      <c r="E906" s="188"/>
      <c r="F906" s="188"/>
      <c r="G906" s="188"/>
      <c r="H906" s="188"/>
      <c r="I906" s="188"/>
      <c r="J906" s="188"/>
      <c r="K906" s="188"/>
      <c r="L906" s="189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9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</row>
    <row r="907" spans="1:35" ht="14.25" customHeight="1">
      <c r="A907" s="188"/>
      <c r="B907" s="188"/>
      <c r="C907" s="188"/>
      <c r="D907" s="188"/>
      <c r="E907" s="188"/>
      <c r="F907" s="188"/>
      <c r="G907" s="188"/>
      <c r="H907" s="188"/>
      <c r="I907" s="188"/>
      <c r="J907" s="188"/>
      <c r="K907" s="188"/>
      <c r="L907" s="189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9"/>
      <c r="Y907" s="188"/>
      <c r="Z907" s="188"/>
      <c r="AA907" s="188"/>
      <c r="AB907" s="188"/>
      <c r="AC907" s="188"/>
      <c r="AD907" s="188"/>
      <c r="AE907" s="188"/>
      <c r="AF907" s="188"/>
      <c r="AG907" s="188"/>
      <c r="AH907" s="188"/>
      <c r="AI907" s="188"/>
    </row>
    <row r="908" spans="1:35" ht="14.25" customHeight="1">
      <c r="A908" s="188"/>
      <c r="B908" s="188"/>
      <c r="C908" s="188"/>
      <c r="D908" s="188"/>
      <c r="E908" s="188"/>
      <c r="F908" s="188"/>
      <c r="G908" s="188"/>
      <c r="H908" s="188"/>
      <c r="I908" s="188"/>
      <c r="J908" s="188"/>
      <c r="K908" s="188"/>
      <c r="L908" s="189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9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</row>
    <row r="909" spans="1:35" ht="14.25" customHeight="1">
      <c r="A909" s="188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89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9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</row>
    <row r="910" spans="1:35" ht="14.25" customHeight="1">
      <c r="A910" s="188"/>
      <c r="B910" s="188"/>
      <c r="C910" s="188"/>
      <c r="D910" s="188"/>
      <c r="E910" s="188"/>
      <c r="F910" s="188"/>
      <c r="G910" s="188"/>
      <c r="H910" s="188"/>
      <c r="I910" s="188"/>
      <c r="J910" s="188"/>
      <c r="K910" s="188"/>
      <c r="L910" s="189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9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</row>
    <row r="911" spans="1:35" ht="14.25" customHeight="1">
      <c r="A911" s="188"/>
      <c r="B911" s="188"/>
      <c r="C911" s="188"/>
      <c r="D911" s="188"/>
      <c r="E911" s="188"/>
      <c r="F911" s="188"/>
      <c r="G911" s="188"/>
      <c r="H911" s="188"/>
      <c r="I911" s="188"/>
      <c r="J911" s="188"/>
      <c r="K911" s="188"/>
      <c r="L911" s="189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9"/>
      <c r="Y911" s="188"/>
      <c r="Z911" s="188"/>
      <c r="AA911" s="188"/>
      <c r="AB911" s="188"/>
      <c r="AC911" s="188"/>
      <c r="AD911" s="188"/>
      <c r="AE911" s="188"/>
      <c r="AF911" s="188"/>
      <c r="AG911" s="188"/>
      <c r="AH911" s="188"/>
      <c r="AI911" s="188"/>
    </row>
    <row r="912" spans="1:35" ht="14.25" customHeight="1">
      <c r="A912" s="188"/>
      <c r="B912" s="188"/>
      <c r="C912" s="188"/>
      <c r="D912" s="188"/>
      <c r="E912" s="188"/>
      <c r="F912" s="188"/>
      <c r="G912" s="188"/>
      <c r="H912" s="188"/>
      <c r="I912" s="188"/>
      <c r="J912" s="188"/>
      <c r="K912" s="188"/>
      <c r="L912" s="189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9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</row>
    <row r="913" spans="1:35" ht="14.25" customHeight="1">
      <c r="A913" s="188"/>
      <c r="B913" s="188"/>
      <c r="C913" s="188"/>
      <c r="D913" s="188"/>
      <c r="E913" s="188"/>
      <c r="F913" s="188"/>
      <c r="G913" s="188"/>
      <c r="H913" s="188"/>
      <c r="I913" s="188"/>
      <c r="J913" s="188"/>
      <c r="K913" s="188"/>
      <c r="L913" s="189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9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</row>
    <row r="914" spans="1:35" ht="14.25" customHeight="1">
      <c r="A914" s="188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89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9"/>
      <c r="Y914" s="188"/>
      <c r="Z914" s="188"/>
      <c r="AA914" s="188"/>
      <c r="AB914" s="188"/>
      <c r="AC914" s="188"/>
      <c r="AD914" s="188"/>
      <c r="AE914" s="188"/>
      <c r="AF914" s="188"/>
      <c r="AG914" s="188"/>
      <c r="AH914" s="188"/>
      <c r="AI914" s="188"/>
    </row>
    <row r="915" spans="1:35" ht="14.25" customHeight="1">
      <c r="A915" s="188"/>
      <c r="B915" s="188"/>
      <c r="C915" s="188"/>
      <c r="D915" s="188"/>
      <c r="E915" s="188"/>
      <c r="F915" s="188"/>
      <c r="G915" s="188"/>
      <c r="H915" s="188"/>
      <c r="I915" s="188"/>
      <c r="J915" s="188"/>
      <c r="K915" s="188"/>
      <c r="L915" s="189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9"/>
      <c r="Y915" s="188"/>
      <c r="Z915" s="188"/>
      <c r="AA915" s="188"/>
      <c r="AB915" s="188"/>
      <c r="AC915" s="188"/>
      <c r="AD915" s="188"/>
      <c r="AE915" s="188"/>
      <c r="AF915" s="188"/>
      <c r="AG915" s="188"/>
      <c r="AH915" s="188"/>
      <c r="AI915" s="188"/>
    </row>
    <row r="916" spans="1:35" ht="14.25" customHeight="1">
      <c r="A916" s="188"/>
      <c r="B916" s="188"/>
      <c r="C916" s="188"/>
      <c r="D916" s="188"/>
      <c r="E916" s="188"/>
      <c r="F916" s="188"/>
      <c r="G916" s="188"/>
      <c r="H916" s="188"/>
      <c r="I916" s="188"/>
      <c r="J916" s="188"/>
      <c r="K916" s="188"/>
      <c r="L916" s="189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9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</row>
    <row r="917" spans="1:35" ht="14.25" customHeight="1">
      <c r="A917" s="188"/>
      <c r="B917" s="188"/>
      <c r="C917" s="188"/>
      <c r="D917" s="188"/>
      <c r="E917" s="188"/>
      <c r="F917" s="188"/>
      <c r="G917" s="188"/>
      <c r="H917" s="188"/>
      <c r="I917" s="188"/>
      <c r="J917" s="188"/>
      <c r="K917" s="188"/>
      <c r="L917" s="189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9"/>
      <c r="Y917" s="188"/>
      <c r="Z917" s="188"/>
      <c r="AA917" s="188"/>
      <c r="AB917" s="188"/>
      <c r="AC917" s="188"/>
      <c r="AD917" s="188"/>
      <c r="AE917" s="188"/>
      <c r="AF917" s="188"/>
      <c r="AG917" s="188"/>
      <c r="AH917" s="188"/>
      <c r="AI917" s="188"/>
    </row>
    <row r="918" spans="1:35" ht="14.25" customHeight="1">
      <c r="A918" s="188"/>
      <c r="B918" s="188"/>
      <c r="C918" s="188"/>
      <c r="D918" s="188"/>
      <c r="E918" s="188"/>
      <c r="F918" s="188"/>
      <c r="G918" s="188"/>
      <c r="H918" s="188"/>
      <c r="I918" s="188"/>
      <c r="J918" s="188"/>
      <c r="K918" s="188"/>
      <c r="L918" s="189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9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</row>
    <row r="919" spans="1:35" ht="14.25" customHeight="1">
      <c r="A919" s="188"/>
      <c r="B919" s="188"/>
      <c r="C919" s="188"/>
      <c r="D919" s="188"/>
      <c r="E919" s="188"/>
      <c r="F919" s="188"/>
      <c r="G919" s="188"/>
      <c r="H919" s="188"/>
      <c r="I919" s="188"/>
      <c r="J919" s="188"/>
      <c r="K919" s="188"/>
      <c r="L919" s="189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9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</row>
    <row r="920" spans="1:35" ht="14.25" customHeight="1">
      <c r="A920" s="188"/>
      <c r="B920" s="188"/>
      <c r="C920" s="188"/>
      <c r="D920" s="188"/>
      <c r="E920" s="188"/>
      <c r="F920" s="188"/>
      <c r="G920" s="188"/>
      <c r="H920" s="188"/>
      <c r="I920" s="188"/>
      <c r="J920" s="188"/>
      <c r="K920" s="188"/>
      <c r="L920" s="189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9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</row>
    <row r="921" spans="1:35" ht="14.25" customHeight="1">
      <c r="A921" s="188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89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9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</row>
    <row r="922" spans="1:35" ht="14.25" customHeight="1">
      <c r="A922" s="188"/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89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9"/>
      <c r="Y922" s="188"/>
      <c r="Z922" s="188"/>
      <c r="AA922" s="188"/>
      <c r="AB922" s="188"/>
      <c r="AC922" s="188"/>
      <c r="AD922" s="188"/>
      <c r="AE922" s="188"/>
      <c r="AF922" s="188"/>
      <c r="AG922" s="188"/>
      <c r="AH922" s="188"/>
      <c r="AI922" s="188"/>
    </row>
    <row r="923" spans="1:35" ht="14.25" customHeight="1">
      <c r="A923" s="188"/>
      <c r="B923" s="188"/>
      <c r="C923" s="188"/>
      <c r="D923" s="188"/>
      <c r="E923" s="188"/>
      <c r="F923" s="188"/>
      <c r="G923" s="188"/>
      <c r="H923" s="188"/>
      <c r="I923" s="188"/>
      <c r="J923" s="188"/>
      <c r="K923" s="188"/>
      <c r="L923" s="189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9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</row>
    <row r="924" spans="1:35" ht="14.25" customHeight="1">
      <c r="A924" s="188"/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89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9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</row>
    <row r="925" spans="1:35" ht="14.25" customHeight="1">
      <c r="A925" s="188"/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89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9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</row>
    <row r="926" spans="1:35" ht="14.25" customHeight="1">
      <c r="A926" s="188"/>
      <c r="B926" s="188"/>
      <c r="C926" s="188"/>
      <c r="D926" s="188"/>
      <c r="E926" s="188"/>
      <c r="F926" s="188"/>
      <c r="G926" s="188"/>
      <c r="H926" s="188"/>
      <c r="I926" s="188"/>
      <c r="J926" s="188"/>
      <c r="K926" s="188"/>
      <c r="L926" s="189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9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</row>
    <row r="927" spans="1:35" ht="14.25" customHeight="1">
      <c r="A927" s="188"/>
      <c r="B927" s="188"/>
      <c r="C927" s="188"/>
      <c r="D927" s="188"/>
      <c r="E927" s="188"/>
      <c r="F927" s="188"/>
      <c r="G927" s="188"/>
      <c r="H927" s="188"/>
      <c r="I927" s="188"/>
      <c r="J927" s="188"/>
      <c r="K927" s="188"/>
      <c r="L927" s="189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9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</row>
    <row r="928" spans="1:35" ht="14.25" customHeight="1">
      <c r="A928" s="188"/>
      <c r="B928" s="188"/>
      <c r="C928" s="188"/>
      <c r="D928" s="188"/>
      <c r="E928" s="188"/>
      <c r="F928" s="188"/>
      <c r="G928" s="188"/>
      <c r="H928" s="188"/>
      <c r="I928" s="188"/>
      <c r="J928" s="188"/>
      <c r="K928" s="188"/>
      <c r="L928" s="189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9"/>
      <c r="Y928" s="188"/>
      <c r="Z928" s="188"/>
      <c r="AA928" s="188"/>
      <c r="AB928" s="188"/>
      <c r="AC928" s="188"/>
      <c r="AD928" s="188"/>
      <c r="AE928" s="188"/>
      <c r="AF928" s="188"/>
      <c r="AG928" s="188"/>
      <c r="AH928" s="188"/>
      <c r="AI928" s="188"/>
    </row>
    <row r="929" spans="1:35" ht="14.25" customHeight="1">
      <c r="A929" s="188"/>
      <c r="B929" s="188"/>
      <c r="C929" s="188"/>
      <c r="D929" s="188"/>
      <c r="E929" s="188"/>
      <c r="F929" s="188"/>
      <c r="G929" s="188"/>
      <c r="H929" s="188"/>
      <c r="I929" s="188"/>
      <c r="J929" s="188"/>
      <c r="K929" s="188"/>
      <c r="L929" s="189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9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</row>
    <row r="930" spans="1:35" ht="14.25" customHeight="1">
      <c r="A930" s="188"/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89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9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</row>
    <row r="931" spans="1:35" ht="14.25" customHeight="1">
      <c r="A931" s="188"/>
      <c r="B931" s="188"/>
      <c r="C931" s="188"/>
      <c r="D931" s="188"/>
      <c r="E931" s="188"/>
      <c r="F931" s="188"/>
      <c r="G931" s="188"/>
      <c r="H931" s="188"/>
      <c r="I931" s="188"/>
      <c r="J931" s="188"/>
      <c r="K931" s="188"/>
      <c r="L931" s="189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9"/>
      <c r="Y931" s="188"/>
      <c r="Z931" s="188"/>
      <c r="AA931" s="188"/>
      <c r="AB931" s="188"/>
      <c r="AC931" s="188"/>
      <c r="AD931" s="188"/>
      <c r="AE931" s="188"/>
      <c r="AF931" s="188"/>
      <c r="AG931" s="188"/>
      <c r="AH931" s="188"/>
      <c r="AI931" s="188"/>
    </row>
    <row r="932" spans="1:35" ht="14.25" customHeight="1">
      <c r="A932" s="188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89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9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</row>
    <row r="933" spans="1:35" ht="14.25" customHeight="1">
      <c r="A933" s="188"/>
      <c r="B933" s="188"/>
      <c r="C933" s="188"/>
      <c r="D933" s="188"/>
      <c r="E933" s="188"/>
      <c r="F933" s="188"/>
      <c r="G933" s="188"/>
      <c r="H933" s="188"/>
      <c r="I933" s="188"/>
      <c r="J933" s="188"/>
      <c r="K933" s="188"/>
      <c r="L933" s="189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9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</row>
    <row r="934" spans="1:35" ht="14.25" customHeight="1">
      <c r="A934" s="188"/>
      <c r="B934" s="188"/>
      <c r="C934" s="188"/>
      <c r="D934" s="188"/>
      <c r="E934" s="188"/>
      <c r="F934" s="188"/>
      <c r="G934" s="188"/>
      <c r="H934" s="188"/>
      <c r="I934" s="188"/>
      <c r="J934" s="188"/>
      <c r="K934" s="188"/>
      <c r="L934" s="189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9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</row>
    <row r="935" spans="1:35" ht="14.25" customHeight="1">
      <c r="A935" s="188"/>
      <c r="B935" s="188"/>
      <c r="C935" s="188"/>
      <c r="D935" s="188"/>
      <c r="E935" s="188"/>
      <c r="F935" s="188"/>
      <c r="G935" s="188"/>
      <c r="H935" s="188"/>
      <c r="I935" s="188"/>
      <c r="J935" s="188"/>
      <c r="K935" s="188"/>
      <c r="L935" s="189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9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</row>
    <row r="936" spans="1:35" ht="14.25" customHeight="1">
      <c r="A936" s="188"/>
      <c r="B936" s="188"/>
      <c r="C936" s="188"/>
      <c r="D936" s="188"/>
      <c r="E936" s="188"/>
      <c r="F936" s="188"/>
      <c r="G936" s="188"/>
      <c r="H936" s="188"/>
      <c r="I936" s="188"/>
      <c r="J936" s="188"/>
      <c r="K936" s="188"/>
      <c r="L936" s="189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9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</row>
    <row r="937" spans="1:35" ht="14.25" customHeight="1">
      <c r="A937" s="188"/>
      <c r="B937" s="188"/>
      <c r="C937" s="188"/>
      <c r="D937" s="188"/>
      <c r="E937" s="188"/>
      <c r="F937" s="188"/>
      <c r="G937" s="188"/>
      <c r="H937" s="188"/>
      <c r="I937" s="188"/>
      <c r="J937" s="188"/>
      <c r="K937" s="188"/>
      <c r="L937" s="189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9"/>
      <c r="Y937" s="188"/>
      <c r="Z937" s="188"/>
      <c r="AA937" s="188"/>
      <c r="AB937" s="188"/>
      <c r="AC937" s="188"/>
      <c r="AD937" s="188"/>
      <c r="AE937" s="188"/>
      <c r="AF937" s="188"/>
      <c r="AG937" s="188"/>
      <c r="AH937" s="188"/>
      <c r="AI937" s="188"/>
    </row>
    <row r="938" spans="1:35" ht="14.25" customHeight="1">
      <c r="A938" s="188"/>
      <c r="B938" s="188"/>
      <c r="C938" s="188"/>
      <c r="D938" s="188"/>
      <c r="E938" s="188"/>
      <c r="F938" s="188"/>
      <c r="G938" s="188"/>
      <c r="H938" s="188"/>
      <c r="I938" s="188"/>
      <c r="J938" s="188"/>
      <c r="K938" s="188"/>
      <c r="L938" s="189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9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</row>
    <row r="939" spans="1:35" ht="14.25" customHeight="1">
      <c r="A939" s="188"/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89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9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</row>
    <row r="940" spans="1:35" ht="14.25" customHeight="1">
      <c r="A940" s="188"/>
      <c r="B940" s="188"/>
      <c r="C940" s="188"/>
      <c r="D940" s="188"/>
      <c r="E940" s="188"/>
      <c r="F940" s="188"/>
      <c r="G940" s="188"/>
      <c r="H940" s="188"/>
      <c r="I940" s="188"/>
      <c r="J940" s="188"/>
      <c r="K940" s="188"/>
      <c r="L940" s="189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9"/>
      <c r="Y940" s="188"/>
      <c r="Z940" s="188"/>
      <c r="AA940" s="188"/>
      <c r="AB940" s="188"/>
      <c r="AC940" s="188"/>
      <c r="AD940" s="188"/>
      <c r="AE940" s="188"/>
      <c r="AF940" s="188"/>
      <c r="AG940" s="188"/>
      <c r="AH940" s="188"/>
      <c r="AI940" s="188"/>
    </row>
    <row r="941" spans="1:35" ht="14.25" customHeight="1">
      <c r="A941" s="188"/>
      <c r="B941" s="188"/>
      <c r="C941" s="188"/>
      <c r="D941" s="188"/>
      <c r="E941" s="188"/>
      <c r="F941" s="188"/>
      <c r="G941" s="188"/>
      <c r="H941" s="188"/>
      <c r="I941" s="188"/>
      <c r="J941" s="188"/>
      <c r="K941" s="188"/>
      <c r="L941" s="189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9"/>
      <c r="Y941" s="188"/>
      <c r="Z941" s="188"/>
      <c r="AA941" s="188"/>
      <c r="AB941" s="188"/>
      <c r="AC941" s="188"/>
      <c r="AD941" s="188"/>
      <c r="AE941" s="188"/>
      <c r="AF941" s="188"/>
      <c r="AG941" s="188"/>
      <c r="AH941" s="188"/>
      <c r="AI941" s="188"/>
    </row>
    <row r="942" spans="1:35" ht="14.25" customHeight="1">
      <c r="A942" s="188"/>
      <c r="B942" s="188"/>
      <c r="C942" s="188"/>
      <c r="D942" s="188"/>
      <c r="E942" s="188"/>
      <c r="F942" s="188"/>
      <c r="G942" s="188"/>
      <c r="H942" s="188"/>
      <c r="I942" s="188"/>
      <c r="J942" s="188"/>
      <c r="K942" s="188"/>
      <c r="L942" s="189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9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</row>
    <row r="943" spans="1:35" ht="14.25" customHeight="1">
      <c r="A943" s="188"/>
      <c r="B943" s="188"/>
      <c r="C943" s="188"/>
      <c r="D943" s="188"/>
      <c r="E943" s="188"/>
      <c r="F943" s="188"/>
      <c r="G943" s="188"/>
      <c r="H943" s="188"/>
      <c r="I943" s="188"/>
      <c r="J943" s="188"/>
      <c r="K943" s="188"/>
      <c r="L943" s="189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9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</row>
    <row r="944" spans="1:35" ht="14.25" customHeight="1">
      <c r="A944" s="188"/>
      <c r="B944" s="188"/>
      <c r="C944" s="188"/>
      <c r="D944" s="188"/>
      <c r="E944" s="188"/>
      <c r="F944" s="188"/>
      <c r="G944" s="188"/>
      <c r="H944" s="188"/>
      <c r="I944" s="188"/>
      <c r="J944" s="188"/>
      <c r="K944" s="188"/>
      <c r="L944" s="189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9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</row>
    <row r="945" spans="1:35" ht="14.25" customHeight="1">
      <c r="A945" s="188"/>
      <c r="B945" s="188"/>
      <c r="C945" s="188"/>
      <c r="D945" s="188"/>
      <c r="E945" s="188"/>
      <c r="F945" s="188"/>
      <c r="G945" s="188"/>
      <c r="H945" s="188"/>
      <c r="I945" s="188"/>
      <c r="J945" s="188"/>
      <c r="K945" s="188"/>
      <c r="L945" s="189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9"/>
      <c r="Y945" s="188"/>
      <c r="Z945" s="188"/>
      <c r="AA945" s="188"/>
      <c r="AB945" s="188"/>
      <c r="AC945" s="188"/>
      <c r="AD945" s="188"/>
      <c r="AE945" s="188"/>
      <c r="AF945" s="188"/>
      <c r="AG945" s="188"/>
      <c r="AH945" s="188"/>
      <c r="AI945" s="188"/>
    </row>
    <row r="946" spans="1:35" ht="14.25" customHeight="1">
      <c r="A946" s="188"/>
      <c r="B946" s="188"/>
      <c r="C946" s="188"/>
      <c r="D946" s="188"/>
      <c r="E946" s="188"/>
      <c r="F946" s="188"/>
      <c r="G946" s="188"/>
      <c r="H946" s="188"/>
      <c r="I946" s="188"/>
      <c r="J946" s="188"/>
      <c r="K946" s="188"/>
      <c r="L946" s="189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9"/>
      <c r="Y946" s="188"/>
      <c r="Z946" s="188"/>
      <c r="AA946" s="188"/>
      <c r="AB946" s="188"/>
      <c r="AC946" s="188"/>
      <c r="AD946" s="188"/>
      <c r="AE946" s="188"/>
      <c r="AF946" s="188"/>
      <c r="AG946" s="188"/>
      <c r="AH946" s="188"/>
      <c r="AI946" s="188"/>
    </row>
    <row r="947" spans="1:35" ht="14.25" customHeight="1">
      <c r="A947" s="188"/>
      <c r="B947" s="188"/>
      <c r="C947" s="188"/>
      <c r="D947" s="188"/>
      <c r="E947" s="188"/>
      <c r="F947" s="188"/>
      <c r="G947" s="188"/>
      <c r="H947" s="188"/>
      <c r="I947" s="188"/>
      <c r="J947" s="188"/>
      <c r="K947" s="188"/>
      <c r="L947" s="189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9"/>
      <c r="Y947" s="188"/>
      <c r="Z947" s="188"/>
      <c r="AA947" s="188"/>
      <c r="AB947" s="188"/>
      <c r="AC947" s="188"/>
      <c r="AD947" s="188"/>
      <c r="AE947" s="188"/>
      <c r="AF947" s="188"/>
      <c r="AG947" s="188"/>
      <c r="AH947" s="188"/>
      <c r="AI947" s="188"/>
    </row>
    <row r="948" spans="1:35" ht="14.25" customHeight="1">
      <c r="A948" s="188"/>
      <c r="B948" s="188"/>
      <c r="C948" s="188"/>
      <c r="D948" s="188"/>
      <c r="E948" s="188"/>
      <c r="F948" s="188"/>
      <c r="G948" s="188"/>
      <c r="H948" s="188"/>
      <c r="I948" s="188"/>
      <c r="J948" s="188"/>
      <c r="K948" s="188"/>
      <c r="L948" s="189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9"/>
      <c r="Y948" s="188"/>
      <c r="Z948" s="188"/>
      <c r="AA948" s="188"/>
      <c r="AB948" s="188"/>
      <c r="AC948" s="188"/>
      <c r="AD948" s="188"/>
      <c r="AE948" s="188"/>
      <c r="AF948" s="188"/>
      <c r="AG948" s="188"/>
      <c r="AH948" s="188"/>
      <c r="AI948" s="188"/>
    </row>
    <row r="949" spans="1:35" ht="14.25" customHeight="1">
      <c r="A949" s="188"/>
      <c r="B949" s="188"/>
      <c r="C949" s="188"/>
      <c r="D949" s="188"/>
      <c r="E949" s="188"/>
      <c r="F949" s="188"/>
      <c r="G949" s="188"/>
      <c r="H949" s="188"/>
      <c r="I949" s="188"/>
      <c r="J949" s="188"/>
      <c r="K949" s="188"/>
      <c r="L949" s="189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9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</row>
    <row r="950" spans="1:35" ht="14.25" customHeight="1">
      <c r="A950" s="188"/>
      <c r="B950" s="188"/>
      <c r="C950" s="188"/>
      <c r="D950" s="188"/>
      <c r="E950" s="188"/>
      <c r="F950" s="188"/>
      <c r="G950" s="188"/>
      <c r="H950" s="188"/>
      <c r="I950" s="188"/>
      <c r="J950" s="188"/>
      <c r="K950" s="188"/>
      <c r="L950" s="189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9"/>
      <c r="Y950" s="188"/>
      <c r="Z950" s="188"/>
      <c r="AA950" s="188"/>
      <c r="AB950" s="188"/>
      <c r="AC950" s="188"/>
      <c r="AD950" s="188"/>
      <c r="AE950" s="188"/>
      <c r="AF950" s="188"/>
      <c r="AG950" s="188"/>
      <c r="AH950" s="188"/>
      <c r="AI950" s="188"/>
    </row>
    <row r="951" spans="1:35" ht="14.25" customHeight="1">
      <c r="A951" s="188"/>
      <c r="B951" s="188"/>
      <c r="C951" s="188"/>
      <c r="D951" s="188"/>
      <c r="E951" s="188"/>
      <c r="F951" s="188"/>
      <c r="G951" s="188"/>
      <c r="H951" s="188"/>
      <c r="I951" s="188"/>
      <c r="J951" s="188"/>
      <c r="K951" s="188"/>
      <c r="L951" s="189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9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</row>
    <row r="952" spans="1:35" ht="14.25" customHeight="1">
      <c r="A952" s="188"/>
      <c r="B952" s="188"/>
      <c r="C952" s="188"/>
      <c r="D952" s="188"/>
      <c r="E952" s="188"/>
      <c r="F952" s="188"/>
      <c r="G952" s="188"/>
      <c r="H952" s="188"/>
      <c r="I952" s="188"/>
      <c r="J952" s="188"/>
      <c r="K952" s="188"/>
      <c r="L952" s="189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9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</row>
    <row r="953" spans="1:35" ht="14.25" customHeight="1">
      <c r="A953" s="188"/>
      <c r="B953" s="188"/>
      <c r="C953" s="188"/>
      <c r="D953" s="188"/>
      <c r="E953" s="188"/>
      <c r="F953" s="188"/>
      <c r="G953" s="188"/>
      <c r="H953" s="188"/>
      <c r="I953" s="188"/>
      <c r="J953" s="188"/>
      <c r="K953" s="188"/>
      <c r="L953" s="189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9"/>
      <c r="Y953" s="188"/>
      <c r="Z953" s="188"/>
      <c r="AA953" s="188"/>
      <c r="AB953" s="188"/>
      <c r="AC953" s="188"/>
      <c r="AD953" s="188"/>
      <c r="AE953" s="188"/>
      <c r="AF953" s="188"/>
      <c r="AG953" s="188"/>
      <c r="AH953" s="188"/>
      <c r="AI953" s="188"/>
    </row>
    <row r="954" spans="1:35" ht="14.25" customHeight="1">
      <c r="A954" s="188"/>
      <c r="B954" s="188"/>
      <c r="C954" s="188"/>
      <c r="D954" s="188"/>
      <c r="E954" s="188"/>
      <c r="F954" s="188"/>
      <c r="G954" s="188"/>
      <c r="H954" s="188"/>
      <c r="I954" s="188"/>
      <c r="J954" s="188"/>
      <c r="K954" s="188"/>
      <c r="L954" s="189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9"/>
      <c r="Y954" s="188"/>
      <c r="Z954" s="188"/>
      <c r="AA954" s="188"/>
      <c r="AB954" s="188"/>
      <c r="AC954" s="188"/>
      <c r="AD954" s="188"/>
      <c r="AE954" s="188"/>
      <c r="AF954" s="188"/>
      <c r="AG954" s="188"/>
      <c r="AH954" s="188"/>
      <c r="AI954" s="188"/>
    </row>
  </sheetData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3404"/>
  </sheetPr>
  <dimension ref="A1:AC1000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32" sqref="Q32"/>
    </sheetView>
  </sheetViews>
  <sheetFormatPr defaultColWidth="14.42578125" defaultRowHeight="15" customHeight="1"/>
  <cols>
    <col min="1" max="1" width="96.140625" customWidth="1"/>
    <col min="2" max="16" width="11.7109375" customWidth="1"/>
    <col min="17" max="17" width="18.28515625" bestFit="1" customWidth="1"/>
    <col min="18" max="18" width="79.5703125" customWidth="1"/>
    <col min="19" max="19" width="24.42578125" customWidth="1"/>
    <col min="20" max="29" width="8.85546875" customWidth="1"/>
  </cols>
  <sheetData>
    <row r="1" spans="1:29">
      <c r="A1" s="641" t="s">
        <v>239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>
      <c r="A2" s="64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>
      <c r="A3" s="46" t="s">
        <v>240</v>
      </c>
      <c r="B3" s="46">
        <v>2010</v>
      </c>
      <c r="C3" s="46">
        <v>2011</v>
      </c>
      <c r="D3" s="46">
        <v>2012</v>
      </c>
      <c r="E3" s="46">
        <v>2013</v>
      </c>
      <c r="F3" s="46">
        <v>2014</v>
      </c>
      <c r="G3" s="46">
        <v>2015</v>
      </c>
      <c r="H3" s="46">
        <v>2016</v>
      </c>
      <c r="I3" s="99">
        <v>2017</v>
      </c>
      <c r="J3" s="99">
        <v>2018</v>
      </c>
      <c r="K3" s="99">
        <v>2019</v>
      </c>
      <c r="L3" s="99">
        <v>2020</v>
      </c>
      <c r="M3" s="99">
        <v>2021</v>
      </c>
      <c r="N3" s="99">
        <v>2022</v>
      </c>
      <c r="O3" s="99">
        <v>2023</v>
      </c>
      <c r="P3" s="296">
        <v>2024</v>
      </c>
      <c r="Q3" s="27" t="s">
        <v>241</v>
      </c>
      <c r="R3" s="100" t="s">
        <v>242</v>
      </c>
      <c r="S3" s="64" t="s">
        <v>22</v>
      </c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spans="1:29">
      <c r="A4" s="32" t="s">
        <v>243</v>
      </c>
      <c r="B4" s="34"/>
      <c r="C4" s="34"/>
      <c r="D4" s="34"/>
      <c r="E4" s="34"/>
      <c r="F4" s="34"/>
      <c r="G4" s="34"/>
      <c r="H4" s="34"/>
      <c r="I4" s="417">
        <v>1297</v>
      </c>
      <c r="J4" s="417">
        <v>1550</v>
      </c>
      <c r="K4" s="417">
        <v>2216</v>
      </c>
      <c r="L4" s="417">
        <f>K4+658</f>
        <v>2874</v>
      </c>
      <c r="M4" s="417">
        <f>L4+1357</f>
        <v>4231</v>
      </c>
      <c r="N4" s="417">
        <v>8424</v>
      </c>
      <c r="O4" s="417">
        <v>10469</v>
      </c>
      <c r="P4" s="417">
        <v>11533</v>
      </c>
      <c r="Q4" s="71" t="s">
        <v>49</v>
      </c>
      <c r="R4" s="203" t="s">
        <v>419</v>
      </c>
      <c r="S4" s="32" t="s">
        <v>492</v>
      </c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spans="1:29">
      <c r="A5" s="33" t="s">
        <v>244</v>
      </c>
      <c r="B5" s="34"/>
      <c r="C5" s="34"/>
      <c r="D5" s="34"/>
      <c r="E5" s="34"/>
      <c r="F5" s="34"/>
      <c r="G5" s="34"/>
      <c r="H5" s="34"/>
      <c r="I5" s="417">
        <v>53</v>
      </c>
      <c r="J5" s="417">
        <v>46</v>
      </c>
      <c r="K5" s="417">
        <v>58</v>
      </c>
      <c r="L5" s="417">
        <v>52</v>
      </c>
      <c r="M5" s="418"/>
      <c r="N5" s="417">
        <v>238</v>
      </c>
      <c r="O5" s="417">
        <f>35+18+42+10+12+17+27+41+9+9+6+51</f>
        <v>277</v>
      </c>
      <c r="P5" s="417">
        <v>343</v>
      </c>
      <c r="Q5" s="71" t="s">
        <v>49</v>
      </c>
      <c r="R5" s="203" t="s">
        <v>419</v>
      </c>
      <c r="S5" s="32" t="s">
        <v>492</v>
      </c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>
      <c r="A6" s="33" t="s">
        <v>245</v>
      </c>
      <c r="B6" s="34"/>
      <c r="C6" s="34"/>
      <c r="D6" s="34"/>
      <c r="E6" s="34"/>
      <c r="F6" s="34"/>
      <c r="G6" s="34"/>
      <c r="H6" s="34"/>
      <c r="I6" s="417">
        <v>57</v>
      </c>
      <c r="J6" s="417">
        <v>106</v>
      </c>
      <c r="K6" s="417">
        <v>116</v>
      </c>
      <c r="L6" s="417">
        <v>74</v>
      </c>
      <c r="M6" s="418"/>
      <c r="N6" s="417">
        <v>562</v>
      </c>
      <c r="O6" s="417">
        <f>67+79+28+107+31+41+107+279+9</f>
        <v>748</v>
      </c>
      <c r="P6" s="417">
        <v>797</v>
      </c>
      <c r="Q6" s="71" t="s">
        <v>49</v>
      </c>
      <c r="R6" s="203" t="s">
        <v>419</v>
      </c>
      <c r="S6" s="32" t="s">
        <v>492</v>
      </c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>
      <c r="A7" s="33" t="s">
        <v>246</v>
      </c>
      <c r="B7" s="34"/>
      <c r="C7" s="34"/>
      <c r="D7" s="34"/>
      <c r="E7" s="34"/>
      <c r="F7" s="34"/>
      <c r="G7" s="34"/>
      <c r="H7" s="34"/>
      <c r="I7" s="417">
        <v>148</v>
      </c>
      <c r="J7" s="417">
        <v>176</v>
      </c>
      <c r="K7" s="417">
        <v>341</v>
      </c>
      <c r="L7" s="417">
        <v>212</v>
      </c>
      <c r="M7" s="418"/>
      <c r="N7" s="417">
        <v>821</v>
      </c>
      <c r="O7" s="417">
        <v>927</v>
      </c>
      <c r="P7" s="417">
        <v>1091</v>
      </c>
      <c r="Q7" s="71" t="s">
        <v>49</v>
      </c>
      <c r="R7" s="203" t="s">
        <v>419</v>
      </c>
      <c r="S7" s="32" t="s">
        <v>492</v>
      </c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>
      <c r="A8" s="33" t="s">
        <v>247</v>
      </c>
      <c r="B8" s="34"/>
      <c r="C8" s="34"/>
      <c r="D8" s="34"/>
      <c r="E8" s="34"/>
      <c r="F8" s="34"/>
      <c r="G8" s="34"/>
      <c r="H8" s="34"/>
      <c r="I8" s="417">
        <v>85</v>
      </c>
      <c r="J8" s="417">
        <v>106</v>
      </c>
      <c r="K8" s="417">
        <v>60</v>
      </c>
      <c r="L8" s="417">
        <v>95</v>
      </c>
      <c r="M8" s="418"/>
      <c r="N8" s="417">
        <v>378</v>
      </c>
      <c r="O8" s="417">
        <f>120+19+219+22+33</f>
        <v>413</v>
      </c>
      <c r="P8" s="417">
        <v>477</v>
      </c>
      <c r="Q8" s="71" t="s">
        <v>49</v>
      </c>
      <c r="R8" s="203" t="s">
        <v>419</v>
      </c>
      <c r="S8" s="32" t="s">
        <v>492</v>
      </c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>
      <c r="A9" s="33" t="s">
        <v>248</v>
      </c>
      <c r="B9" s="34"/>
      <c r="C9" s="34"/>
      <c r="D9" s="34"/>
      <c r="E9" s="34"/>
      <c r="F9" s="34"/>
      <c r="G9" s="34"/>
      <c r="H9" s="34"/>
      <c r="I9" s="417">
        <v>68</v>
      </c>
      <c r="J9" s="417">
        <v>88</v>
      </c>
      <c r="K9" s="417">
        <v>138</v>
      </c>
      <c r="L9" s="417">
        <v>351</v>
      </c>
      <c r="M9" s="418"/>
      <c r="N9" s="417">
        <v>601</v>
      </c>
      <c r="O9" s="417">
        <f>10+42+84+361+185</f>
        <v>682</v>
      </c>
      <c r="P9" s="417">
        <v>805</v>
      </c>
      <c r="Q9" s="71" t="s">
        <v>49</v>
      </c>
      <c r="R9" s="203" t="s">
        <v>419</v>
      </c>
      <c r="S9" s="32" t="s">
        <v>492</v>
      </c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>
      <c r="A10" s="33" t="s">
        <v>249</v>
      </c>
      <c r="B10" s="34"/>
      <c r="C10" s="34"/>
      <c r="D10" s="34"/>
      <c r="E10" s="34"/>
      <c r="F10" s="34"/>
      <c r="G10" s="34"/>
      <c r="H10" s="34"/>
      <c r="I10" s="417">
        <v>110</v>
      </c>
      <c r="J10" s="417">
        <v>72</v>
      </c>
      <c r="K10" s="417">
        <v>82</v>
      </c>
      <c r="L10" s="417">
        <v>48</v>
      </c>
      <c r="M10" s="418"/>
      <c r="N10" s="417">
        <v>414</v>
      </c>
      <c r="O10" s="417">
        <f>23+3+28+6+107+29+85+38+26+2+27+64+48</f>
        <v>486</v>
      </c>
      <c r="P10" s="417">
        <v>521</v>
      </c>
      <c r="Q10" s="71" t="s">
        <v>49</v>
      </c>
      <c r="R10" s="203" t="s">
        <v>419</v>
      </c>
      <c r="S10" s="32" t="s">
        <v>492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>
      <c r="A11" s="33" t="s">
        <v>250</v>
      </c>
      <c r="B11" s="34"/>
      <c r="C11" s="34"/>
      <c r="D11" s="34"/>
      <c r="E11" s="34"/>
      <c r="F11" s="34"/>
      <c r="G11" s="34"/>
      <c r="H11" s="34"/>
      <c r="I11" s="417">
        <v>218</v>
      </c>
      <c r="J11" s="417">
        <v>207</v>
      </c>
      <c r="K11" s="417">
        <v>404</v>
      </c>
      <c r="L11" s="417">
        <v>375</v>
      </c>
      <c r="M11" s="418"/>
      <c r="N11" s="417">
        <v>1130</v>
      </c>
      <c r="O11" s="417">
        <f>15+65+7+17+29+42+258+67+83+21+167+498</f>
        <v>1269</v>
      </c>
      <c r="P11" s="417">
        <v>1531</v>
      </c>
      <c r="Q11" s="71" t="s">
        <v>49</v>
      </c>
      <c r="R11" s="203" t="s">
        <v>419</v>
      </c>
      <c r="S11" s="32" t="s">
        <v>492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>
      <c r="A12" s="33" t="s">
        <v>251</v>
      </c>
      <c r="B12" s="34"/>
      <c r="C12" s="34"/>
      <c r="D12" s="34"/>
      <c r="E12" s="34"/>
      <c r="F12" s="34"/>
      <c r="G12" s="34"/>
      <c r="H12" s="34"/>
      <c r="I12" s="419">
        <v>157</v>
      </c>
      <c r="J12" s="292">
        <v>373</v>
      </c>
      <c r="K12" s="292">
        <v>345</v>
      </c>
      <c r="L12" s="417">
        <v>330</v>
      </c>
      <c r="M12" s="418"/>
      <c r="N12" s="417">
        <v>2074</v>
      </c>
      <c r="O12" s="417">
        <f>5+30+613+159+662+214+190+72+263+345+429+15+233</f>
        <v>3230</v>
      </c>
      <c r="P12" s="417">
        <v>3096</v>
      </c>
      <c r="Q12" s="71" t="s">
        <v>49</v>
      </c>
      <c r="R12" s="203" t="s">
        <v>419</v>
      </c>
      <c r="S12" s="32" t="s">
        <v>492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>
      <c r="A13" s="33" t="s">
        <v>252</v>
      </c>
      <c r="B13" s="34"/>
      <c r="C13" s="34"/>
      <c r="D13" s="34"/>
      <c r="E13" s="34"/>
      <c r="F13" s="34"/>
      <c r="G13" s="34"/>
      <c r="H13" s="34"/>
      <c r="I13" s="419">
        <v>63</v>
      </c>
      <c r="J13" s="292">
        <v>43</v>
      </c>
      <c r="K13" s="292">
        <v>114</v>
      </c>
      <c r="L13" s="417">
        <v>84</v>
      </c>
      <c r="M13" s="418"/>
      <c r="N13" s="417">
        <v>223</v>
      </c>
      <c r="O13" s="417">
        <f>126+3+27+30+21+3+2+51</f>
        <v>263</v>
      </c>
      <c r="P13" s="417">
        <v>367</v>
      </c>
      <c r="Q13" s="71" t="s">
        <v>49</v>
      </c>
      <c r="R13" s="203" t="s">
        <v>419</v>
      </c>
      <c r="S13" s="32" t="s">
        <v>492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>
      <c r="A14" s="33" t="s">
        <v>253</v>
      </c>
      <c r="B14" s="34"/>
      <c r="C14" s="34"/>
      <c r="D14" s="34"/>
      <c r="E14" s="34"/>
      <c r="F14" s="34"/>
      <c r="G14" s="34"/>
      <c r="H14" s="34"/>
      <c r="I14" s="419">
        <v>9</v>
      </c>
      <c r="J14" s="292">
        <v>21</v>
      </c>
      <c r="K14" s="292">
        <v>16</v>
      </c>
      <c r="L14" s="417">
        <v>20</v>
      </c>
      <c r="M14" s="418"/>
      <c r="N14" s="417">
        <v>103</v>
      </c>
      <c r="O14" s="417">
        <f>4+7+5+2+81+1+13+1</f>
        <v>114</v>
      </c>
      <c r="P14" s="417">
        <v>108</v>
      </c>
      <c r="Q14" s="71" t="s">
        <v>49</v>
      </c>
      <c r="R14" s="203" t="s">
        <v>419</v>
      </c>
      <c r="S14" s="32" t="s">
        <v>492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>
      <c r="A15" s="33" t="s">
        <v>254</v>
      </c>
      <c r="B15" s="34"/>
      <c r="C15" s="34"/>
      <c r="D15" s="34"/>
      <c r="E15" s="34"/>
      <c r="F15" s="34"/>
      <c r="G15" s="34"/>
      <c r="H15" s="34"/>
      <c r="I15" s="419">
        <v>164</v>
      </c>
      <c r="J15" s="292">
        <v>121</v>
      </c>
      <c r="K15" s="292">
        <v>113</v>
      </c>
      <c r="L15" s="417">
        <v>62</v>
      </c>
      <c r="M15" s="418"/>
      <c r="N15" s="417">
        <v>783</v>
      </c>
      <c r="O15" s="417">
        <f>90+34+3+50+8+8+36+2+38+48+55+58+4+22+252+22+74+3+39+6+54+3+17+2</f>
        <v>928</v>
      </c>
      <c r="P15" s="417">
        <v>933</v>
      </c>
      <c r="Q15" s="71" t="s">
        <v>49</v>
      </c>
      <c r="R15" s="203" t="s">
        <v>419</v>
      </c>
      <c r="S15" s="32" t="s">
        <v>492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>
      <c r="A16" s="33" t="s">
        <v>255</v>
      </c>
      <c r="B16" s="34"/>
      <c r="C16" s="34"/>
      <c r="D16" s="34"/>
      <c r="E16" s="34"/>
      <c r="F16" s="34"/>
      <c r="G16" s="34"/>
      <c r="H16" s="34"/>
      <c r="I16" s="419">
        <v>160</v>
      </c>
      <c r="J16" s="292">
        <v>186</v>
      </c>
      <c r="K16" s="292">
        <v>423</v>
      </c>
      <c r="L16" s="417">
        <v>209</v>
      </c>
      <c r="M16" s="418"/>
      <c r="N16" s="417">
        <v>1041</v>
      </c>
      <c r="O16" s="417">
        <f>1035+7</f>
        <v>1042</v>
      </c>
      <c r="P16" s="417">
        <v>1282</v>
      </c>
      <c r="Q16" s="71" t="s">
        <v>49</v>
      </c>
      <c r="R16" s="203" t="s">
        <v>419</v>
      </c>
      <c r="S16" s="32" t="s">
        <v>492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>
      <c r="A17" s="33" t="s">
        <v>256</v>
      </c>
      <c r="B17" s="34"/>
      <c r="C17" s="34"/>
      <c r="D17" s="34"/>
      <c r="E17" s="34"/>
      <c r="F17" s="34"/>
      <c r="G17" s="34"/>
      <c r="H17" s="34"/>
      <c r="I17" s="419">
        <v>1</v>
      </c>
      <c r="J17" s="292">
        <v>0</v>
      </c>
      <c r="K17" s="292">
        <v>0</v>
      </c>
      <c r="L17" s="417">
        <v>0</v>
      </c>
      <c r="M17" s="418"/>
      <c r="N17" s="417">
        <v>20</v>
      </c>
      <c r="O17" s="417">
        <f>1+10+20</f>
        <v>31</v>
      </c>
      <c r="P17" s="417">
        <v>63</v>
      </c>
      <c r="Q17" s="71" t="s">
        <v>49</v>
      </c>
      <c r="R17" s="203" t="s">
        <v>419</v>
      </c>
      <c r="S17" s="32" t="s">
        <v>492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>
      <c r="A18" s="33" t="s">
        <v>257</v>
      </c>
      <c r="B18" s="34"/>
      <c r="C18" s="34"/>
      <c r="D18" s="34"/>
      <c r="E18" s="34"/>
      <c r="F18" s="34"/>
      <c r="G18" s="34"/>
      <c r="H18" s="34"/>
      <c r="I18" s="419">
        <v>4</v>
      </c>
      <c r="J18" s="292">
        <v>5</v>
      </c>
      <c r="K18" s="292">
        <v>6</v>
      </c>
      <c r="L18" s="417">
        <v>2</v>
      </c>
      <c r="M18" s="418"/>
      <c r="N18" s="417">
        <v>36</v>
      </c>
      <c r="O18" s="417">
        <f>1+12+6+17+22+1</f>
        <v>59</v>
      </c>
      <c r="P18" s="417">
        <v>119</v>
      </c>
      <c r="Q18" s="71" t="s">
        <v>49</v>
      </c>
      <c r="R18" s="203" t="s">
        <v>419</v>
      </c>
      <c r="S18" s="32" t="s">
        <v>492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>
      <c r="A19" s="25" t="s">
        <v>258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>
      <c r="A20" s="25" t="s">
        <v>259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24"/>
      <c r="M20" s="624"/>
      <c r="N20" s="624"/>
      <c r="O20" s="624"/>
      <c r="P20" s="6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83"/>
      <c r="M21" s="283"/>
      <c r="N21" s="283"/>
      <c r="O21" s="283"/>
      <c r="P21" s="283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mergeCells count="1">
    <mergeCell ref="A1:A2"/>
  </mergeCells>
  <hyperlinks>
    <hyperlink ref="R4" r:id="rId1" xr:uid="{00000000-0004-0000-0A00-000000000000}"/>
    <hyperlink ref="R5" r:id="rId2" xr:uid="{FDEA6B65-3EDB-4F68-A90F-B55323C7A454}"/>
    <hyperlink ref="R6" r:id="rId3" xr:uid="{EF8DC561-EBA3-4EDE-A3B2-37CD1CE61043}"/>
    <hyperlink ref="R7" r:id="rId4" xr:uid="{B649C899-D48C-4280-AC8D-D9EB8B8F044B}"/>
    <hyperlink ref="R8" r:id="rId5" xr:uid="{15FB83D3-8A85-4AB4-BDBC-256FAD160950}"/>
    <hyperlink ref="R9" r:id="rId6" xr:uid="{889F7365-EDED-4790-9397-CDFAE33C8749}"/>
    <hyperlink ref="R10" r:id="rId7" xr:uid="{DD0056C1-7418-4B3B-8C3B-1154A6F0F615}"/>
    <hyperlink ref="R11" r:id="rId8" xr:uid="{ED2BC455-F574-44D4-A4F1-5D954ACD13ED}"/>
    <hyperlink ref="R12" r:id="rId9" xr:uid="{72CCC882-4D58-4120-A4A3-F6136E18FA6B}"/>
    <hyperlink ref="R13" r:id="rId10" xr:uid="{2AB6A7CE-F24E-46B8-B026-A59238EF6B54}"/>
    <hyperlink ref="R14" r:id="rId11" xr:uid="{72535477-0628-4354-AEAA-7600BCACEA39}"/>
    <hyperlink ref="R15" r:id="rId12" xr:uid="{75AF9691-4235-46FE-A8E6-688B6090B195}"/>
    <hyperlink ref="R16" r:id="rId13" xr:uid="{10BBBA1E-96BA-4D0C-82F5-1AAA46ABE042}"/>
    <hyperlink ref="R17" r:id="rId14" xr:uid="{30CE71B8-0EB9-4799-AF32-AD4E968D8116}"/>
    <hyperlink ref="R18" r:id="rId15" xr:uid="{717B59BF-94CE-43F2-9EF9-E37EC94C17A0}"/>
  </hyperlinks>
  <pageMargins left="0.7" right="0.7" top="0.75" bottom="0.75" header="0" footer="0"/>
  <pageSetup orientation="portrait"/>
  <drawing r:id="rId1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3404"/>
  </sheetPr>
  <dimension ref="A1:AC997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26" sqref="P26:Q26"/>
    </sheetView>
  </sheetViews>
  <sheetFormatPr defaultColWidth="14.42578125" defaultRowHeight="15" customHeight="1"/>
  <cols>
    <col min="1" max="1" width="87.5703125" customWidth="1"/>
    <col min="2" max="15" width="11.7109375" customWidth="1"/>
    <col min="16" max="16" width="15.7109375" customWidth="1"/>
    <col min="17" max="17" width="41.42578125" customWidth="1"/>
    <col min="18" max="18" width="99.28515625" customWidth="1"/>
    <col min="19" max="19" width="27.28515625" customWidth="1"/>
    <col min="20" max="29" width="8.85546875" customWidth="1"/>
  </cols>
  <sheetData>
    <row r="1" spans="1:29">
      <c r="A1" s="641" t="s">
        <v>260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>
      <c r="A2" s="637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>
      <c r="A3" s="27" t="s">
        <v>261</v>
      </c>
      <c r="B3" s="510">
        <v>2010</v>
      </c>
      <c r="C3" s="510">
        <v>2011</v>
      </c>
      <c r="D3" s="510">
        <v>2012</v>
      </c>
      <c r="E3" s="510">
        <v>2013</v>
      </c>
      <c r="F3" s="510">
        <v>2014</v>
      </c>
      <c r="G3" s="510">
        <v>2015</v>
      </c>
      <c r="H3" s="510">
        <v>2016</v>
      </c>
      <c r="I3" s="510">
        <v>2017</v>
      </c>
      <c r="J3" s="510">
        <v>2018</v>
      </c>
      <c r="K3" s="510">
        <v>2019</v>
      </c>
      <c r="L3" s="510">
        <v>2020</v>
      </c>
      <c r="M3" s="510">
        <v>2021</v>
      </c>
      <c r="N3" s="510">
        <v>2022</v>
      </c>
      <c r="O3" s="510">
        <v>2023</v>
      </c>
      <c r="P3" s="510">
        <v>2024</v>
      </c>
      <c r="Q3" s="27" t="s">
        <v>241</v>
      </c>
      <c r="R3" s="28" t="s">
        <v>242</v>
      </c>
      <c r="S3" s="28" t="s">
        <v>22</v>
      </c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spans="1:29" ht="30">
      <c r="A4" s="33" t="s">
        <v>262</v>
      </c>
      <c r="B4" s="511">
        <v>61.8</v>
      </c>
      <c r="C4" s="511">
        <v>62.9</v>
      </c>
      <c r="D4" s="511">
        <v>67.5</v>
      </c>
      <c r="E4" s="511">
        <v>69</v>
      </c>
      <c r="F4" s="511">
        <v>67.099999999999994</v>
      </c>
      <c r="G4" s="511">
        <v>78.3</v>
      </c>
      <c r="H4" s="511">
        <v>79.8</v>
      </c>
      <c r="I4" s="511">
        <v>77.2</v>
      </c>
      <c r="J4" s="511">
        <v>80.8</v>
      </c>
      <c r="K4" s="511">
        <v>84.8</v>
      </c>
      <c r="L4" s="511">
        <v>80</v>
      </c>
      <c r="M4" s="511">
        <v>83</v>
      </c>
      <c r="N4" s="511">
        <v>95.2</v>
      </c>
      <c r="O4" s="511">
        <v>101.8</v>
      </c>
      <c r="P4" s="511">
        <v>101.5</v>
      </c>
      <c r="Q4" s="32" t="s">
        <v>263</v>
      </c>
      <c r="R4" s="101" t="s">
        <v>264</v>
      </c>
      <c r="S4" s="32" t="s">
        <v>492</v>
      </c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spans="1:29">
      <c r="A5" s="33" t="s">
        <v>265</v>
      </c>
      <c r="B5" s="512">
        <v>0.4</v>
      </c>
      <c r="C5" s="512">
        <v>0.4</v>
      </c>
      <c r="D5" s="512">
        <v>0.4</v>
      </c>
      <c r="E5" s="36">
        <v>0.4</v>
      </c>
      <c r="F5" s="36">
        <v>0.4</v>
      </c>
      <c r="G5" s="36">
        <v>0.4</v>
      </c>
      <c r="H5" s="36">
        <v>0.4</v>
      </c>
      <c r="I5" s="36">
        <v>0.4</v>
      </c>
      <c r="J5" s="36">
        <v>0.4</v>
      </c>
      <c r="K5" s="36">
        <v>0.4</v>
      </c>
      <c r="L5" s="36">
        <v>0.4</v>
      </c>
      <c r="M5" s="295">
        <v>0.3</v>
      </c>
      <c r="N5" s="295">
        <v>0.4</v>
      </c>
      <c r="O5" s="295">
        <v>0.4</v>
      </c>
      <c r="P5" s="295">
        <v>0.3</v>
      </c>
      <c r="Q5" s="32" t="s">
        <v>263</v>
      </c>
      <c r="R5" s="49" t="s">
        <v>266</v>
      </c>
      <c r="S5" s="32" t="s">
        <v>492</v>
      </c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>
      <c r="A6" s="33" t="s">
        <v>267</v>
      </c>
      <c r="B6" s="511">
        <v>186.6</v>
      </c>
      <c r="C6" s="511">
        <v>201</v>
      </c>
      <c r="D6" s="511">
        <v>216.5</v>
      </c>
      <c r="E6" s="511">
        <v>224.5</v>
      </c>
      <c r="F6" s="511">
        <v>231.2</v>
      </c>
      <c r="G6" s="511">
        <v>233.541</v>
      </c>
      <c r="H6" s="511">
        <v>230.78899999999999</v>
      </c>
      <c r="I6" s="511">
        <v>237.8</v>
      </c>
      <c r="J6" s="511">
        <v>252.8</v>
      </c>
      <c r="K6" s="511">
        <v>250.3</v>
      </c>
      <c r="L6" s="511">
        <v>234.6</v>
      </c>
      <c r="M6" s="511">
        <v>275.2</v>
      </c>
      <c r="N6" s="511">
        <v>301.2</v>
      </c>
      <c r="O6" s="511">
        <v>296.10000000000002</v>
      </c>
      <c r="P6" s="511">
        <v>298.39999999999998</v>
      </c>
      <c r="Q6" s="32" t="s">
        <v>263</v>
      </c>
      <c r="R6" s="49" t="s">
        <v>266</v>
      </c>
      <c r="S6" s="32" t="s">
        <v>492</v>
      </c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>
      <c r="A7" s="33" t="s">
        <v>525</v>
      </c>
      <c r="B7" s="511">
        <v>36.097999999999999</v>
      </c>
      <c r="C7" s="511">
        <v>37.728999999999999</v>
      </c>
      <c r="D7" s="511">
        <v>39.04</v>
      </c>
      <c r="E7" s="511">
        <v>40.03</v>
      </c>
      <c r="F7" s="511">
        <v>42.101999999999997</v>
      </c>
      <c r="G7" s="511">
        <v>43.56</v>
      </c>
      <c r="H7" s="511">
        <v>44.896999999999998</v>
      </c>
      <c r="I7" s="511">
        <v>47.155000000000001</v>
      </c>
      <c r="J7" s="511">
        <v>49.308999999999997</v>
      </c>
      <c r="K7" s="511">
        <v>50.625999999999998</v>
      </c>
      <c r="L7" s="511">
        <v>50.564999999999998</v>
      </c>
      <c r="M7" s="511">
        <v>54.545000000000002</v>
      </c>
      <c r="N7" s="511">
        <v>58.746000000000002</v>
      </c>
      <c r="O7" s="511">
        <v>60.543999999999997</v>
      </c>
      <c r="P7" s="511">
        <v>62.338000000000001</v>
      </c>
      <c r="Q7" s="32" t="s">
        <v>263</v>
      </c>
      <c r="R7" s="74" t="s">
        <v>268</v>
      </c>
      <c r="S7" s="32" t="s">
        <v>492</v>
      </c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>
      <c r="A8" s="33" t="s">
        <v>269</v>
      </c>
      <c r="B8" s="511">
        <v>624</v>
      </c>
      <c r="C8" s="511">
        <v>634</v>
      </c>
      <c r="D8" s="511">
        <v>646</v>
      </c>
      <c r="E8" s="511">
        <v>658</v>
      </c>
      <c r="F8" s="511">
        <v>674</v>
      </c>
      <c r="G8" s="511">
        <v>688</v>
      </c>
      <c r="H8" s="511">
        <v>702</v>
      </c>
      <c r="I8" s="511">
        <v>715</v>
      </c>
      <c r="J8" s="511">
        <v>730</v>
      </c>
      <c r="K8" s="513">
        <v>731</v>
      </c>
      <c r="L8" s="513">
        <v>693</v>
      </c>
      <c r="M8" s="513">
        <v>722</v>
      </c>
      <c r="N8" s="513">
        <v>749</v>
      </c>
      <c r="O8" s="511">
        <v>736</v>
      </c>
      <c r="P8" s="514">
        <v>722</v>
      </c>
      <c r="Q8" s="61" t="s">
        <v>263</v>
      </c>
      <c r="R8" s="74" t="s">
        <v>270</v>
      </c>
      <c r="S8" s="32" t="s">
        <v>492</v>
      </c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>
      <c r="A9" s="37" t="s">
        <v>271</v>
      </c>
      <c r="B9" s="511">
        <v>265</v>
      </c>
      <c r="C9" s="511">
        <v>279</v>
      </c>
      <c r="D9" s="511">
        <v>288</v>
      </c>
      <c r="E9" s="513">
        <v>299</v>
      </c>
      <c r="F9" s="513">
        <v>311</v>
      </c>
      <c r="G9" s="513">
        <v>322</v>
      </c>
      <c r="H9" s="515">
        <v>335</v>
      </c>
      <c r="I9" s="515">
        <v>348</v>
      </c>
      <c r="J9" s="516">
        <v>365.5</v>
      </c>
      <c r="K9" s="516">
        <v>374.8</v>
      </c>
      <c r="L9" s="516">
        <v>380.4</v>
      </c>
      <c r="M9" s="516">
        <v>394</v>
      </c>
      <c r="N9" s="516">
        <v>400.3</v>
      </c>
      <c r="O9" s="511">
        <v>413.8</v>
      </c>
      <c r="P9" s="514">
        <v>430.9</v>
      </c>
      <c r="Q9" s="61" t="s">
        <v>272</v>
      </c>
      <c r="R9" s="103" t="s">
        <v>273</v>
      </c>
      <c r="S9" s="32" t="s">
        <v>492</v>
      </c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>
      <c r="A10" s="41"/>
      <c r="B10" s="517"/>
      <c r="C10" s="517"/>
      <c r="D10" s="517"/>
      <c r="E10" s="517"/>
      <c r="F10" s="517"/>
      <c r="G10" s="517"/>
      <c r="H10" s="517"/>
      <c r="I10" s="517"/>
      <c r="J10" s="517"/>
      <c r="K10" s="517"/>
      <c r="L10" s="517"/>
      <c r="M10" s="517"/>
      <c r="N10" s="517"/>
      <c r="O10" s="518"/>
      <c r="P10" s="518"/>
      <c r="Q10" s="44"/>
      <c r="R10" s="44"/>
      <c r="S10" s="93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>
      <c r="A11" s="46" t="s">
        <v>274</v>
      </c>
      <c r="B11" s="519">
        <v>2010</v>
      </c>
      <c r="C11" s="519">
        <v>2011</v>
      </c>
      <c r="D11" s="519">
        <v>2012</v>
      </c>
      <c r="E11" s="519">
        <v>2013</v>
      </c>
      <c r="F11" s="519">
        <v>2014</v>
      </c>
      <c r="G11" s="519">
        <v>2015</v>
      </c>
      <c r="H11" s="519">
        <v>2016</v>
      </c>
      <c r="I11" s="510">
        <v>2017</v>
      </c>
      <c r="J11" s="510">
        <v>2018</v>
      </c>
      <c r="K11" s="510">
        <v>2019</v>
      </c>
      <c r="L11" s="510">
        <v>2020</v>
      </c>
      <c r="M11" s="510">
        <v>2021</v>
      </c>
      <c r="N11" s="510">
        <v>2022</v>
      </c>
      <c r="O11" s="510">
        <v>2023</v>
      </c>
      <c r="P11" s="510">
        <v>2024</v>
      </c>
      <c r="Q11" s="27" t="s">
        <v>241</v>
      </c>
      <c r="R11" s="28" t="s">
        <v>242</v>
      </c>
      <c r="S11" s="28" t="s">
        <v>22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ht="30">
      <c r="A12" s="104" t="s">
        <v>275</v>
      </c>
      <c r="B12" s="520">
        <v>0.34200000000000003</v>
      </c>
      <c r="C12" s="520">
        <v>0.48599999999999999</v>
      </c>
      <c r="D12" s="520">
        <v>0.57099999999999995</v>
      </c>
      <c r="E12" s="520">
        <v>0.59099999999999997</v>
      </c>
      <c r="F12" s="520">
        <v>0.66300000000000003</v>
      </c>
      <c r="G12" s="520">
        <v>0.45900000000000002</v>
      </c>
      <c r="H12" s="520">
        <v>0.86199999999999999</v>
      </c>
      <c r="I12" s="520">
        <v>0.88</v>
      </c>
      <c r="J12" s="520">
        <v>1.077</v>
      </c>
      <c r="K12" s="520">
        <v>1.1739999999999999</v>
      </c>
      <c r="L12" s="521">
        <v>1.2390000000000001</v>
      </c>
      <c r="M12" s="521">
        <v>1.05</v>
      </c>
      <c r="N12" s="521">
        <v>1.1419999999999999</v>
      </c>
      <c r="O12" s="521">
        <v>1.0109999999999999</v>
      </c>
      <c r="P12" s="521">
        <v>1.39</v>
      </c>
      <c r="Q12" s="105" t="s">
        <v>527</v>
      </c>
      <c r="R12" s="106" t="s">
        <v>526</v>
      </c>
      <c r="S12" s="32" t="s">
        <v>492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30">
      <c r="A13" s="104" t="s">
        <v>276</v>
      </c>
      <c r="B13" s="520">
        <v>0.67400000000000004</v>
      </c>
      <c r="C13" s="520">
        <v>0.67500000000000004</v>
      </c>
      <c r="D13" s="520">
        <v>0.92100000000000004</v>
      </c>
      <c r="E13" s="520">
        <v>0.99</v>
      </c>
      <c r="F13" s="520">
        <v>1.034</v>
      </c>
      <c r="G13" s="520">
        <v>1.177</v>
      </c>
      <c r="H13" s="520">
        <v>1.177</v>
      </c>
      <c r="I13" s="520">
        <v>1.1739999999999999</v>
      </c>
      <c r="J13" s="520">
        <v>0.93400000000000005</v>
      </c>
      <c r="K13" s="520">
        <v>0.94099999999999995</v>
      </c>
      <c r="L13" s="521">
        <v>0.84799999999999998</v>
      </c>
      <c r="M13" s="521">
        <v>0.74199999999999999</v>
      </c>
      <c r="N13" s="521">
        <v>1.075</v>
      </c>
      <c r="O13" s="521">
        <v>1.008</v>
      </c>
      <c r="P13" s="521">
        <v>1.079</v>
      </c>
      <c r="Q13" s="105" t="s">
        <v>527</v>
      </c>
      <c r="R13" s="49" t="s">
        <v>526</v>
      </c>
      <c r="S13" s="32" t="s">
        <v>492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30">
      <c r="A14" s="32" t="s">
        <v>277</v>
      </c>
      <c r="B14" s="520">
        <f t="shared" ref="B14:P14" si="0">+B13+B12</f>
        <v>1.016</v>
      </c>
      <c r="C14" s="520">
        <f t="shared" si="0"/>
        <v>1.161</v>
      </c>
      <c r="D14" s="520">
        <f t="shared" si="0"/>
        <v>1.492</v>
      </c>
      <c r="E14" s="520">
        <f t="shared" si="0"/>
        <v>1.581</v>
      </c>
      <c r="F14" s="520">
        <f t="shared" si="0"/>
        <v>1.6970000000000001</v>
      </c>
      <c r="G14" s="520">
        <f t="shared" si="0"/>
        <v>1.6360000000000001</v>
      </c>
      <c r="H14" s="520">
        <f t="shared" si="0"/>
        <v>2.0390000000000001</v>
      </c>
      <c r="I14" s="520">
        <f t="shared" si="0"/>
        <v>2.0539999999999998</v>
      </c>
      <c r="J14" s="520">
        <f t="shared" si="0"/>
        <v>2.0110000000000001</v>
      </c>
      <c r="K14" s="520">
        <f t="shared" si="0"/>
        <v>2.1149999999999998</v>
      </c>
      <c r="L14" s="520">
        <f t="shared" si="0"/>
        <v>2.0870000000000002</v>
      </c>
      <c r="M14" s="522">
        <f t="shared" si="0"/>
        <v>1.792</v>
      </c>
      <c r="N14" s="522">
        <f t="shared" si="0"/>
        <v>2.2169999999999996</v>
      </c>
      <c r="O14" s="523">
        <f t="shared" si="0"/>
        <v>2.0190000000000001</v>
      </c>
      <c r="P14" s="524">
        <f t="shared" si="0"/>
        <v>2.4689999999999999</v>
      </c>
      <c r="Q14" s="105" t="s">
        <v>527</v>
      </c>
      <c r="R14" s="128" t="s">
        <v>526</v>
      </c>
      <c r="S14" s="32" t="s">
        <v>492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30">
      <c r="A15" s="222" t="s">
        <v>431</v>
      </c>
      <c r="B15" s="525"/>
      <c r="C15" s="526"/>
      <c r="D15" s="525"/>
      <c r="E15" s="527"/>
      <c r="F15" s="527"/>
      <c r="G15" s="527"/>
      <c r="H15" s="527"/>
      <c r="I15" s="511">
        <v>58</v>
      </c>
      <c r="J15" s="511">
        <v>57.742470950912974</v>
      </c>
      <c r="K15" s="511">
        <v>53</v>
      </c>
      <c r="L15" s="528">
        <v>47.287372660506989</v>
      </c>
      <c r="M15" s="529">
        <v>64.636871508379798</v>
      </c>
      <c r="N15" s="529">
        <v>48.274774774774698</v>
      </c>
      <c r="O15" s="530">
        <v>42.844000000000001</v>
      </c>
      <c r="P15" s="529">
        <v>45.4</v>
      </c>
      <c r="Q15" s="105" t="s">
        <v>527</v>
      </c>
      <c r="R15" s="128" t="s">
        <v>526</v>
      </c>
      <c r="S15" s="32" t="s">
        <v>492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30">
      <c r="A16" s="222" t="s">
        <v>432</v>
      </c>
      <c r="B16" s="525"/>
      <c r="C16" s="525"/>
      <c r="D16" s="525"/>
      <c r="E16" s="527"/>
      <c r="F16" s="527"/>
      <c r="G16" s="527"/>
      <c r="H16" s="527"/>
      <c r="I16" s="511">
        <v>11</v>
      </c>
      <c r="J16" s="511">
        <v>11.335072326298317</v>
      </c>
      <c r="K16" s="511">
        <v>11</v>
      </c>
      <c r="L16" s="531">
        <v>11.419095001184553</v>
      </c>
      <c r="M16" s="529">
        <v>13.5754189944134</v>
      </c>
      <c r="N16" s="529">
        <v>14.815315315299999</v>
      </c>
      <c r="O16" s="530">
        <v>20.71559633</v>
      </c>
      <c r="P16" s="529">
        <v>19.899999999999999</v>
      </c>
      <c r="Q16" s="105" t="s">
        <v>527</v>
      </c>
      <c r="R16" s="128" t="s">
        <v>526</v>
      </c>
      <c r="S16" s="32" t="s">
        <v>492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30">
      <c r="A17" s="222" t="s">
        <v>433</v>
      </c>
      <c r="B17" s="525"/>
      <c r="C17" s="525"/>
      <c r="D17" s="525"/>
      <c r="E17" s="527"/>
      <c r="F17" s="527"/>
      <c r="G17" s="527"/>
      <c r="H17" s="527"/>
      <c r="I17" s="511">
        <v>7</v>
      </c>
      <c r="J17" s="511">
        <v>6.805786103865306</v>
      </c>
      <c r="K17" s="511">
        <v>8</v>
      </c>
      <c r="L17" s="531">
        <v>12.248282397536128</v>
      </c>
      <c r="M17" s="529">
        <v>15.055865921000001</v>
      </c>
      <c r="N17" s="529">
        <v>14.0720727072</v>
      </c>
      <c r="O17" s="530">
        <v>13.366974770000001</v>
      </c>
      <c r="P17" s="529">
        <v>13.2</v>
      </c>
      <c r="Q17" s="105" t="s">
        <v>527</v>
      </c>
      <c r="R17" s="128" t="s">
        <v>526</v>
      </c>
      <c r="S17" s="32" t="s">
        <v>492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30">
      <c r="A18" s="222" t="s">
        <v>434</v>
      </c>
      <c r="B18" s="525"/>
      <c r="C18" s="525"/>
      <c r="D18" s="525"/>
      <c r="E18" s="527"/>
      <c r="F18" s="527"/>
      <c r="G18" s="527"/>
      <c r="H18" s="527"/>
      <c r="I18" s="511">
        <v>5</v>
      </c>
      <c r="J18" s="511">
        <v>5.6675361631491583</v>
      </c>
      <c r="K18" s="511">
        <v>8</v>
      </c>
      <c r="L18" s="531">
        <v>7.7469793887704332</v>
      </c>
      <c r="M18" s="529">
        <v>11.899441340782101</v>
      </c>
      <c r="N18" s="529">
        <v>4.3873873870000004</v>
      </c>
      <c r="O18" s="530">
        <v>4.5366972477000003</v>
      </c>
      <c r="P18" s="529">
        <v>5.3</v>
      </c>
      <c r="Q18" s="105" t="s">
        <v>527</v>
      </c>
      <c r="R18" s="128" t="s">
        <v>526</v>
      </c>
      <c r="S18" s="32" t="s">
        <v>492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30">
      <c r="A19" s="222" t="s">
        <v>435</v>
      </c>
      <c r="B19" s="525"/>
      <c r="C19" s="525"/>
      <c r="D19" s="525"/>
      <c r="E19" s="527"/>
      <c r="F19" s="527"/>
      <c r="G19" s="527"/>
      <c r="H19" s="527"/>
      <c r="I19" s="511">
        <v>7</v>
      </c>
      <c r="J19" s="511">
        <v>7.3511975337917947</v>
      </c>
      <c r="K19" s="511">
        <v>7</v>
      </c>
      <c r="L19" s="531">
        <v>5.7332385690594645</v>
      </c>
      <c r="M19" s="529">
        <v>6.5921787709497197</v>
      </c>
      <c r="N19" s="529">
        <v>7.1621621621599996</v>
      </c>
      <c r="O19" s="530">
        <v>9.7285321099999997</v>
      </c>
      <c r="P19" s="529">
        <v>8.4</v>
      </c>
      <c r="Q19" s="105" t="s">
        <v>527</v>
      </c>
      <c r="R19" s="128" t="s">
        <v>526</v>
      </c>
      <c r="S19" s="32" t="s">
        <v>492</v>
      </c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30">
      <c r="A20" s="222" t="s">
        <v>436</v>
      </c>
      <c r="B20" s="525"/>
      <c r="C20" s="525"/>
      <c r="D20" s="525"/>
      <c r="E20" s="527"/>
      <c r="F20" s="527"/>
      <c r="G20" s="527"/>
      <c r="H20" s="527"/>
      <c r="I20" s="511">
        <v>4</v>
      </c>
      <c r="J20" s="511">
        <v>3.6281716860327244</v>
      </c>
      <c r="K20" s="511">
        <v>4</v>
      </c>
      <c r="L20" s="528">
        <v>3.5299692016109927</v>
      </c>
      <c r="M20" s="529">
        <v>4.3016759776536304</v>
      </c>
      <c r="N20" s="529">
        <v>0.94144144144099995</v>
      </c>
      <c r="O20" s="530">
        <v>0.63761467889907997</v>
      </c>
      <c r="P20" s="532"/>
      <c r="Q20" s="105" t="s">
        <v>527</v>
      </c>
      <c r="R20" s="128" t="s">
        <v>526</v>
      </c>
      <c r="S20" s="32" t="s">
        <v>492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30">
      <c r="A21" s="222" t="s">
        <v>437</v>
      </c>
      <c r="B21" s="525"/>
      <c r="C21" s="525"/>
      <c r="D21" s="525"/>
      <c r="E21" s="527"/>
      <c r="F21" s="527"/>
      <c r="G21" s="527"/>
      <c r="H21" s="527"/>
      <c r="I21" s="511">
        <v>2</v>
      </c>
      <c r="J21" s="511">
        <v>1.6125207493478777</v>
      </c>
      <c r="K21" s="511">
        <v>2</v>
      </c>
      <c r="L21" s="528">
        <v>3</v>
      </c>
      <c r="M21" s="529">
        <v>3.5195530726256998</v>
      </c>
      <c r="N21" s="529">
        <v>2.5990990990989999</v>
      </c>
      <c r="O21" s="530">
        <v>3.53669724770642</v>
      </c>
      <c r="P21" s="529">
        <v>2.95</v>
      </c>
      <c r="Q21" s="105" t="s">
        <v>527</v>
      </c>
      <c r="R21" s="128" t="s">
        <v>526</v>
      </c>
      <c r="S21" s="32" t="s">
        <v>492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30">
      <c r="A22" s="222" t="s">
        <v>438</v>
      </c>
      <c r="B22" s="525"/>
      <c r="C22" s="525"/>
      <c r="D22" s="525"/>
      <c r="E22" s="527"/>
      <c r="F22" s="527"/>
      <c r="G22" s="527"/>
      <c r="H22" s="527"/>
      <c r="I22" s="511">
        <v>6</v>
      </c>
      <c r="J22" s="511">
        <v>5.8572444866018492</v>
      </c>
      <c r="K22" s="511">
        <v>7</v>
      </c>
      <c r="L22" s="528">
        <v>5</v>
      </c>
      <c r="M22" s="529">
        <v>10.083798882681499</v>
      </c>
      <c r="N22" s="529">
        <v>6.0045045045045002</v>
      </c>
      <c r="O22" s="530">
        <v>3.4036599999999999</v>
      </c>
      <c r="P22" s="529">
        <v>3.7</v>
      </c>
      <c r="Q22" s="105" t="s">
        <v>527</v>
      </c>
      <c r="R22" s="128" t="s">
        <v>526</v>
      </c>
      <c r="S22" s="32" t="s">
        <v>492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33" t="s">
        <v>278</v>
      </c>
      <c r="B23" s="533">
        <f t="shared" ref="B23:N23" si="1">+B14/B9*100</f>
        <v>0.38339622641509435</v>
      </c>
      <c r="C23" s="533">
        <f t="shared" si="1"/>
        <v>0.41612903225806452</v>
      </c>
      <c r="D23" s="533">
        <f t="shared" si="1"/>
        <v>0.51805555555555549</v>
      </c>
      <c r="E23" s="533">
        <f t="shared" si="1"/>
        <v>0.52876254180602011</v>
      </c>
      <c r="F23" s="533">
        <f t="shared" si="1"/>
        <v>0.54565916398713832</v>
      </c>
      <c r="G23" s="533">
        <f t="shared" si="1"/>
        <v>0.50807453416149073</v>
      </c>
      <c r="H23" s="533">
        <f t="shared" si="1"/>
        <v>0.60865671641791042</v>
      </c>
      <c r="I23" s="533">
        <f t="shared" si="1"/>
        <v>0.5902298850574712</v>
      </c>
      <c r="J23" s="533">
        <f t="shared" si="1"/>
        <v>0.55020519835841319</v>
      </c>
      <c r="K23" s="533">
        <f t="shared" si="1"/>
        <v>0.56430096051227319</v>
      </c>
      <c r="L23" s="533">
        <f t="shared" si="1"/>
        <v>0.54863301787592023</v>
      </c>
      <c r="M23" s="534">
        <f t="shared" si="1"/>
        <v>0.45482233502538072</v>
      </c>
      <c r="N23" s="534">
        <f t="shared" si="1"/>
        <v>0.55383462403197592</v>
      </c>
      <c r="O23" s="534">
        <f t="shared" ref="O23:P23" si="2">+O14/O9*100</f>
        <v>0.48791686805219919</v>
      </c>
      <c r="P23" s="534">
        <f t="shared" si="2"/>
        <v>0.57298677187282432</v>
      </c>
      <c r="Q23" s="32" t="s">
        <v>100</v>
      </c>
      <c r="R23" s="32"/>
      <c r="S23" s="32" t="s">
        <v>492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33" t="s">
        <v>279</v>
      </c>
      <c r="B24" s="525"/>
      <c r="C24" s="525"/>
      <c r="D24" s="525"/>
      <c r="E24" s="535">
        <v>0.55400000000000005</v>
      </c>
      <c r="F24" s="535">
        <v>0.68300000000000005</v>
      </c>
      <c r="G24" s="535">
        <v>0.749</v>
      </c>
      <c r="H24" s="535">
        <v>0.751</v>
      </c>
      <c r="I24" s="535">
        <v>0.89800000000000002</v>
      </c>
      <c r="J24" s="535">
        <v>0.81</v>
      </c>
      <c r="K24" s="535">
        <v>0.79</v>
      </c>
      <c r="L24" s="527"/>
      <c r="M24" s="527"/>
      <c r="N24" s="527"/>
      <c r="O24" s="527"/>
      <c r="P24" s="520">
        <v>0.62</v>
      </c>
      <c r="Q24" s="105" t="s">
        <v>527</v>
      </c>
      <c r="R24" s="469" t="s">
        <v>528</v>
      </c>
      <c r="S24" s="32" t="s">
        <v>492</v>
      </c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33" t="s">
        <v>280</v>
      </c>
      <c r="B25" s="525"/>
      <c r="C25" s="525"/>
      <c r="D25" s="525"/>
      <c r="E25" s="520">
        <v>3.9571428571428577E-2</v>
      </c>
      <c r="F25" s="520">
        <v>4.8785714285714293E-2</v>
      </c>
      <c r="G25" s="520">
        <v>5.3499999999999999E-2</v>
      </c>
      <c r="H25" s="520">
        <v>5.3642857142857138E-2</v>
      </c>
      <c r="I25" s="520">
        <v>6.414285714285714E-2</v>
      </c>
      <c r="J25" s="520">
        <v>5.7857142857142864E-2</v>
      </c>
      <c r="K25" s="520">
        <v>0.02</v>
      </c>
      <c r="L25" s="527"/>
      <c r="M25" s="527"/>
      <c r="N25" s="527"/>
      <c r="O25" s="527"/>
      <c r="P25" s="520">
        <v>1.2999999999999999E-2</v>
      </c>
      <c r="Q25" s="105" t="s">
        <v>527</v>
      </c>
      <c r="R25" s="469" t="s">
        <v>528</v>
      </c>
      <c r="S25" s="32" t="s">
        <v>492</v>
      </c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41"/>
      <c r="B26" s="517"/>
      <c r="C26" s="517"/>
      <c r="D26" s="517"/>
      <c r="E26" s="517"/>
      <c r="F26" s="517"/>
      <c r="G26" s="517"/>
      <c r="H26" s="517"/>
      <c r="I26" s="517"/>
      <c r="J26" s="536"/>
      <c r="K26" s="536"/>
      <c r="L26" s="536"/>
      <c r="M26" s="536"/>
      <c r="N26" s="536"/>
      <c r="O26" s="537"/>
      <c r="P26" s="538"/>
      <c r="Q26" s="44"/>
      <c r="R26" s="44"/>
      <c r="S26" s="93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133" t="s">
        <v>281</v>
      </c>
      <c r="B27" s="539">
        <v>2010</v>
      </c>
      <c r="C27" s="539">
        <v>2011</v>
      </c>
      <c r="D27" s="539">
        <v>2012</v>
      </c>
      <c r="E27" s="539">
        <v>2013</v>
      </c>
      <c r="F27" s="539">
        <v>2014</v>
      </c>
      <c r="G27" s="539">
        <v>2015</v>
      </c>
      <c r="H27" s="539">
        <v>2016</v>
      </c>
      <c r="I27" s="540">
        <v>2017</v>
      </c>
      <c r="J27" s="540">
        <v>2018</v>
      </c>
      <c r="K27" s="540">
        <v>2019</v>
      </c>
      <c r="L27" s="540">
        <v>2020</v>
      </c>
      <c r="M27" s="540">
        <v>2021</v>
      </c>
      <c r="N27" s="540">
        <v>2022</v>
      </c>
      <c r="O27" s="541">
        <v>2023</v>
      </c>
      <c r="P27" s="542">
        <v>2024</v>
      </c>
      <c r="Q27" s="470" t="s">
        <v>241</v>
      </c>
      <c r="R27" s="28" t="s">
        <v>242</v>
      </c>
      <c r="S27" s="28" t="s">
        <v>22</v>
      </c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>
      <c r="A28" s="136" t="s">
        <v>282</v>
      </c>
      <c r="B28" s="543"/>
      <c r="C28" s="543"/>
      <c r="D28" s="543"/>
      <c r="E28" s="543"/>
      <c r="F28" s="139">
        <v>1.7</v>
      </c>
      <c r="G28" s="543"/>
      <c r="H28" s="543"/>
      <c r="I28" s="139">
        <v>2.0499999999999998</v>
      </c>
      <c r="J28" s="139">
        <v>2.0099999999999998</v>
      </c>
      <c r="K28" s="139">
        <v>2.11</v>
      </c>
      <c r="L28" s="524">
        <f t="shared" ref="L28:N28" si="3">L14</f>
        <v>2.0870000000000002</v>
      </c>
      <c r="M28" s="524">
        <f t="shared" si="3"/>
        <v>1.792</v>
      </c>
      <c r="N28" s="524">
        <f t="shared" si="3"/>
        <v>2.2169999999999996</v>
      </c>
      <c r="O28" s="544">
        <v>2.1800000000000002</v>
      </c>
      <c r="P28" s="139">
        <v>2.4700000000000002</v>
      </c>
      <c r="Q28" s="105" t="s">
        <v>283</v>
      </c>
      <c r="R28" s="49" t="s">
        <v>420</v>
      </c>
      <c r="S28" s="32" t="s">
        <v>492</v>
      </c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>
      <c r="A29" s="136" t="s">
        <v>284</v>
      </c>
      <c r="B29" s="543"/>
      <c r="C29" s="543"/>
      <c r="D29" s="543"/>
      <c r="E29" s="543"/>
      <c r="F29" s="139">
        <v>10</v>
      </c>
      <c r="G29" s="543"/>
      <c r="H29" s="543"/>
      <c r="I29" s="139">
        <v>18.8</v>
      </c>
      <c r="J29" s="139">
        <v>18.2</v>
      </c>
      <c r="K29" s="139">
        <v>21.3</v>
      </c>
      <c r="L29" s="137">
        <v>18.7</v>
      </c>
      <c r="M29" s="139">
        <v>16.399999999999999</v>
      </c>
      <c r="N29" s="139">
        <v>17.899999999999999</v>
      </c>
      <c r="O29" s="544">
        <v>10.6</v>
      </c>
      <c r="P29" s="139">
        <v>5.7</v>
      </c>
      <c r="Q29" s="105" t="s">
        <v>283</v>
      </c>
      <c r="R29" s="49" t="s">
        <v>420</v>
      </c>
      <c r="S29" s="32" t="s">
        <v>492</v>
      </c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>
      <c r="A30" s="136" t="s">
        <v>285</v>
      </c>
      <c r="B30" s="543"/>
      <c r="C30" s="543"/>
      <c r="D30" s="543"/>
      <c r="E30" s="543"/>
      <c r="F30" s="139">
        <v>12.2</v>
      </c>
      <c r="G30" s="543"/>
      <c r="H30" s="543"/>
      <c r="I30" s="139">
        <v>10.3</v>
      </c>
      <c r="J30" s="139">
        <v>10.3</v>
      </c>
      <c r="K30" s="139">
        <v>13.9</v>
      </c>
      <c r="L30" s="137">
        <v>18.7</v>
      </c>
      <c r="M30" s="139">
        <v>18.899999999999999</v>
      </c>
      <c r="N30" s="139">
        <v>20.7</v>
      </c>
      <c r="O30" s="544">
        <v>31</v>
      </c>
      <c r="P30" s="139">
        <v>37.1</v>
      </c>
      <c r="Q30" s="105" t="s">
        <v>283</v>
      </c>
      <c r="R30" s="49" t="s">
        <v>420</v>
      </c>
      <c r="S30" s="32" t="s">
        <v>492</v>
      </c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>
      <c r="A31" s="136" t="s">
        <v>286</v>
      </c>
      <c r="B31" s="543"/>
      <c r="C31" s="543"/>
      <c r="D31" s="543"/>
      <c r="E31" s="543"/>
      <c r="F31" s="139">
        <v>13</v>
      </c>
      <c r="G31" s="543"/>
      <c r="H31" s="543"/>
      <c r="I31" s="139">
        <v>5</v>
      </c>
      <c r="J31" s="139">
        <v>7.2</v>
      </c>
      <c r="K31" s="139">
        <v>13.4</v>
      </c>
      <c r="L31" s="137">
        <v>13.5</v>
      </c>
      <c r="M31" s="139">
        <v>19.2</v>
      </c>
      <c r="N31" s="139">
        <v>4.5</v>
      </c>
      <c r="O31" s="544">
        <v>4.5999999999999996</v>
      </c>
      <c r="P31" s="139">
        <v>4.5999999999999996</v>
      </c>
      <c r="Q31" s="105" t="s">
        <v>283</v>
      </c>
      <c r="R31" s="49" t="s">
        <v>420</v>
      </c>
      <c r="S31" s="32" t="s">
        <v>492</v>
      </c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>
      <c r="A32" s="136" t="s">
        <v>287</v>
      </c>
      <c r="B32" s="543"/>
      <c r="C32" s="543"/>
      <c r="D32" s="543"/>
      <c r="E32" s="543"/>
      <c r="F32" s="139">
        <v>11.8</v>
      </c>
      <c r="G32" s="543"/>
      <c r="H32" s="543"/>
      <c r="I32" s="139">
        <v>9.6999999999999993</v>
      </c>
      <c r="J32" s="139">
        <v>9.5</v>
      </c>
      <c r="K32" s="139">
        <v>11.8</v>
      </c>
      <c r="L32" s="137">
        <v>10.5</v>
      </c>
      <c r="M32" s="139">
        <v>9.5</v>
      </c>
      <c r="N32" s="139">
        <v>14.8</v>
      </c>
      <c r="O32" s="544">
        <v>12.3</v>
      </c>
      <c r="P32" s="139">
        <v>11</v>
      </c>
      <c r="Q32" s="105" t="s">
        <v>283</v>
      </c>
      <c r="R32" s="49" t="s">
        <v>420</v>
      </c>
      <c r="S32" s="32" t="s">
        <v>492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>
      <c r="A33" s="136" t="s">
        <v>288</v>
      </c>
      <c r="B33" s="543"/>
      <c r="C33" s="543"/>
      <c r="D33" s="543"/>
      <c r="E33" s="543"/>
      <c r="F33" s="139">
        <v>5.5</v>
      </c>
      <c r="G33" s="543"/>
      <c r="H33" s="543"/>
      <c r="I33" s="139">
        <v>11.9</v>
      </c>
      <c r="J33" s="139">
        <v>11.6</v>
      </c>
      <c r="K33" s="139">
        <v>11.6</v>
      </c>
      <c r="L33" s="137">
        <v>11.9</v>
      </c>
      <c r="M33" s="139">
        <v>9.1</v>
      </c>
      <c r="N33" s="139">
        <v>11.1</v>
      </c>
      <c r="O33" s="544">
        <v>18.3</v>
      </c>
      <c r="P33" s="139">
        <v>14.4</v>
      </c>
      <c r="Q33" s="105" t="s">
        <v>283</v>
      </c>
      <c r="R33" s="49" t="s">
        <v>420</v>
      </c>
      <c r="S33" s="32" t="s">
        <v>492</v>
      </c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>
      <c r="A34" s="136" t="s">
        <v>289</v>
      </c>
      <c r="B34" s="543"/>
      <c r="C34" s="543"/>
      <c r="D34" s="543"/>
      <c r="E34" s="543"/>
      <c r="F34" s="139">
        <v>35.4</v>
      </c>
      <c r="G34" s="543"/>
      <c r="H34" s="543"/>
      <c r="I34" s="139">
        <v>26.3</v>
      </c>
      <c r="J34" s="139">
        <v>26.6</v>
      </c>
      <c r="K34" s="139">
        <v>9.8000000000000007</v>
      </c>
      <c r="L34" s="137">
        <v>7.8</v>
      </c>
      <c r="M34" s="139">
        <v>6.2</v>
      </c>
      <c r="N34" s="139">
        <v>4.2</v>
      </c>
      <c r="O34" s="544">
        <v>2.2000000000000002</v>
      </c>
      <c r="P34" s="139">
        <v>2.7</v>
      </c>
      <c r="Q34" s="105" t="s">
        <v>283</v>
      </c>
      <c r="R34" s="49" t="s">
        <v>420</v>
      </c>
      <c r="S34" s="32" t="s">
        <v>492</v>
      </c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>
      <c r="A35" s="136" t="s">
        <v>290</v>
      </c>
      <c r="B35" s="543"/>
      <c r="C35" s="543"/>
      <c r="D35" s="543"/>
      <c r="E35" s="543"/>
      <c r="F35" s="139">
        <v>7.1</v>
      </c>
      <c r="G35" s="543"/>
      <c r="H35" s="543"/>
      <c r="I35" s="543"/>
      <c r="J35" s="139">
        <v>9.1999999999999993</v>
      </c>
      <c r="K35" s="139">
        <v>9.1999999999999993</v>
      </c>
      <c r="L35" s="137">
        <v>9.1999999999999993</v>
      </c>
      <c r="M35" s="139">
        <v>8.1</v>
      </c>
      <c r="N35" s="139">
        <v>13.3</v>
      </c>
      <c r="O35" s="544">
        <v>13.5</v>
      </c>
      <c r="P35" s="139">
        <v>13.2</v>
      </c>
      <c r="Q35" s="105" t="s">
        <v>283</v>
      </c>
      <c r="R35" s="49" t="s">
        <v>420</v>
      </c>
      <c r="S35" s="32" t="s">
        <v>492</v>
      </c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>
      <c r="A36" s="136" t="s">
        <v>291</v>
      </c>
      <c r="B36" s="543"/>
      <c r="C36" s="543"/>
      <c r="D36" s="543"/>
      <c r="E36" s="543"/>
      <c r="F36" s="139">
        <v>1.6</v>
      </c>
      <c r="G36" s="543"/>
      <c r="H36" s="543"/>
      <c r="I36" s="139">
        <v>4.9000000000000004</v>
      </c>
      <c r="J36" s="139">
        <v>4.5999999999999996</v>
      </c>
      <c r="K36" s="139">
        <v>4.3</v>
      </c>
      <c r="L36" s="137">
        <v>4.0999999999999996</v>
      </c>
      <c r="M36" s="139">
        <v>3.5</v>
      </c>
      <c r="N36" s="139">
        <v>0.9</v>
      </c>
      <c r="O36" s="544">
        <v>0.9</v>
      </c>
      <c r="P36" s="139">
        <v>1.3</v>
      </c>
      <c r="Q36" s="105" t="s">
        <v>283</v>
      </c>
      <c r="R36" s="49" t="s">
        <v>420</v>
      </c>
      <c r="S36" s="32" t="s">
        <v>492</v>
      </c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>
      <c r="A37" s="136" t="s">
        <v>292</v>
      </c>
      <c r="B37" s="543"/>
      <c r="C37" s="543"/>
      <c r="D37" s="543"/>
      <c r="E37" s="543"/>
      <c r="F37" s="139">
        <v>1.4</v>
      </c>
      <c r="G37" s="543"/>
      <c r="H37" s="543"/>
      <c r="I37" s="139">
        <v>10.7</v>
      </c>
      <c r="J37" s="139">
        <v>1.4</v>
      </c>
      <c r="K37" s="139">
        <v>2.6</v>
      </c>
      <c r="L37" s="137">
        <v>2.5</v>
      </c>
      <c r="M37" s="139">
        <v>1</v>
      </c>
      <c r="N37" s="139">
        <v>1.1000000000000001</v>
      </c>
      <c r="O37" s="544">
        <v>1.1000000000000001</v>
      </c>
      <c r="P37" s="139">
        <v>5.3</v>
      </c>
      <c r="Q37" s="219" t="s">
        <v>283</v>
      </c>
      <c r="R37" s="49" t="s">
        <v>420</v>
      </c>
      <c r="S37" s="32" t="s">
        <v>492</v>
      </c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>
      <c r="A38" s="136" t="s">
        <v>293</v>
      </c>
      <c r="B38" s="543"/>
      <c r="C38" s="543"/>
      <c r="D38" s="543"/>
      <c r="E38" s="543"/>
      <c r="F38" s="139">
        <v>2</v>
      </c>
      <c r="G38" s="543"/>
      <c r="H38" s="543"/>
      <c r="I38" s="139">
        <v>2.4</v>
      </c>
      <c r="J38" s="139">
        <v>1.4</v>
      </c>
      <c r="K38" s="139">
        <v>1.2</v>
      </c>
      <c r="L38" s="137">
        <v>1.7</v>
      </c>
      <c r="M38" s="139">
        <v>1.8</v>
      </c>
      <c r="N38" s="139">
        <v>3.9</v>
      </c>
      <c r="O38" s="544">
        <v>4.8</v>
      </c>
      <c r="P38" s="139">
        <v>4.0999999999999996</v>
      </c>
      <c r="Q38" s="105" t="s">
        <v>283</v>
      </c>
      <c r="R38" s="49" t="s">
        <v>420</v>
      </c>
      <c r="S38" s="32" t="s">
        <v>492</v>
      </c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>
      <c r="A39" s="220" t="s">
        <v>294</v>
      </c>
      <c r="B39" s="545"/>
      <c r="C39" s="545"/>
      <c r="D39" s="543"/>
      <c r="E39" s="543"/>
      <c r="F39" s="139">
        <v>0</v>
      </c>
      <c r="G39" s="545"/>
      <c r="H39" s="543"/>
      <c r="I39" s="139">
        <v>0</v>
      </c>
      <c r="J39" s="139">
        <v>0</v>
      </c>
      <c r="K39" s="139">
        <v>0.9</v>
      </c>
      <c r="L39" s="137">
        <v>1.4</v>
      </c>
      <c r="M39" s="139">
        <v>1.9</v>
      </c>
      <c r="N39" s="139">
        <v>3.9</v>
      </c>
      <c r="O39" s="544">
        <v>0.5</v>
      </c>
      <c r="P39" s="139">
        <v>0.6</v>
      </c>
      <c r="Q39" s="219" t="s">
        <v>283</v>
      </c>
      <c r="R39" s="49" t="s">
        <v>420</v>
      </c>
      <c r="S39" s="32" t="s">
        <v>492</v>
      </c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550"/>
      <c r="B40" s="517"/>
      <c r="C40" s="517"/>
      <c r="D40" s="517"/>
      <c r="E40" s="517"/>
      <c r="F40" s="517"/>
      <c r="G40" s="517"/>
      <c r="H40" s="517"/>
      <c r="I40" s="517"/>
      <c r="J40" s="517"/>
      <c r="K40" s="517"/>
      <c r="L40" s="517"/>
      <c r="M40" s="517"/>
      <c r="N40" s="517"/>
      <c r="O40" s="518"/>
      <c r="P40" s="518"/>
      <c r="Q40" s="44"/>
      <c r="R40" s="44"/>
      <c r="S40" s="93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00" t="s">
        <v>583</v>
      </c>
      <c r="B41" s="548">
        <v>2010</v>
      </c>
      <c r="C41" s="519">
        <v>2011</v>
      </c>
      <c r="D41" s="519">
        <v>2012</v>
      </c>
      <c r="E41" s="519">
        <v>2013</v>
      </c>
      <c r="F41" s="519">
        <v>2014</v>
      </c>
      <c r="G41" s="519">
        <v>2015</v>
      </c>
      <c r="H41" s="519">
        <v>2016</v>
      </c>
      <c r="I41" s="510">
        <v>2017</v>
      </c>
      <c r="J41" s="510">
        <v>2018</v>
      </c>
      <c r="K41" s="510">
        <v>2019</v>
      </c>
      <c r="L41" s="510">
        <v>2020</v>
      </c>
      <c r="M41" s="510">
        <v>2021</v>
      </c>
      <c r="N41" s="540">
        <v>2022</v>
      </c>
      <c r="O41" s="540">
        <v>2023</v>
      </c>
      <c r="P41" s="540">
        <v>2024</v>
      </c>
      <c r="Q41" s="134" t="s">
        <v>241</v>
      </c>
      <c r="R41" s="135" t="s">
        <v>242</v>
      </c>
      <c r="S41" s="135" t="s">
        <v>22</v>
      </c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136" t="s">
        <v>584</v>
      </c>
      <c r="B42" s="549">
        <v>1210.3</v>
      </c>
      <c r="C42" s="511">
        <v>1260.7</v>
      </c>
      <c r="D42" s="511">
        <v>1337.4</v>
      </c>
      <c r="E42" s="511">
        <v>1368.2</v>
      </c>
      <c r="F42" s="511">
        <v>1378.6</v>
      </c>
      <c r="G42" s="511">
        <v>1194.7</v>
      </c>
      <c r="H42" s="511">
        <v>1118.4000000000001</v>
      </c>
      <c r="I42" s="511">
        <v>1204.2</v>
      </c>
      <c r="J42" s="511">
        <v>1262.7</v>
      </c>
      <c r="K42" s="511">
        <v>1084</v>
      </c>
      <c r="L42" s="511">
        <v>989.4</v>
      </c>
      <c r="M42" s="528">
        <v>1235.9000000000001</v>
      </c>
      <c r="N42" s="529">
        <v>1319.8</v>
      </c>
      <c r="O42" s="529">
        <v>1295</v>
      </c>
      <c r="P42" s="529">
        <v>1263.9000000000001</v>
      </c>
      <c r="Q42" s="136" t="s">
        <v>522</v>
      </c>
      <c r="R42" s="547" t="s">
        <v>588</v>
      </c>
      <c r="S42" s="141" t="s">
        <v>492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136" t="s">
        <v>585</v>
      </c>
      <c r="B43" s="549">
        <v>572</v>
      </c>
      <c r="C43" s="511">
        <v>566</v>
      </c>
      <c r="D43" s="511">
        <v>685</v>
      </c>
      <c r="E43" s="511">
        <v>702</v>
      </c>
      <c r="F43" s="511">
        <v>696</v>
      </c>
      <c r="G43" s="511">
        <v>751</v>
      </c>
      <c r="H43" s="511">
        <v>686</v>
      </c>
      <c r="I43" s="511">
        <v>717</v>
      </c>
      <c r="J43" s="511">
        <v>736</v>
      </c>
      <c r="K43" s="511">
        <v>733</v>
      </c>
      <c r="L43" s="511">
        <v>738</v>
      </c>
      <c r="M43" s="528">
        <v>704</v>
      </c>
      <c r="N43" s="529">
        <v>930</v>
      </c>
      <c r="O43" s="529">
        <v>927</v>
      </c>
      <c r="P43" s="529">
        <v>923</v>
      </c>
      <c r="Q43" s="136" t="s">
        <v>522</v>
      </c>
      <c r="R43" s="547" t="s">
        <v>588</v>
      </c>
      <c r="S43" s="141" t="s">
        <v>492</v>
      </c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136" t="s">
        <v>586</v>
      </c>
      <c r="B44" s="549">
        <v>617.1</v>
      </c>
      <c r="C44" s="511">
        <v>654.20000000000005</v>
      </c>
      <c r="D44" s="511">
        <v>594.79999999999995</v>
      </c>
      <c r="E44" s="511">
        <v>587.70000000000005</v>
      </c>
      <c r="F44" s="511">
        <v>575</v>
      </c>
      <c r="G44" s="511">
        <v>518.20000000000005</v>
      </c>
      <c r="H44" s="511">
        <v>483</v>
      </c>
      <c r="I44" s="511">
        <v>498.8</v>
      </c>
      <c r="J44" s="511">
        <v>534.29999999999995</v>
      </c>
      <c r="K44" s="511">
        <v>512</v>
      </c>
      <c r="L44" s="511">
        <v>454.4</v>
      </c>
      <c r="M44" s="528">
        <v>533.70000000000005</v>
      </c>
      <c r="N44" s="529">
        <v>535.5</v>
      </c>
      <c r="O44" s="529">
        <v>443.6</v>
      </c>
      <c r="P44" s="529">
        <v>433.3</v>
      </c>
      <c r="Q44" s="136" t="s">
        <v>522</v>
      </c>
      <c r="R44" s="547" t="s">
        <v>588</v>
      </c>
      <c r="S44" s="141" t="s">
        <v>492</v>
      </c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136" t="s">
        <v>587</v>
      </c>
      <c r="B45" s="549">
        <v>211.6</v>
      </c>
      <c r="C45" s="511">
        <v>239.7</v>
      </c>
      <c r="D45" s="511">
        <v>231.4</v>
      </c>
      <c r="E45" s="511">
        <v>236.1</v>
      </c>
      <c r="F45" s="511">
        <v>257.8</v>
      </c>
      <c r="G45" s="511">
        <v>234.5</v>
      </c>
      <c r="H45" s="511">
        <v>225.4</v>
      </c>
      <c r="I45" s="511">
        <v>237.1</v>
      </c>
      <c r="J45" s="511">
        <v>258.3</v>
      </c>
      <c r="K45" s="511">
        <v>219.7</v>
      </c>
      <c r="L45" s="511">
        <v>186.6</v>
      </c>
      <c r="M45" s="528">
        <v>278.3</v>
      </c>
      <c r="N45" s="529">
        <v>263.89999999999998</v>
      </c>
      <c r="O45" s="529">
        <v>185.8</v>
      </c>
      <c r="P45" s="529">
        <v>186.9</v>
      </c>
      <c r="Q45" s="136" t="s">
        <v>522</v>
      </c>
      <c r="R45" s="547" t="s">
        <v>588</v>
      </c>
      <c r="S45" s="141" t="s">
        <v>492</v>
      </c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 thickBot="1">
      <c r="A46" s="25"/>
      <c r="B46" s="508"/>
      <c r="C46" s="508"/>
      <c r="D46" s="508"/>
      <c r="E46" s="508"/>
      <c r="F46" s="508"/>
      <c r="G46" s="508"/>
      <c r="H46" s="508"/>
      <c r="I46" s="508"/>
      <c r="J46" s="508"/>
      <c r="K46" s="29"/>
      <c r="L46" s="29"/>
      <c r="M46" s="29"/>
      <c r="N46" s="29"/>
      <c r="O46" s="29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 thickBot="1">
      <c r="A47" s="25"/>
      <c r="B47" s="508"/>
      <c r="C47" s="509"/>
      <c r="D47" s="508"/>
      <c r="E47" s="508"/>
      <c r="F47" s="508"/>
      <c r="G47" s="508"/>
      <c r="H47" s="508"/>
      <c r="I47" s="508"/>
      <c r="J47" s="508"/>
      <c r="K47" s="29"/>
      <c r="L47" s="29"/>
      <c r="M47" s="29"/>
      <c r="N47" s="29"/>
      <c r="O47" s="29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 thickBot="1">
      <c r="A48" s="25"/>
      <c r="B48" s="508"/>
      <c r="C48" s="509"/>
      <c r="D48" s="508"/>
      <c r="E48" s="508"/>
      <c r="F48" s="508"/>
      <c r="G48" s="508"/>
      <c r="H48" s="508"/>
      <c r="I48" s="508"/>
      <c r="J48" s="508"/>
      <c r="K48" s="29"/>
      <c r="L48" s="29"/>
      <c r="M48" s="29"/>
      <c r="N48" s="29"/>
      <c r="O48" s="29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 thickBot="1">
      <c r="A49" s="25"/>
      <c r="B49" s="508"/>
      <c r="C49" s="509"/>
      <c r="D49" s="508"/>
      <c r="E49" s="508"/>
      <c r="F49" s="508"/>
      <c r="G49" s="508"/>
      <c r="H49" s="508"/>
      <c r="I49" s="508"/>
      <c r="J49" s="508"/>
      <c r="K49" s="29"/>
      <c r="L49" s="29"/>
      <c r="M49" s="29"/>
      <c r="N49" s="29"/>
      <c r="O49" s="29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 thickBot="1">
      <c r="A50" s="25"/>
      <c r="B50" s="508"/>
      <c r="C50" s="509"/>
      <c r="D50" s="508"/>
      <c r="E50" s="508"/>
      <c r="F50" s="508"/>
      <c r="G50" s="508"/>
      <c r="H50" s="508"/>
      <c r="I50" s="508"/>
      <c r="J50" s="508"/>
      <c r="K50" s="29"/>
      <c r="L50" s="29"/>
      <c r="M50" s="29"/>
      <c r="N50" s="29"/>
      <c r="O50" s="246" t="s">
        <v>451</v>
      </c>
      <c r="P50" s="136" t="s">
        <v>453</v>
      </c>
      <c r="Q50" s="143">
        <v>5.7</v>
      </c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 thickBot="1">
      <c r="A51" s="25"/>
      <c r="B51" s="508"/>
      <c r="C51" s="509"/>
      <c r="D51" s="508"/>
      <c r="E51" s="508"/>
      <c r="F51" s="508"/>
      <c r="G51" s="508"/>
      <c r="H51" s="508"/>
      <c r="I51" s="508"/>
      <c r="J51" s="508"/>
      <c r="K51" s="29"/>
      <c r="L51" s="29"/>
      <c r="M51" s="29"/>
      <c r="N51" s="29"/>
      <c r="O51" s="246" t="s">
        <v>451</v>
      </c>
      <c r="P51" s="136" t="s">
        <v>454</v>
      </c>
      <c r="Q51" s="143">
        <v>37.1</v>
      </c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 thickBot="1">
      <c r="A52" s="25"/>
      <c r="B52" s="508"/>
      <c r="C52" s="509"/>
      <c r="D52" s="508"/>
      <c r="E52" s="508"/>
      <c r="F52" s="508"/>
      <c r="G52" s="508"/>
      <c r="H52" s="508"/>
      <c r="I52" s="508"/>
      <c r="J52" s="508"/>
      <c r="K52" s="29"/>
      <c r="L52" s="29"/>
      <c r="M52" s="29"/>
      <c r="N52" s="29"/>
      <c r="O52" s="246" t="s">
        <v>451</v>
      </c>
      <c r="P52" s="136" t="s">
        <v>455</v>
      </c>
      <c r="Q52" s="143">
        <v>4.5999999999999996</v>
      </c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 thickBot="1">
      <c r="A53" s="25"/>
      <c r="B53" s="508"/>
      <c r="C53" s="509"/>
      <c r="D53" s="508"/>
      <c r="E53" s="508"/>
      <c r="F53" s="508"/>
      <c r="G53" s="508"/>
      <c r="H53" s="508"/>
      <c r="I53" s="508"/>
      <c r="J53" s="508"/>
      <c r="K53" s="29"/>
      <c r="L53" s="29"/>
      <c r="M53" s="29"/>
      <c r="N53" s="29"/>
      <c r="O53" s="246" t="s">
        <v>451</v>
      </c>
      <c r="P53" s="136" t="s">
        <v>456</v>
      </c>
      <c r="Q53" s="143">
        <v>11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 thickBot="1">
      <c r="A54" s="25"/>
      <c r="B54" s="508"/>
      <c r="C54" s="509"/>
      <c r="D54" s="508"/>
      <c r="E54" s="508"/>
      <c r="F54" s="508"/>
      <c r="G54" s="508"/>
      <c r="H54" s="508"/>
      <c r="I54" s="508"/>
      <c r="J54" s="508"/>
      <c r="K54" s="29"/>
      <c r="L54" s="29"/>
      <c r="M54" s="29"/>
      <c r="N54" s="29"/>
      <c r="O54" s="246" t="s">
        <v>451</v>
      </c>
      <c r="P54" s="136" t="s">
        <v>457</v>
      </c>
      <c r="Q54" s="143">
        <v>14.4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 thickBot="1">
      <c r="A55" s="25"/>
      <c r="B55" s="508"/>
      <c r="C55" s="509"/>
      <c r="D55" s="508"/>
      <c r="E55" s="508"/>
      <c r="F55" s="508"/>
      <c r="G55" s="508"/>
      <c r="H55" s="508"/>
      <c r="I55" s="508"/>
      <c r="J55" s="508"/>
      <c r="K55" s="29"/>
      <c r="L55" s="29"/>
      <c r="M55" s="29"/>
      <c r="N55" s="29"/>
      <c r="O55" s="246" t="s">
        <v>452</v>
      </c>
      <c r="P55" s="136" t="s">
        <v>458</v>
      </c>
      <c r="Q55" s="143">
        <v>2.7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 thickBot="1">
      <c r="A56" s="25"/>
      <c r="B56" s="508"/>
      <c r="C56" s="509"/>
      <c r="D56" s="508"/>
      <c r="E56" s="508"/>
      <c r="F56" s="508"/>
      <c r="G56" s="508"/>
      <c r="H56" s="508"/>
      <c r="I56" s="508"/>
      <c r="J56" s="508"/>
      <c r="K56" s="29"/>
      <c r="L56" s="29"/>
      <c r="M56" s="29"/>
      <c r="N56" s="29"/>
      <c r="O56" s="246" t="s">
        <v>452</v>
      </c>
      <c r="P56" s="136" t="s">
        <v>459</v>
      </c>
      <c r="Q56" s="143">
        <v>13.2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 thickBot="1">
      <c r="A57" s="25"/>
      <c r="B57" s="508"/>
      <c r="C57" s="508"/>
      <c r="D57" s="508"/>
      <c r="E57" s="508"/>
      <c r="F57" s="508"/>
      <c r="G57" s="508"/>
      <c r="H57" s="508"/>
      <c r="I57" s="508"/>
      <c r="J57" s="508"/>
      <c r="K57" s="29"/>
      <c r="L57" s="29"/>
      <c r="M57" s="29"/>
      <c r="N57" s="29"/>
      <c r="O57" s="246" t="s">
        <v>452</v>
      </c>
      <c r="P57" s="136" t="s">
        <v>460</v>
      </c>
      <c r="Q57" s="143">
        <v>1.3</v>
      </c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 thickBot="1">
      <c r="A58" s="25"/>
      <c r="B58" s="508"/>
      <c r="C58" s="509"/>
      <c r="D58" s="508"/>
      <c r="E58" s="508"/>
      <c r="F58" s="508"/>
      <c r="G58" s="508"/>
      <c r="H58" s="508"/>
      <c r="I58" s="508"/>
      <c r="J58" s="508"/>
      <c r="K58" s="29"/>
      <c r="L58" s="29"/>
      <c r="M58" s="29"/>
      <c r="N58" s="29"/>
      <c r="O58" s="246" t="s">
        <v>452</v>
      </c>
      <c r="P58" s="136" t="s">
        <v>461</v>
      </c>
      <c r="Q58" s="143">
        <v>5.3</v>
      </c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 thickBot="1">
      <c r="A59" s="25"/>
      <c r="B59" s="508"/>
      <c r="C59" s="509"/>
      <c r="D59" s="508"/>
      <c r="E59" s="508"/>
      <c r="F59" s="508"/>
      <c r="G59" s="508"/>
      <c r="H59" s="508"/>
      <c r="I59" s="508"/>
      <c r="J59" s="508"/>
      <c r="K59" s="29"/>
      <c r="L59" s="29"/>
      <c r="M59" s="29"/>
      <c r="N59" s="29"/>
      <c r="O59" s="246" t="s">
        <v>452</v>
      </c>
      <c r="P59" s="136" t="s">
        <v>462</v>
      </c>
      <c r="Q59" s="143">
        <v>4.0999999999999996</v>
      </c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 thickBot="1">
      <c r="A60" s="25"/>
      <c r="B60" s="508"/>
      <c r="C60" s="509"/>
      <c r="D60" s="508"/>
      <c r="E60" s="508"/>
      <c r="F60" s="508"/>
      <c r="G60" s="508"/>
      <c r="H60" s="508"/>
      <c r="I60" s="508"/>
      <c r="J60" s="508"/>
      <c r="K60" s="29"/>
      <c r="L60" s="29"/>
      <c r="M60" s="29"/>
      <c r="N60" s="29"/>
      <c r="O60" s="246" t="s">
        <v>452</v>
      </c>
      <c r="P60" s="220" t="s">
        <v>463</v>
      </c>
      <c r="Q60" s="143">
        <v>0.6</v>
      </c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 thickBot="1">
      <c r="A61" s="25"/>
      <c r="B61" s="508"/>
      <c r="C61" s="509"/>
      <c r="D61" s="508"/>
      <c r="E61" s="508"/>
      <c r="F61" s="508"/>
      <c r="G61" s="508"/>
      <c r="H61" s="508"/>
      <c r="I61" s="508"/>
      <c r="J61" s="508"/>
      <c r="K61" s="29"/>
      <c r="L61" s="29"/>
      <c r="M61" s="29"/>
      <c r="N61" s="29"/>
      <c r="O61" s="29"/>
      <c r="P61" s="2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9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9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9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9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9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9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9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9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9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9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9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9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9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</sheetData>
  <mergeCells count="1">
    <mergeCell ref="A1:A2"/>
  </mergeCells>
  <hyperlinks>
    <hyperlink ref="R4" r:id="rId1" xr:uid="{00000000-0004-0000-0B00-000000000000}"/>
    <hyperlink ref="R5" r:id="rId2" location="reqid=51&amp;step=51&amp;isuri=1&amp;5114=a&amp;5102=5" xr:uid="{00000000-0004-0000-0B00-000001000000}"/>
    <hyperlink ref="R7" r:id="rId3" xr:uid="{00000000-0004-0000-0B00-000002000000}"/>
    <hyperlink ref="R8" r:id="rId4" xr:uid="{00000000-0004-0000-0B00-000003000000}"/>
    <hyperlink ref="R9" r:id="rId5" xr:uid="{00000000-0004-0000-0B00-000004000000}"/>
    <hyperlink ref="R24" r:id="rId6" xr:uid="{F01B2539-1577-4969-9D2B-4539EDBA5B84}"/>
    <hyperlink ref="R25" r:id="rId7" xr:uid="{4FC22ED7-002F-44FD-8BD8-4F11D1415F11}"/>
    <hyperlink ref="R42" r:id="rId8" display="https://my-ibisworld-com.libezproxy2.syr.edu/us/en/industry-specialized/OD4512/key-success-factors" xr:uid="{91C234CF-87D0-44A3-BFC6-0642EAC8B398}"/>
    <hyperlink ref="R43" r:id="rId9" display="https://my-ibisworld-com.libezproxy2.syr.edu/us/en/industry-specialized/OD4512/key-success-factors" xr:uid="{830FAA15-E2A7-449C-8257-71B4F468A3B3}"/>
    <hyperlink ref="R44" r:id="rId10" display="https://my-ibisworld-com.libezproxy2.syr.edu/us/en/industry-specialized/OD4512/key-success-factors" xr:uid="{8D00CF18-BDED-46D8-8CF6-A17A4B30F783}"/>
    <hyperlink ref="R45" r:id="rId11" display="https://my-ibisworld-com.libezproxy2.syr.edu/us/en/industry-specialized/OD4512/key-success-factors" xr:uid="{791717C9-17B2-4D99-AB96-1BAD72B86FF7}"/>
  </hyperlinks>
  <pageMargins left="0.7" right="0.7" top="0.75" bottom="0.75" header="0" footer="0"/>
  <pageSetup orientation="portrait"/>
  <drawing r:id="rId1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3404"/>
  </sheetPr>
  <dimension ref="A1:AC1000"/>
  <sheetViews>
    <sheetView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S4" sqref="S4:S10"/>
    </sheetView>
  </sheetViews>
  <sheetFormatPr defaultColWidth="14.42578125" defaultRowHeight="15" customHeight="1"/>
  <cols>
    <col min="1" max="1" width="41.5703125" customWidth="1"/>
    <col min="2" max="16" width="11.7109375" customWidth="1"/>
    <col min="17" max="17" width="20.140625" customWidth="1"/>
    <col min="18" max="18" width="66.5703125" customWidth="1"/>
    <col min="19" max="19" width="17.7109375" customWidth="1"/>
    <col min="20" max="29" width="8.85546875" customWidth="1"/>
  </cols>
  <sheetData>
    <row r="1" spans="1:29">
      <c r="A1" s="641" t="s">
        <v>295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>
      <c r="A2" s="64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>
      <c r="A3" s="27" t="s">
        <v>296</v>
      </c>
      <c r="B3" s="324">
        <v>2010</v>
      </c>
      <c r="C3" s="324">
        <v>2011</v>
      </c>
      <c r="D3" s="324">
        <v>2012</v>
      </c>
      <c r="E3" s="324">
        <v>2013</v>
      </c>
      <c r="F3" s="324">
        <v>2014</v>
      </c>
      <c r="G3" s="324">
        <v>2015</v>
      </c>
      <c r="H3" s="324">
        <v>2016</v>
      </c>
      <c r="I3" s="324">
        <v>2017</v>
      </c>
      <c r="J3" s="324">
        <v>2018</v>
      </c>
      <c r="K3" s="324">
        <v>2019</v>
      </c>
      <c r="L3" s="324">
        <v>2020</v>
      </c>
      <c r="M3" s="324">
        <v>2021</v>
      </c>
      <c r="N3" s="324">
        <v>2022</v>
      </c>
      <c r="O3" s="324">
        <v>2023</v>
      </c>
      <c r="P3" s="324">
        <v>2024</v>
      </c>
      <c r="Q3" s="27" t="s">
        <v>241</v>
      </c>
      <c r="R3" s="107" t="s">
        <v>242</v>
      </c>
      <c r="S3" s="107" t="s">
        <v>22</v>
      </c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spans="1:29" ht="45">
      <c r="A4" s="32" t="s">
        <v>297</v>
      </c>
      <c r="B4" s="311">
        <v>3.63</v>
      </c>
      <c r="C4" s="311">
        <v>4.03</v>
      </c>
      <c r="D4" s="311">
        <v>4.49</v>
      </c>
      <c r="E4" s="420">
        <v>4.7699999999999996</v>
      </c>
      <c r="F4" s="311">
        <v>4.5999999999999996</v>
      </c>
      <c r="G4" s="311">
        <v>4.9000000000000004</v>
      </c>
      <c r="H4" s="311">
        <v>5</v>
      </c>
      <c r="I4" s="294">
        <v>5.2541000000000002</v>
      </c>
      <c r="J4" s="293">
        <v>5.5</v>
      </c>
      <c r="K4" s="293">
        <v>5.6</v>
      </c>
      <c r="L4" s="293">
        <v>5.93</v>
      </c>
      <c r="M4" s="293">
        <v>6.4</v>
      </c>
      <c r="N4" s="293">
        <v>7</v>
      </c>
      <c r="O4" s="293">
        <v>7.4</v>
      </c>
      <c r="P4" s="305">
        <v>7.9</v>
      </c>
      <c r="Q4" s="40" t="s">
        <v>298</v>
      </c>
      <c r="R4" s="108" t="s">
        <v>299</v>
      </c>
      <c r="S4" s="32" t="s">
        <v>492</v>
      </c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spans="1:29" ht="30">
      <c r="A5" s="33" t="s">
        <v>300</v>
      </c>
      <c r="B5" s="300"/>
      <c r="C5" s="311">
        <v>1.2047999999999999</v>
      </c>
      <c r="D5" s="311">
        <v>1.3472</v>
      </c>
      <c r="E5" s="311">
        <v>1.3472</v>
      </c>
      <c r="F5" s="300"/>
      <c r="G5" s="300"/>
      <c r="H5" s="293">
        <v>1.5</v>
      </c>
      <c r="I5" s="294">
        <v>1.9258999999999999</v>
      </c>
      <c r="J5" s="300"/>
      <c r="K5" s="357"/>
      <c r="L5" s="421"/>
      <c r="M5" s="421"/>
      <c r="N5" s="300"/>
      <c r="O5" s="300"/>
      <c r="P5" s="305">
        <v>3.9</v>
      </c>
      <c r="Q5" s="40" t="s">
        <v>298</v>
      </c>
      <c r="R5" s="109" t="s">
        <v>301</v>
      </c>
      <c r="S5" s="32" t="s">
        <v>492</v>
      </c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30">
      <c r="A6" s="33" t="s">
        <v>302</v>
      </c>
      <c r="B6" s="300"/>
      <c r="C6" s="311">
        <v>1.0028999999999999</v>
      </c>
      <c r="D6" s="311">
        <v>1.1002000000000001</v>
      </c>
      <c r="E6" s="311">
        <v>1.2149000000000001</v>
      </c>
      <c r="F6" s="422"/>
      <c r="G6" s="300"/>
      <c r="H6" s="293">
        <v>1.2</v>
      </c>
      <c r="I6" s="294">
        <v>0.59619999999999995</v>
      </c>
      <c r="J6" s="300"/>
      <c r="K6" s="357"/>
      <c r="L6" s="421"/>
      <c r="M6" s="421"/>
      <c r="N6" s="300"/>
      <c r="O6" s="300"/>
      <c r="P6" s="305">
        <v>1.9</v>
      </c>
      <c r="Q6" s="40" t="s">
        <v>298</v>
      </c>
      <c r="R6" s="109" t="s">
        <v>301</v>
      </c>
      <c r="S6" s="32" t="s">
        <v>492</v>
      </c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30">
      <c r="A7" s="33" t="s">
        <v>303</v>
      </c>
      <c r="B7" s="300"/>
      <c r="C7" s="311">
        <v>0.96839999999999993</v>
      </c>
      <c r="D7" s="311">
        <v>1.1052</v>
      </c>
      <c r="E7" s="311">
        <v>1.1517999999999999</v>
      </c>
      <c r="F7" s="300"/>
      <c r="G7" s="300"/>
      <c r="H7" s="293">
        <v>1.2</v>
      </c>
      <c r="I7" s="423">
        <v>1.2983</v>
      </c>
      <c r="J7" s="300"/>
      <c r="K7" s="357"/>
      <c r="L7" s="421"/>
      <c r="M7" s="421"/>
      <c r="N7" s="300"/>
      <c r="O7" s="300"/>
      <c r="P7" s="357"/>
      <c r="Q7" s="40" t="s">
        <v>298</v>
      </c>
      <c r="R7" s="109" t="s">
        <v>301</v>
      </c>
      <c r="S7" s="32" t="s">
        <v>492</v>
      </c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30">
      <c r="A8" s="33" t="s">
        <v>304</v>
      </c>
      <c r="B8" s="300"/>
      <c r="C8" s="300"/>
      <c r="D8" s="300"/>
      <c r="E8" s="300"/>
      <c r="F8" s="300"/>
      <c r="G8" s="300"/>
      <c r="H8" s="300"/>
      <c r="I8" s="423">
        <v>0.71930000000000005</v>
      </c>
      <c r="J8" s="300"/>
      <c r="K8" s="357"/>
      <c r="L8" s="421"/>
      <c r="M8" s="301">
        <v>1.3</v>
      </c>
      <c r="N8" s="300"/>
      <c r="O8" s="300"/>
      <c r="P8" s="305">
        <v>1.6</v>
      </c>
      <c r="Q8" s="40" t="s">
        <v>298</v>
      </c>
      <c r="R8" s="109" t="s">
        <v>301</v>
      </c>
      <c r="S8" s="32" t="s">
        <v>492</v>
      </c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30">
      <c r="A9" s="33" t="s">
        <v>305</v>
      </c>
      <c r="B9" s="300"/>
      <c r="C9" s="300"/>
      <c r="D9" s="300"/>
      <c r="E9" s="300"/>
      <c r="F9" s="300"/>
      <c r="G9" s="300"/>
      <c r="H9" s="300"/>
      <c r="I9" s="423">
        <v>0.71440000000000003</v>
      </c>
      <c r="J9" s="300"/>
      <c r="K9" s="357"/>
      <c r="L9" s="421"/>
      <c r="M9" s="421"/>
      <c r="N9" s="300"/>
      <c r="O9" s="300"/>
      <c r="P9" s="357"/>
      <c r="Q9" s="40" t="s">
        <v>298</v>
      </c>
      <c r="R9" s="109" t="s">
        <v>301</v>
      </c>
      <c r="S9" s="32" t="s">
        <v>492</v>
      </c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30">
      <c r="A10" s="33" t="s">
        <v>306</v>
      </c>
      <c r="B10" s="300"/>
      <c r="C10" s="311">
        <v>0.83189999999999997</v>
      </c>
      <c r="D10" s="311">
        <v>0.96689999999999998</v>
      </c>
      <c r="E10" s="311">
        <v>1.0535000000000001</v>
      </c>
      <c r="F10" s="300"/>
      <c r="G10" s="300"/>
      <c r="H10" s="293">
        <v>1.1000000000000001</v>
      </c>
      <c r="I10" s="300"/>
      <c r="J10" s="300"/>
      <c r="K10" s="357"/>
      <c r="L10" s="421"/>
      <c r="M10" s="421"/>
      <c r="N10" s="300"/>
      <c r="O10" s="300"/>
      <c r="P10" s="357"/>
      <c r="Q10" s="40" t="s">
        <v>298</v>
      </c>
      <c r="R10" s="109" t="s">
        <v>301</v>
      </c>
      <c r="S10" s="32" t="s">
        <v>492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>
      <c r="A11" s="25"/>
      <c r="B11" s="29"/>
      <c r="C11" s="29"/>
      <c r="D11" s="29"/>
      <c r="E11" s="29"/>
      <c r="F11" s="29"/>
      <c r="G11" s="29"/>
      <c r="H11" s="29"/>
      <c r="I11" s="25"/>
      <c r="J11" s="29"/>
      <c r="K11" s="29"/>
      <c r="L11" s="29"/>
      <c r="M11" s="29"/>
      <c r="N11" s="29"/>
      <c r="O11" s="29"/>
      <c r="P11" s="29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>
      <c r="A12" s="25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>
      <c r="A13" s="25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>
      <c r="A14" s="2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>
      <c r="A15" s="25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>
      <c r="A16" s="25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>
      <c r="A17" s="25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>
      <c r="A18" s="25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>
      <c r="A19" s="25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>
      <c r="A20" s="25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mergeCells count="1">
    <mergeCell ref="A1:A2"/>
  </mergeCells>
  <hyperlinks>
    <hyperlink ref="R4" r:id="rId1" xr:uid="{00000000-0004-0000-0C00-000000000000}"/>
  </hyperlink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3404"/>
    <outlinePr summaryBelow="0" summaryRight="0"/>
  </sheetPr>
  <dimension ref="A1:Z992"/>
  <sheetViews>
    <sheetView workbookViewId="0">
      <pane xSplit="1" topLeftCell="N1" activePane="topRight" state="frozen"/>
      <selection pane="topRight" activeCell="R18" sqref="R18"/>
    </sheetView>
  </sheetViews>
  <sheetFormatPr defaultColWidth="14.42578125" defaultRowHeight="15" customHeight="1"/>
  <cols>
    <col min="1" max="1" width="83.42578125" customWidth="1"/>
    <col min="18" max="18" width="44.7109375" customWidth="1"/>
    <col min="19" max="19" width="24.42578125" customWidth="1"/>
  </cols>
  <sheetData>
    <row r="1" spans="1:26">
      <c r="A1" s="642" t="s">
        <v>307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</row>
    <row r="2" spans="1:26">
      <c r="A2" s="643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424"/>
      <c r="Q2" s="111"/>
    </row>
    <row r="3" spans="1:26">
      <c r="A3" s="94" t="s">
        <v>308</v>
      </c>
      <c r="B3" s="425">
        <v>2010</v>
      </c>
      <c r="C3" s="425">
        <v>2011</v>
      </c>
      <c r="D3" s="425">
        <v>2012</v>
      </c>
      <c r="E3" s="425">
        <v>2013</v>
      </c>
      <c r="F3" s="425">
        <v>2014</v>
      </c>
      <c r="G3" s="425">
        <v>2015</v>
      </c>
      <c r="H3" s="425">
        <v>2016</v>
      </c>
      <c r="I3" s="425">
        <v>2017</v>
      </c>
      <c r="J3" s="425">
        <v>2018</v>
      </c>
      <c r="K3" s="425">
        <v>2019</v>
      </c>
      <c r="L3" s="425">
        <v>2020</v>
      </c>
      <c r="M3" s="425">
        <v>2021</v>
      </c>
      <c r="N3" s="425">
        <v>2022</v>
      </c>
      <c r="O3" s="425">
        <v>2023</v>
      </c>
      <c r="P3" s="426">
        <v>2024</v>
      </c>
      <c r="Q3" s="168" t="s">
        <v>241</v>
      </c>
      <c r="R3" s="170" t="s">
        <v>242</v>
      </c>
      <c r="S3" s="170" t="s">
        <v>22</v>
      </c>
      <c r="T3" s="110"/>
      <c r="U3" s="110"/>
      <c r="V3" s="110"/>
      <c r="W3" s="110"/>
      <c r="X3" s="110"/>
      <c r="Y3" s="110"/>
      <c r="Z3" s="110"/>
    </row>
    <row r="4" spans="1:26">
      <c r="A4" s="38" t="s">
        <v>309</v>
      </c>
      <c r="B4" s="427">
        <v>15.6</v>
      </c>
      <c r="C4" s="427">
        <v>15.1</v>
      </c>
      <c r="D4" s="427">
        <v>16</v>
      </c>
      <c r="E4" s="427">
        <v>16.8</v>
      </c>
      <c r="F4" s="427">
        <v>17.8</v>
      </c>
      <c r="G4" s="427">
        <v>17.899999999999999</v>
      </c>
      <c r="H4" s="427">
        <v>18.2</v>
      </c>
      <c r="I4" s="427">
        <v>17.3</v>
      </c>
      <c r="J4" s="427">
        <v>16.600000000000001</v>
      </c>
      <c r="K4" s="427">
        <v>16.7</v>
      </c>
      <c r="L4" s="427">
        <v>15.8</v>
      </c>
      <c r="M4" s="427">
        <v>17</v>
      </c>
      <c r="N4" s="427">
        <v>16.7</v>
      </c>
      <c r="O4" s="427">
        <v>16.2</v>
      </c>
      <c r="P4" s="428">
        <v>16.3</v>
      </c>
      <c r="Q4" s="169" t="s">
        <v>263</v>
      </c>
      <c r="R4" s="171" t="s">
        <v>310</v>
      </c>
      <c r="S4" s="32" t="s">
        <v>492</v>
      </c>
    </row>
    <row r="5" spans="1:26">
      <c r="A5" s="38" t="s">
        <v>311</v>
      </c>
      <c r="B5" s="429">
        <v>0.1</v>
      </c>
      <c r="C5" s="429">
        <v>0.1</v>
      </c>
      <c r="D5" s="429">
        <v>0.1</v>
      </c>
      <c r="E5" s="429">
        <v>0.1</v>
      </c>
      <c r="F5" s="429">
        <v>0.1</v>
      </c>
      <c r="G5" s="429">
        <v>0.1</v>
      </c>
      <c r="H5" s="126">
        <v>0.1</v>
      </c>
      <c r="I5" s="126">
        <v>0.1</v>
      </c>
      <c r="J5" s="126">
        <v>0.1</v>
      </c>
      <c r="K5" s="126">
        <v>0.1</v>
      </c>
      <c r="L5" s="126">
        <v>0.1</v>
      </c>
      <c r="M5" s="126">
        <v>0.1</v>
      </c>
      <c r="N5" s="126">
        <v>0.1</v>
      </c>
      <c r="O5" s="126">
        <v>0.1</v>
      </c>
      <c r="P5" s="473">
        <v>0.1</v>
      </c>
      <c r="Q5" s="169" t="s">
        <v>263</v>
      </c>
      <c r="R5" s="171" t="s">
        <v>310</v>
      </c>
      <c r="S5" s="32" t="s">
        <v>492</v>
      </c>
    </row>
    <row r="6" spans="1:26">
      <c r="A6" s="38" t="s">
        <v>312</v>
      </c>
      <c r="B6" s="427">
        <v>49.8</v>
      </c>
      <c r="C6" s="427">
        <v>52.9</v>
      </c>
      <c r="D6" s="427">
        <v>51.7</v>
      </c>
      <c r="E6" s="427">
        <v>54</v>
      </c>
      <c r="F6" s="427">
        <v>55.8</v>
      </c>
      <c r="G6" s="427">
        <v>53.5</v>
      </c>
      <c r="H6" s="427">
        <v>51.5</v>
      </c>
      <c r="I6" s="427">
        <v>49.7</v>
      </c>
      <c r="J6" s="427">
        <v>50.7</v>
      </c>
      <c r="K6" s="427">
        <v>49.9</v>
      </c>
      <c r="L6" s="427">
        <v>45.8</v>
      </c>
      <c r="M6" s="427">
        <v>51.1</v>
      </c>
      <c r="N6" s="427">
        <v>50.3</v>
      </c>
      <c r="O6" s="427">
        <v>47.3</v>
      </c>
      <c r="P6" s="428">
        <v>46.8</v>
      </c>
      <c r="Q6" s="169" t="s">
        <v>263</v>
      </c>
      <c r="R6" s="171" t="s">
        <v>310</v>
      </c>
      <c r="S6" s="32" t="s">
        <v>492</v>
      </c>
    </row>
    <row r="7" spans="1:26">
      <c r="A7" s="38" t="s">
        <v>531</v>
      </c>
      <c r="B7" s="427">
        <v>10.9</v>
      </c>
      <c r="C7" s="427">
        <v>11</v>
      </c>
      <c r="D7" s="427">
        <v>11.2</v>
      </c>
      <c r="E7" s="427">
        <v>11.5</v>
      </c>
      <c r="F7" s="427">
        <v>12.1</v>
      </c>
      <c r="G7" s="427">
        <v>12</v>
      </c>
      <c r="H7" s="427">
        <v>12</v>
      </c>
      <c r="I7" s="427">
        <v>12.3</v>
      </c>
      <c r="J7" s="427">
        <v>12.544</v>
      </c>
      <c r="K7" s="427">
        <v>12.375999999999999</v>
      </c>
      <c r="L7" s="427">
        <v>11.523999999999999</v>
      </c>
      <c r="M7" s="427">
        <v>12.329000000000001</v>
      </c>
      <c r="N7" s="427">
        <v>13.009</v>
      </c>
      <c r="O7" s="309">
        <v>12.595000000000001</v>
      </c>
      <c r="P7" s="310">
        <v>12.641</v>
      </c>
      <c r="Q7" s="169" t="s">
        <v>263</v>
      </c>
      <c r="R7" s="171" t="s">
        <v>310</v>
      </c>
      <c r="S7" s="32" t="s">
        <v>492</v>
      </c>
    </row>
    <row r="8" spans="1:26">
      <c r="A8" s="38" t="s">
        <v>269</v>
      </c>
      <c r="B8" s="427">
        <v>240</v>
      </c>
      <c r="C8" s="427">
        <v>240</v>
      </c>
      <c r="D8" s="427">
        <v>236</v>
      </c>
      <c r="E8" s="427">
        <v>233</v>
      </c>
      <c r="F8" s="427">
        <v>235</v>
      </c>
      <c r="G8" s="427">
        <v>234</v>
      </c>
      <c r="H8" s="427">
        <v>230</v>
      </c>
      <c r="I8" s="427">
        <v>229</v>
      </c>
      <c r="J8" s="427">
        <v>228</v>
      </c>
      <c r="K8" s="427">
        <v>221</v>
      </c>
      <c r="L8" s="427">
        <v>199</v>
      </c>
      <c r="M8" s="427">
        <v>202</v>
      </c>
      <c r="N8" s="427">
        <v>202</v>
      </c>
      <c r="O8" s="293">
        <v>192</v>
      </c>
      <c r="P8" s="474">
        <v>182</v>
      </c>
      <c r="Q8" s="169" t="s">
        <v>263</v>
      </c>
      <c r="R8" s="171" t="s">
        <v>310</v>
      </c>
      <c r="S8" s="32" t="s">
        <v>492</v>
      </c>
    </row>
    <row r="9" spans="1:26">
      <c r="A9" s="41"/>
      <c r="B9" s="330"/>
      <c r="C9" s="330"/>
      <c r="D9" s="330"/>
      <c r="E9" s="330"/>
      <c r="F9" s="330"/>
      <c r="G9" s="330"/>
      <c r="H9" s="330"/>
      <c r="I9" s="330"/>
      <c r="J9" s="431"/>
      <c r="K9" s="431"/>
      <c r="L9" s="431"/>
      <c r="M9" s="431"/>
      <c r="N9" s="432"/>
      <c r="O9" s="432"/>
      <c r="P9" s="432"/>
      <c r="Q9" s="172"/>
      <c r="R9" s="173"/>
      <c r="S9" s="173"/>
    </row>
    <row r="10" spans="1:26">
      <c r="A10" s="112" t="s">
        <v>313</v>
      </c>
      <c r="B10" s="425">
        <v>2010</v>
      </c>
      <c r="C10" s="425">
        <v>2011</v>
      </c>
      <c r="D10" s="425">
        <v>2012</v>
      </c>
      <c r="E10" s="425">
        <v>2013</v>
      </c>
      <c r="F10" s="425">
        <v>2014</v>
      </c>
      <c r="G10" s="425">
        <v>2015</v>
      </c>
      <c r="H10" s="425">
        <v>2016</v>
      </c>
      <c r="I10" s="425">
        <v>2017</v>
      </c>
      <c r="J10" s="425">
        <v>2018</v>
      </c>
      <c r="K10" s="425">
        <v>2019</v>
      </c>
      <c r="L10" s="425">
        <v>2020</v>
      </c>
      <c r="M10" s="426">
        <v>2021</v>
      </c>
      <c r="N10" s="433">
        <v>2022</v>
      </c>
      <c r="O10" s="433">
        <v>2023</v>
      </c>
      <c r="P10" s="433">
        <v>2024</v>
      </c>
      <c r="Q10" s="174" t="s">
        <v>241</v>
      </c>
      <c r="R10" s="170" t="s">
        <v>242</v>
      </c>
      <c r="S10" s="170" t="s">
        <v>22</v>
      </c>
    </row>
    <row r="11" spans="1:26">
      <c r="A11" s="38" t="s">
        <v>314</v>
      </c>
      <c r="B11" s="427">
        <v>10.4</v>
      </c>
      <c r="C11" s="427">
        <v>10.1</v>
      </c>
      <c r="D11" s="427">
        <v>10</v>
      </c>
      <c r="E11" s="427">
        <v>10.199999999999999</v>
      </c>
      <c r="F11" s="427">
        <v>9.9</v>
      </c>
      <c r="G11" s="427">
        <v>9.6999999999999993</v>
      </c>
      <c r="H11" s="126">
        <v>9.6</v>
      </c>
      <c r="I11" s="126">
        <v>9.4</v>
      </c>
      <c r="J11" s="126">
        <v>9.3000000000000007</v>
      </c>
      <c r="K11" s="126">
        <v>9.6</v>
      </c>
      <c r="L11" s="126">
        <v>9.4</v>
      </c>
      <c r="M11" s="126">
        <v>11</v>
      </c>
      <c r="N11" s="126">
        <v>11.7</v>
      </c>
      <c r="O11" s="126">
        <v>11.7</v>
      </c>
      <c r="P11" s="126">
        <v>12.5</v>
      </c>
      <c r="Q11" s="176" t="s">
        <v>263</v>
      </c>
      <c r="R11" s="171" t="s">
        <v>310</v>
      </c>
      <c r="S11" s="32" t="s">
        <v>492</v>
      </c>
    </row>
    <row r="12" spans="1:26">
      <c r="A12" s="38" t="s">
        <v>315</v>
      </c>
      <c r="B12" s="126">
        <v>0.1</v>
      </c>
      <c r="C12" s="126">
        <v>0.1</v>
      </c>
      <c r="D12" s="126">
        <v>0.1</v>
      </c>
      <c r="E12" s="126">
        <v>0.1</v>
      </c>
      <c r="F12" s="126">
        <v>0.1</v>
      </c>
      <c r="G12" s="126">
        <v>0.1</v>
      </c>
      <c r="H12" s="126">
        <v>0.1</v>
      </c>
      <c r="I12" s="126">
        <v>0</v>
      </c>
      <c r="J12" s="126">
        <v>0</v>
      </c>
      <c r="K12" s="126">
        <v>0</v>
      </c>
      <c r="L12" s="126">
        <v>0</v>
      </c>
      <c r="M12" s="126">
        <v>0</v>
      </c>
      <c r="N12" s="126">
        <v>0</v>
      </c>
      <c r="O12" s="126">
        <v>0</v>
      </c>
      <c r="P12" s="126">
        <v>0</v>
      </c>
      <c r="Q12" s="176" t="s">
        <v>263</v>
      </c>
      <c r="R12" s="171" t="s">
        <v>310</v>
      </c>
      <c r="S12" s="32" t="s">
        <v>492</v>
      </c>
    </row>
    <row r="13" spans="1:26">
      <c r="A13" s="38" t="s">
        <v>316</v>
      </c>
      <c r="B13" s="427">
        <v>23.3</v>
      </c>
      <c r="C13" s="427">
        <v>24.9</v>
      </c>
      <c r="D13" s="427">
        <v>19.2</v>
      </c>
      <c r="E13" s="427">
        <v>19.600000000000001</v>
      </c>
      <c r="F13" s="427">
        <v>19.100000000000001</v>
      </c>
      <c r="G13" s="427">
        <v>18.600000000000001</v>
      </c>
      <c r="H13" s="427">
        <v>18.5</v>
      </c>
      <c r="I13" s="427">
        <v>15.7</v>
      </c>
      <c r="J13" s="427">
        <v>16.899999999999999</v>
      </c>
      <c r="K13" s="427">
        <v>17.3</v>
      </c>
      <c r="L13" s="427">
        <v>17.100000000000001</v>
      </c>
      <c r="M13" s="428">
        <v>19.100000000000001</v>
      </c>
      <c r="N13" s="434">
        <v>17.399999999999999</v>
      </c>
      <c r="O13" s="313">
        <v>19.8</v>
      </c>
      <c r="P13" s="313">
        <v>21.9</v>
      </c>
      <c r="Q13" s="176" t="s">
        <v>263</v>
      </c>
      <c r="R13" s="171" t="s">
        <v>310</v>
      </c>
      <c r="S13" s="32" t="s">
        <v>492</v>
      </c>
    </row>
    <row r="14" spans="1:26">
      <c r="A14" s="38" t="s">
        <v>532</v>
      </c>
      <c r="B14" s="427">
        <v>8.4</v>
      </c>
      <c r="C14" s="427">
        <v>8.1</v>
      </c>
      <c r="D14" s="427">
        <v>8.1999999999999993</v>
      </c>
      <c r="E14" s="427">
        <v>8.1999999999999993</v>
      </c>
      <c r="F14" s="427">
        <v>8.4</v>
      </c>
      <c r="G14" s="427">
        <v>8.1999999999999993</v>
      </c>
      <c r="H14" s="427">
        <v>8.1</v>
      </c>
      <c r="I14" s="427">
        <v>7.8849999999999998</v>
      </c>
      <c r="J14" s="427">
        <v>7.7619999999999996</v>
      </c>
      <c r="K14" s="427">
        <v>7.6440000000000001</v>
      </c>
      <c r="L14" s="427">
        <v>6.7439999999999998</v>
      </c>
      <c r="M14" s="428">
        <v>7.2939999999999996</v>
      </c>
      <c r="N14" s="434">
        <v>7.9139999999999997</v>
      </c>
      <c r="O14" s="449">
        <v>7.8440000000000003</v>
      </c>
      <c r="P14" s="449">
        <v>7.74</v>
      </c>
      <c r="Q14" s="176" t="s">
        <v>263</v>
      </c>
      <c r="R14" s="171" t="s">
        <v>310</v>
      </c>
      <c r="S14" s="32" t="s">
        <v>492</v>
      </c>
    </row>
    <row r="15" spans="1:26">
      <c r="A15" s="38" t="s">
        <v>269</v>
      </c>
      <c r="B15" s="427">
        <v>187</v>
      </c>
      <c r="C15" s="427">
        <v>181</v>
      </c>
      <c r="D15" s="427">
        <v>178</v>
      </c>
      <c r="E15" s="427">
        <v>174</v>
      </c>
      <c r="F15" s="427">
        <v>170</v>
      </c>
      <c r="G15" s="427">
        <v>166</v>
      </c>
      <c r="H15" s="427">
        <v>159</v>
      </c>
      <c r="I15" s="427">
        <v>149</v>
      </c>
      <c r="J15" s="427">
        <v>142</v>
      </c>
      <c r="K15" s="427">
        <v>137</v>
      </c>
      <c r="L15" s="427">
        <v>114</v>
      </c>
      <c r="M15" s="428">
        <v>117</v>
      </c>
      <c r="N15" s="434">
        <v>118</v>
      </c>
      <c r="O15" s="293">
        <v>115</v>
      </c>
      <c r="P15" s="293">
        <v>108</v>
      </c>
      <c r="Q15" s="176" t="s">
        <v>263</v>
      </c>
      <c r="R15" s="171" t="s">
        <v>310</v>
      </c>
      <c r="S15" s="32" t="s">
        <v>492</v>
      </c>
    </row>
    <row r="16" spans="1:26">
      <c r="A16" s="41"/>
      <c r="B16" s="330"/>
      <c r="C16" s="330"/>
      <c r="D16" s="330"/>
      <c r="E16" s="330"/>
      <c r="F16" s="330"/>
      <c r="G16" s="330"/>
      <c r="H16" s="330"/>
      <c r="I16" s="330"/>
      <c r="J16" s="431"/>
      <c r="K16" s="431"/>
      <c r="L16" s="431"/>
      <c r="M16" s="431"/>
      <c r="N16" s="432"/>
      <c r="O16" s="432"/>
      <c r="P16" s="432"/>
      <c r="Q16" s="172"/>
      <c r="R16" s="173"/>
      <c r="S16" s="173"/>
    </row>
    <row r="17" spans="1:19">
      <c r="A17" s="224" t="s">
        <v>439</v>
      </c>
      <c r="B17" s="435">
        <v>2010</v>
      </c>
      <c r="C17" s="435">
        <v>2011</v>
      </c>
      <c r="D17" s="435">
        <v>2012</v>
      </c>
      <c r="E17" s="435">
        <v>2013</v>
      </c>
      <c r="F17" s="435">
        <v>2014</v>
      </c>
      <c r="G17" s="435">
        <v>2015</v>
      </c>
      <c r="H17" s="435">
        <v>2016</v>
      </c>
      <c r="I17" s="435">
        <v>2017</v>
      </c>
      <c r="J17" s="435">
        <v>2018</v>
      </c>
      <c r="K17" s="435">
        <v>2019</v>
      </c>
      <c r="L17" s="435">
        <v>2020</v>
      </c>
      <c r="M17" s="436">
        <v>2021</v>
      </c>
      <c r="N17" s="437">
        <v>2022</v>
      </c>
      <c r="O17" s="437">
        <v>2023</v>
      </c>
      <c r="P17" s="437">
        <v>2024</v>
      </c>
      <c r="Q17" s="226" t="s">
        <v>241</v>
      </c>
      <c r="R17" s="170" t="s">
        <v>242</v>
      </c>
      <c r="S17" s="170" t="s">
        <v>22</v>
      </c>
    </row>
    <row r="18" spans="1:19">
      <c r="A18" s="227" t="s">
        <v>441</v>
      </c>
      <c r="B18" s="434">
        <v>4.4969999999999999</v>
      </c>
      <c r="C18" s="434">
        <v>5.01</v>
      </c>
      <c r="D18" s="434">
        <v>5.165</v>
      </c>
      <c r="E18" s="434">
        <v>5.4390000000000001</v>
      </c>
      <c r="F18" s="434">
        <v>5.6950000000000003</v>
      </c>
      <c r="G18" s="434">
        <v>5.6970000000000001</v>
      </c>
      <c r="H18" s="434">
        <v>5.3019999999999996</v>
      </c>
      <c r="I18" s="434">
        <v>5.3150000000000004</v>
      </c>
      <c r="J18" s="434">
        <v>5.6580000000000004</v>
      </c>
      <c r="K18" s="434">
        <v>5.5609999999999999</v>
      </c>
      <c r="L18" s="434">
        <v>4.3470000000000004</v>
      </c>
      <c r="M18" s="434">
        <v>5.4489999999999998</v>
      </c>
      <c r="N18" s="434">
        <v>6.4930000000000003</v>
      </c>
      <c r="O18" s="471">
        <v>6.5739999999999998</v>
      </c>
      <c r="P18" s="472">
        <v>6.5090000000000003</v>
      </c>
      <c r="Q18" s="228" t="s">
        <v>440</v>
      </c>
      <c r="R18" s="223" t="s">
        <v>421</v>
      </c>
      <c r="S18" s="32" t="s">
        <v>492</v>
      </c>
    </row>
    <row r="19" spans="1:19">
      <c r="A19" s="227" t="s">
        <v>442</v>
      </c>
      <c r="B19" s="434">
        <v>75.644307355999999</v>
      </c>
      <c r="C19" s="434">
        <v>82.247087323000002</v>
      </c>
      <c r="D19" s="434">
        <v>81.259191397999999</v>
      </c>
      <c r="E19" s="434">
        <v>84.386292686000004</v>
      </c>
      <c r="F19" s="434">
        <v>86.609650021999997</v>
      </c>
      <c r="G19" s="434">
        <v>89.893039897999998</v>
      </c>
      <c r="H19" s="434">
        <v>84.738049419999996</v>
      </c>
      <c r="I19" s="434">
        <v>84.343616748999992</v>
      </c>
      <c r="J19" s="434">
        <v>87.436219590999997</v>
      </c>
      <c r="K19" s="434">
        <v>88.035916168</v>
      </c>
      <c r="L19" s="434">
        <v>71.807795998999993</v>
      </c>
      <c r="M19" s="434">
        <v>86.403237399000005</v>
      </c>
      <c r="N19" s="434">
        <v>103.959902203</v>
      </c>
      <c r="O19" s="471">
        <v>81.606597146999988</v>
      </c>
      <c r="P19" s="472">
        <v>83.203999999999994</v>
      </c>
      <c r="Q19" s="228" t="s">
        <v>440</v>
      </c>
      <c r="R19" s="223" t="s">
        <v>421</v>
      </c>
      <c r="S19" s="32" t="s">
        <v>492</v>
      </c>
    </row>
    <row r="20" spans="1:19">
      <c r="A20" s="227" t="s">
        <v>443</v>
      </c>
      <c r="B20" s="434">
        <v>8.1604995020000004</v>
      </c>
      <c r="C20" s="434">
        <v>9.4658750049999991</v>
      </c>
      <c r="D20" s="434">
        <v>9.3105379500000005</v>
      </c>
      <c r="E20" s="434">
        <v>9.6473533630000006</v>
      </c>
      <c r="F20" s="434">
        <v>10.024617582000001</v>
      </c>
      <c r="G20" s="434">
        <v>9.7622466060000015</v>
      </c>
      <c r="H20" s="434">
        <v>9.115535843</v>
      </c>
      <c r="I20" s="434">
        <v>9.3394036520000014</v>
      </c>
      <c r="J20" s="434">
        <v>9.5646385340000002</v>
      </c>
      <c r="K20" s="434">
        <v>9.2583285190000009</v>
      </c>
      <c r="L20" s="438">
        <v>7.5391897559999999</v>
      </c>
      <c r="M20" s="434">
        <v>8.8510388139999989</v>
      </c>
      <c r="N20" s="434">
        <v>9.4361329129999998</v>
      </c>
      <c r="O20" s="471">
        <v>8.4388061390000004</v>
      </c>
      <c r="P20" s="472">
        <v>8.1069999999999993</v>
      </c>
      <c r="Q20" s="228" t="s">
        <v>440</v>
      </c>
      <c r="R20" s="223" t="s">
        <v>421</v>
      </c>
      <c r="S20" s="32" t="s">
        <v>492</v>
      </c>
    </row>
    <row r="21" spans="1:19">
      <c r="A21" s="227" t="s">
        <v>444</v>
      </c>
      <c r="B21" s="434">
        <v>6.5358656049999997</v>
      </c>
      <c r="C21" s="434">
        <v>7.3309049999999996</v>
      </c>
      <c r="D21" s="434">
        <v>7.7750181270000001</v>
      </c>
      <c r="E21" s="434">
        <v>8.0410699470000004</v>
      </c>
      <c r="F21" s="434">
        <v>8.4601824709999995</v>
      </c>
      <c r="G21" s="434">
        <v>8.6507926550000001</v>
      </c>
      <c r="H21" s="434">
        <v>8.2525302830000005</v>
      </c>
      <c r="I21" s="434">
        <v>8.1829451810000009</v>
      </c>
      <c r="J21" s="434">
        <v>8.7653571200000009</v>
      </c>
      <c r="K21" s="434">
        <v>8.214491099</v>
      </c>
      <c r="L21" s="438">
        <v>8.2874788779999999</v>
      </c>
      <c r="M21" s="434">
        <v>9.8263711709999999</v>
      </c>
      <c r="N21" s="434">
        <v>10.257758298999999</v>
      </c>
      <c r="O21" s="471">
        <v>8.7231181319999997</v>
      </c>
      <c r="P21" s="472">
        <v>9.1349999999999998</v>
      </c>
      <c r="Q21" s="228" t="s">
        <v>440</v>
      </c>
      <c r="R21" s="223" t="s">
        <v>421</v>
      </c>
      <c r="S21" s="32" t="s">
        <v>492</v>
      </c>
    </row>
    <row r="22" spans="1:19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</row>
    <row r="23" spans="1:19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</row>
    <row r="24" spans="1:19">
      <c r="A24" s="110"/>
      <c r="B24" s="221"/>
      <c r="C24" s="221"/>
      <c r="D24" s="221"/>
      <c r="E24" s="221"/>
      <c r="F24" s="221"/>
      <c r="G24" s="221"/>
      <c r="H24" s="221"/>
      <c r="Q24" s="110"/>
    </row>
    <row r="25" spans="1:19">
      <c r="A25" s="110"/>
      <c r="B25" s="221"/>
      <c r="C25" s="221"/>
      <c r="D25" s="221"/>
      <c r="E25" s="221"/>
      <c r="F25" s="221"/>
      <c r="G25" s="221"/>
      <c r="H25" s="221"/>
      <c r="Q25" s="110"/>
    </row>
    <row r="26" spans="1:19">
      <c r="A26" s="110"/>
      <c r="B26" s="221"/>
      <c r="C26" s="221"/>
      <c r="D26" s="221"/>
      <c r="E26" s="221"/>
      <c r="F26" s="221"/>
      <c r="G26" s="221"/>
      <c r="H26" s="221"/>
      <c r="Q26" s="25"/>
    </row>
    <row r="27" spans="1:19">
      <c r="A27" s="110"/>
      <c r="B27" s="221"/>
      <c r="C27" s="221"/>
      <c r="D27" s="221"/>
      <c r="E27" s="221"/>
      <c r="F27" s="221"/>
      <c r="G27" s="221"/>
      <c r="H27" s="221"/>
      <c r="Q27" s="25"/>
    </row>
    <row r="28" spans="1:19">
      <c r="A28" s="110"/>
      <c r="B28" s="110"/>
      <c r="C28" s="110"/>
      <c r="D28" s="110"/>
      <c r="E28" s="110"/>
      <c r="F28" s="110"/>
      <c r="G28" s="110"/>
      <c r="H28" s="110"/>
      <c r="Q28" s="110"/>
    </row>
    <row r="29" spans="1:19">
      <c r="A29" s="110"/>
      <c r="B29" s="110"/>
      <c r="C29" s="110"/>
      <c r="D29" s="110"/>
      <c r="E29" s="110"/>
      <c r="F29" s="110"/>
      <c r="G29" s="110"/>
      <c r="H29" s="110"/>
      <c r="Q29" s="110"/>
    </row>
    <row r="30" spans="1:19">
      <c r="A30" s="110"/>
      <c r="B30" s="110"/>
      <c r="C30" s="110"/>
      <c r="D30" s="110"/>
      <c r="E30" s="110"/>
      <c r="F30" s="110"/>
      <c r="G30" s="110"/>
      <c r="H30" s="110"/>
      <c r="Q30" s="110"/>
    </row>
    <row r="31" spans="1:19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</row>
    <row r="32" spans="1:19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</row>
    <row r="33" spans="1:17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</row>
    <row r="34" spans="1:17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</row>
    <row r="35" spans="1:17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</row>
    <row r="36" spans="1:17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</row>
    <row r="37" spans="1:17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</row>
    <row r="38" spans="1:17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</row>
    <row r="39" spans="1:17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</row>
    <row r="40" spans="1:17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</row>
    <row r="41" spans="1:17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</row>
    <row r="42" spans="1:17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</row>
    <row r="43" spans="1:17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</row>
    <row r="44" spans="1:17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</row>
    <row r="45" spans="1:17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</row>
    <row r="46" spans="1:17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</row>
    <row r="47" spans="1:1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</row>
    <row r="48" spans="1:17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</row>
    <row r="49" spans="1:17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</row>
    <row r="50" spans="1:17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</row>
    <row r="51" spans="1:17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</row>
    <row r="52" spans="1:17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</row>
    <row r="53" spans="1:17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</row>
    <row r="54" spans="1:17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</row>
    <row r="55" spans="1:17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</row>
    <row r="57" spans="1:1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</row>
    <row r="58" spans="1:17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</row>
    <row r="59" spans="1:17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</row>
    <row r="60" spans="1:17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</row>
    <row r="61" spans="1:17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</row>
    <row r="62" spans="1:17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</row>
    <row r="63" spans="1:17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</row>
    <row r="64" spans="1:17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</row>
    <row r="65" spans="1:17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</row>
    <row r="66" spans="1:17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</row>
    <row r="67" spans="1:1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</row>
    <row r="68" spans="1:17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</row>
    <row r="69" spans="1:17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</row>
    <row r="70" spans="1:17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</row>
    <row r="71" spans="1:17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</row>
    <row r="72" spans="1:17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</row>
    <row r="73" spans="1:17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</row>
    <row r="74" spans="1:17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</row>
    <row r="75" spans="1:17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</row>
    <row r="76" spans="1:17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</row>
    <row r="77" spans="1:1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</row>
    <row r="78" spans="1:17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</row>
    <row r="79" spans="1:17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</row>
    <row r="80" spans="1:17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</row>
    <row r="81" spans="1:17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</row>
    <row r="82" spans="1:17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</row>
    <row r="83" spans="1:17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</row>
    <row r="84" spans="1:17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</row>
    <row r="85" spans="1:17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</row>
    <row r="86" spans="1:17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</row>
    <row r="87" spans="1:1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</row>
    <row r="88" spans="1:17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</row>
    <row r="89" spans="1:17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</row>
    <row r="90" spans="1:17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</row>
    <row r="91" spans="1:17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</row>
    <row r="92" spans="1:17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</row>
    <row r="93" spans="1:17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</row>
    <row r="94" spans="1:17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</row>
    <row r="95" spans="1:17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</row>
    <row r="96" spans="1:17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</row>
    <row r="97" spans="1:1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</row>
    <row r="98" spans="1:17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</row>
    <row r="99" spans="1:17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</row>
    <row r="100" spans="1:17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</row>
    <row r="101" spans="1:17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</row>
    <row r="102" spans="1:17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</row>
    <row r="103" spans="1:17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</row>
    <row r="104" spans="1:17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</row>
    <row r="105" spans="1:17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</row>
    <row r="106" spans="1:17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</row>
    <row r="107" spans="1:1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</row>
    <row r="108" spans="1:17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</row>
    <row r="109" spans="1:17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</row>
    <row r="110" spans="1:17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</row>
    <row r="111" spans="1:17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</row>
    <row r="112" spans="1:17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</row>
    <row r="113" spans="1:17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</row>
    <row r="114" spans="1:17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</row>
    <row r="115" spans="1:17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</row>
    <row r="116" spans="1:17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</row>
    <row r="117" spans="1: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</row>
    <row r="118" spans="1:17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</row>
    <row r="119" spans="1:17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</row>
    <row r="120" spans="1:17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</row>
    <row r="121" spans="1:17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</row>
    <row r="122" spans="1:17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</row>
    <row r="123" spans="1:17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</row>
    <row r="124" spans="1:17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</row>
    <row r="125" spans="1:17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</row>
    <row r="126" spans="1:17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</row>
    <row r="127" spans="1:1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</row>
    <row r="128" spans="1:17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</row>
    <row r="129" spans="1:17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</row>
    <row r="130" spans="1:17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</row>
    <row r="131" spans="1:17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</row>
    <row r="132" spans="1:17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</row>
    <row r="133" spans="1:17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</row>
    <row r="134" spans="1:17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</row>
    <row r="135" spans="1:17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</row>
    <row r="136" spans="1:17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</row>
    <row r="137" spans="1:1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</row>
    <row r="138" spans="1:17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</row>
    <row r="139" spans="1:17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</row>
    <row r="140" spans="1:17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</row>
    <row r="141" spans="1:17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</row>
    <row r="142" spans="1:17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</row>
    <row r="143" spans="1:17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</row>
    <row r="144" spans="1:17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</row>
    <row r="145" spans="1:17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</row>
    <row r="146" spans="1:17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</row>
    <row r="147" spans="1:1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</row>
    <row r="148" spans="1:17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</row>
    <row r="149" spans="1:17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</row>
    <row r="150" spans="1:17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</row>
    <row r="151" spans="1:17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</row>
    <row r="152" spans="1:17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</row>
    <row r="153" spans="1:17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</row>
    <row r="154" spans="1:17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</row>
    <row r="155" spans="1:17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</row>
    <row r="156" spans="1:17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</row>
    <row r="157" spans="1:1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</row>
    <row r="158" spans="1:17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</row>
    <row r="159" spans="1:17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</row>
    <row r="160" spans="1:17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</row>
    <row r="161" spans="1:17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</row>
    <row r="162" spans="1:17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</row>
    <row r="163" spans="1:17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</row>
    <row r="164" spans="1:17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</row>
    <row r="165" spans="1:17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</row>
    <row r="166" spans="1:17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</row>
    <row r="167" spans="1:1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</row>
    <row r="168" spans="1:17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</row>
    <row r="169" spans="1:17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</row>
    <row r="170" spans="1:17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</row>
    <row r="171" spans="1:17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</row>
    <row r="172" spans="1:17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</row>
    <row r="173" spans="1:17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</row>
    <row r="174" spans="1:17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</row>
    <row r="175" spans="1:17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</row>
    <row r="176" spans="1:17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</row>
    <row r="177" spans="1:1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</row>
    <row r="178" spans="1:17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</row>
    <row r="179" spans="1:17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</row>
    <row r="180" spans="1:17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</row>
    <row r="181" spans="1:17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</row>
    <row r="182" spans="1:17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</row>
    <row r="183" spans="1:17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</row>
    <row r="184" spans="1:17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</row>
    <row r="185" spans="1:17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</row>
    <row r="186" spans="1:17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</row>
    <row r="187" spans="1:1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</row>
    <row r="188" spans="1:17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</row>
    <row r="189" spans="1:17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</row>
    <row r="190" spans="1:17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</row>
    <row r="191" spans="1:17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</row>
    <row r="192" spans="1:17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</row>
    <row r="193" spans="1:17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</row>
    <row r="194" spans="1:17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</row>
    <row r="195" spans="1:17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</row>
    <row r="196" spans="1:17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</row>
    <row r="197" spans="1:1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</row>
    <row r="198" spans="1:17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</row>
    <row r="199" spans="1:17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</row>
    <row r="200" spans="1:17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</row>
    <row r="201" spans="1:17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</row>
    <row r="202" spans="1:17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</row>
    <row r="203" spans="1:17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</row>
    <row r="204" spans="1:17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</row>
    <row r="205" spans="1:17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</row>
    <row r="206" spans="1:17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</row>
    <row r="207" spans="1:1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</row>
    <row r="208" spans="1:17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</row>
    <row r="209" spans="1:17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</row>
    <row r="210" spans="1:17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</row>
    <row r="211" spans="1:17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</row>
    <row r="212" spans="1:17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</row>
    <row r="213" spans="1:17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</row>
    <row r="214" spans="1:17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</row>
    <row r="215" spans="1:17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</row>
    <row r="216" spans="1:17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</row>
    <row r="217" spans="1: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</row>
    <row r="218" spans="1:17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</row>
    <row r="219" spans="1:17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</row>
    <row r="220" spans="1:17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</row>
    <row r="221" spans="1:17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</row>
    <row r="222" spans="1:17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</row>
    <row r="223" spans="1:17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</row>
    <row r="224" spans="1:17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</row>
    <row r="225" spans="1:17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</row>
    <row r="226" spans="1:17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</row>
    <row r="227" spans="1:1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</row>
    <row r="228" spans="1:17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</row>
    <row r="229" spans="1:17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</row>
    <row r="230" spans="1:17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</row>
    <row r="231" spans="1:17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</row>
    <row r="232" spans="1:17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</row>
    <row r="233" spans="1:17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</row>
    <row r="234" spans="1:17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</row>
    <row r="235" spans="1:17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</row>
    <row r="236" spans="1:17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</row>
    <row r="237" spans="1:1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</row>
    <row r="238" spans="1:17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</row>
    <row r="239" spans="1:17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</row>
    <row r="240" spans="1:17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</row>
    <row r="241" spans="1:17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</row>
    <row r="242" spans="1:17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</row>
    <row r="243" spans="1:17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</row>
    <row r="244" spans="1:17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</row>
    <row r="245" spans="1:17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</row>
    <row r="246" spans="1:17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</row>
    <row r="247" spans="1:1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</row>
    <row r="248" spans="1:17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</row>
    <row r="249" spans="1:17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</row>
    <row r="250" spans="1:17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</row>
    <row r="251" spans="1:17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</row>
    <row r="252" spans="1:17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</row>
    <row r="253" spans="1:17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</row>
    <row r="254" spans="1:17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</row>
    <row r="255" spans="1:17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</row>
    <row r="256" spans="1:17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</row>
    <row r="257" spans="1:1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</row>
    <row r="258" spans="1:17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</row>
    <row r="259" spans="1:17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</row>
    <row r="260" spans="1:17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</row>
    <row r="261" spans="1:17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</row>
    <row r="262" spans="1:17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</row>
    <row r="263" spans="1:17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</row>
    <row r="264" spans="1:17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</row>
    <row r="265" spans="1:17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</row>
    <row r="266" spans="1:17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</row>
    <row r="267" spans="1:1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</row>
    <row r="268" spans="1:17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</row>
    <row r="269" spans="1:17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</row>
    <row r="270" spans="1:17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</row>
    <row r="271" spans="1:17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</row>
    <row r="272" spans="1:17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</row>
    <row r="273" spans="1:17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</row>
    <row r="274" spans="1:17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</row>
    <row r="275" spans="1:17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</row>
    <row r="276" spans="1:17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</row>
    <row r="277" spans="1:1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</row>
    <row r="278" spans="1:17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</row>
    <row r="279" spans="1:17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</row>
    <row r="280" spans="1:17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</row>
    <row r="281" spans="1:17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</row>
    <row r="282" spans="1:17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</row>
    <row r="283" spans="1:17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</row>
    <row r="284" spans="1:17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</row>
    <row r="285" spans="1:17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</row>
    <row r="286" spans="1:17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</row>
    <row r="287" spans="1:1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</row>
    <row r="288" spans="1:17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</row>
    <row r="289" spans="1:17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</row>
    <row r="290" spans="1:17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</row>
    <row r="291" spans="1:17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</row>
    <row r="292" spans="1:17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</row>
    <row r="293" spans="1:17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</row>
    <row r="294" spans="1:17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</row>
    <row r="295" spans="1:17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</row>
    <row r="296" spans="1:17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</row>
    <row r="297" spans="1:1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</row>
    <row r="298" spans="1:17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</row>
    <row r="299" spans="1:17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</row>
    <row r="300" spans="1:17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</row>
    <row r="301" spans="1:17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</row>
    <row r="302" spans="1:17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</row>
    <row r="303" spans="1:17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</row>
    <row r="304" spans="1:17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</row>
    <row r="305" spans="1:17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</row>
    <row r="306" spans="1:17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</row>
    <row r="307" spans="1:1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</row>
    <row r="308" spans="1:17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</row>
    <row r="309" spans="1:17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</row>
    <row r="310" spans="1:17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</row>
    <row r="311" spans="1:17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</row>
    <row r="312" spans="1:17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</row>
    <row r="313" spans="1:17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</row>
    <row r="314" spans="1:17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</row>
    <row r="315" spans="1:17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</row>
    <row r="316" spans="1:17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</row>
    <row r="317" spans="1: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</row>
    <row r="318" spans="1:17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</row>
    <row r="319" spans="1:17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</row>
    <row r="320" spans="1:17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</row>
    <row r="321" spans="1:17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</row>
    <row r="322" spans="1:17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</row>
    <row r="323" spans="1:17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</row>
    <row r="324" spans="1:17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</row>
    <row r="325" spans="1:17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</row>
    <row r="326" spans="1:17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</row>
    <row r="327" spans="1:1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</row>
    <row r="328" spans="1:17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</row>
    <row r="329" spans="1:17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</row>
    <row r="330" spans="1:17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</row>
    <row r="331" spans="1:17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</row>
    <row r="332" spans="1:17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</row>
    <row r="333" spans="1:17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</row>
    <row r="334" spans="1:17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</row>
    <row r="335" spans="1:17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</row>
    <row r="336" spans="1:17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</row>
    <row r="337" spans="1:1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</row>
    <row r="338" spans="1:17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</row>
    <row r="339" spans="1:17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</row>
    <row r="340" spans="1:17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</row>
    <row r="341" spans="1:17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</row>
    <row r="342" spans="1:17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</row>
    <row r="343" spans="1:17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</row>
    <row r="344" spans="1:17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</row>
    <row r="345" spans="1:17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</row>
    <row r="346" spans="1:17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</row>
    <row r="347" spans="1:1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</row>
    <row r="348" spans="1:17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</row>
    <row r="349" spans="1:17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</row>
    <row r="350" spans="1:17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</row>
    <row r="351" spans="1:17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</row>
    <row r="352" spans="1:17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</row>
    <row r="353" spans="1:17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</row>
    <row r="354" spans="1:17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</row>
    <row r="355" spans="1:17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</row>
    <row r="356" spans="1:17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</row>
    <row r="357" spans="1:1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</row>
    <row r="358" spans="1:17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</row>
    <row r="359" spans="1:17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</row>
    <row r="360" spans="1:17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</row>
    <row r="361" spans="1:17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</row>
    <row r="362" spans="1:17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</row>
    <row r="363" spans="1:17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</row>
    <row r="364" spans="1:17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</row>
    <row r="365" spans="1:17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</row>
    <row r="366" spans="1:17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</row>
    <row r="367" spans="1:1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</row>
    <row r="368" spans="1:17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</row>
    <row r="369" spans="1:17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</row>
    <row r="370" spans="1:17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</row>
    <row r="371" spans="1:17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</row>
    <row r="372" spans="1:17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</row>
    <row r="373" spans="1:17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</row>
    <row r="374" spans="1:17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</row>
    <row r="375" spans="1:17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</row>
    <row r="376" spans="1:17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</row>
    <row r="377" spans="1:1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</row>
    <row r="378" spans="1:17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</row>
    <row r="379" spans="1:17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</row>
    <row r="380" spans="1:17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</row>
    <row r="381" spans="1:17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</row>
    <row r="382" spans="1:17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</row>
    <row r="383" spans="1:17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</row>
    <row r="384" spans="1:17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</row>
    <row r="385" spans="1:17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</row>
    <row r="386" spans="1:17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</row>
    <row r="387" spans="1:1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</row>
    <row r="388" spans="1:17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</row>
    <row r="389" spans="1:17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</row>
    <row r="390" spans="1:17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</row>
    <row r="391" spans="1:17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</row>
    <row r="392" spans="1:17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</row>
    <row r="393" spans="1:17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</row>
    <row r="394" spans="1:17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</row>
    <row r="395" spans="1:17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</row>
    <row r="396" spans="1:17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</row>
    <row r="397" spans="1:1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</row>
    <row r="398" spans="1:17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</row>
    <row r="399" spans="1:17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</row>
    <row r="400" spans="1:17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</row>
    <row r="401" spans="1:17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</row>
    <row r="402" spans="1:17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</row>
    <row r="403" spans="1:17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</row>
    <row r="404" spans="1:17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</row>
    <row r="405" spans="1:17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</row>
    <row r="406" spans="1:17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</row>
    <row r="407" spans="1:1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</row>
    <row r="408" spans="1:17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</row>
    <row r="409" spans="1:17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</row>
    <row r="410" spans="1:17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</row>
    <row r="411" spans="1:17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</row>
    <row r="412" spans="1:17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</row>
    <row r="413" spans="1:17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</row>
    <row r="414" spans="1:17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</row>
    <row r="415" spans="1:17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</row>
    <row r="416" spans="1:17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</row>
    <row r="417" spans="1: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</row>
    <row r="418" spans="1:17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</row>
    <row r="419" spans="1:17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</row>
    <row r="420" spans="1:17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</row>
    <row r="421" spans="1:17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</row>
    <row r="422" spans="1:17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</row>
    <row r="423" spans="1:17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</row>
    <row r="424" spans="1:17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</row>
    <row r="425" spans="1:17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</row>
    <row r="426" spans="1:17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</row>
    <row r="427" spans="1:1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</row>
    <row r="428" spans="1:17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</row>
    <row r="429" spans="1:17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</row>
    <row r="430" spans="1:17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</row>
    <row r="431" spans="1:17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</row>
    <row r="432" spans="1:17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</row>
    <row r="433" spans="1:17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</row>
    <row r="434" spans="1:17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</row>
    <row r="435" spans="1:17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</row>
    <row r="436" spans="1:17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</row>
    <row r="437" spans="1:1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</row>
    <row r="438" spans="1:17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</row>
    <row r="439" spans="1:17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</row>
    <row r="440" spans="1:17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</row>
    <row r="441" spans="1:17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</row>
    <row r="442" spans="1:17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</row>
    <row r="443" spans="1:17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</row>
    <row r="444" spans="1:17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</row>
    <row r="445" spans="1:17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</row>
    <row r="446" spans="1:17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</row>
    <row r="447" spans="1:1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</row>
    <row r="448" spans="1:17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</row>
    <row r="449" spans="1:17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</row>
    <row r="450" spans="1:17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</row>
    <row r="451" spans="1:17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</row>
    <row r="452" spans="1:17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</row>
    <row r="453" spans="1:17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</row>
    <row r="454" spans="1:17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</row>
    <row r="455" spans="1:17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</row>
    <row r="456" spans="1:17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</row>
    <row r="457" spans="1:1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</row>
    <row r="458" spans="1:17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</row>
    <row r="459" spans="1:17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</row>
    <row r="460" spans="1:17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</row>
    <row r="461" spans="1:17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</row>
    <row r="462" spans="1:17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</row>
    <row r="463" spans="1:17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</row>
    <row r="464" spans="1:17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</row>
    <row r="465" spans="1:17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</row>
    <row r="466" spans="1:17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</row>
    <row r="467" spans="1:1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</row>
    <row r="468" spans="1:17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</row>
    <row r="469" spans="1:17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</row>
    <row r="470" spans="1:17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</row>
    <row r="471" spans="1:17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</row>
    <row r="472" spans="1:17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</row>
    <row r="473" spans="1:17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</row>
    <row r="474" spans="1:17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</row>
    <row r="475" spans="1:17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</row>
    <row r="476" spans="1:17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</row>
    <row r="477" spans="1:1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</row>
    <row r="478" spans="1:17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</row>
    <row r="479" spans="1:17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</row>
    <row r="480" spans="1:17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</row>
    <row r="481" spans="1:17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</row>
    <row r="482" spans="1:17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</row>
    <row r="483" spans="1:17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</row>
    <row r="484" spans="1:17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</row>
    <row r="485" spans="1:17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</row>
    <row r="486" spans="1:17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</row>
    <row r="487" spans="1:1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</row>
    <row r="488" spans="1:17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</row>
    <row r="489" spans="1:17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</row>
    <row r="490" spans="1:17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</row>
    <row r="491" spans="1:17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</row>
    <row r="492" spans="1:17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</row>
    <row r="493" spans="1:17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</row>
    <row r="494" spans="1:17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</row>
    <row r="495" spans="1:17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</row>
    <row r="496" spans="1:17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</row>
    <row r="497" spans="1:1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</row>
    <row r="498" spans="1:17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</row>
    <row r="499" spans="1:17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</row>
    <row r="500" spans="1:17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</row>
    <row r="501" spans="1:17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</row>
    <row r="502" spans="1:17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</row>
    <row r="503" spans="1:17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</row>
    <row r="504" spans="1:17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</row>
    <row r="505" spans="1:17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</row>
    <row r="506" spans="1:17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</row>
    <row r="507" spans="1:1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</row>
    <row r="508" spans="1:17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</row>
    <row r="509" spans="1:17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</row>
    <row r="510" spans="1:17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</row>
    <row r="511" spans="1:17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</row>
    <row r="512" spans="1:17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</row>
    <row r="513" spans="1:17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</row>
    <row r="514" spans="1:17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</row>
    <row r="515" spans="1:17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</row>
    <row r="516" spans="1:17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</row>
    <row r="517" spans="1: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</row>
    <row r="518" spans="1:17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</row>
    <row r="519" spans="1:17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</row>
    <row r="520" spans="1:17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</row>
    <row r="521" spans="1:17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</row>
    <row r="522" spans="1:17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</row>
    <row r="523" spans="1:17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</row>
    <row r="524" spans="1:17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</row>
    <row r="525" spans="1:17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</row>
    <row r="526" spans="1:17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</row>
    <row r="527" spans="1:1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</row>
    <row r="528" spans="1:17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</row>
    <row r="529" spans="1:17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</row>
    <row r="530" spans="1:17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</row>
    <row r="531" spans="1:17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</row>
    <row r="532" spans="1:17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</row>
    <row r="533" spans="1:17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</row>
    <row r="534" spans="1:17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</row>
    <row r="535" spans="1:17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</row>
    <row r="536" spans="1:17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</row>
    <row r="537" spans="1:1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</row>
    <row r="538" spans="1:17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</row>
    <row r="539" spans="1:17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</row>
    <row r="540" spans="1:17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</row>
    <row r="541" spans="1:17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</row>
    <row r="542" spans="1:17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</row>
    <row r="543" spans="1:17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</row>
    <row r="544" spans="1:17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</row>
    <row r="545" spans="1:17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</row>
    <row r="546" spans="1:17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</row>
    <row r="547" spans="1:1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</row>
    <row r="548" spans="1:17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</row>
    <row r="549" spans="1:17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</row>
    <row r="550" spans="1:17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</row>
    <row r="551" spans="1:17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</row>
    <row r="552" spans="1:17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</row>
    <row r="553" spans="1:17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</row>
    <row r="554" spans="1:17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</row>
    <row r="555" spans="1:17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</row>
    <row r="556" spans="1:17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</row>
    <row r="557" spans="1:1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</row>
    <row r="558" spans="1:17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</row>
    <row r="559" spans="1:17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</row>
    <row r="560" spans="1:17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</row>
    <row r="561" spans="1:17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</row>
    <row r="562" spans="1:17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</row>
    <row r="563" spans="1:17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</row>
    <row r="564" spans="1:17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</row>
    <row r="565" spans="1:17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</row>
    <row r="566" spans="1:17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</row>
    <row r="567" spans="1:1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</row>
    <row r="568" spans="1:17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</row>
    <row r="569" spans="1:17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</row>
    <row r="570" spans="1:17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</row>
    <row r="571" spans="1:17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</row>
    <row r="572" spans="1:17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</row>
    <row r="573" spans="1:17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</row>
    <row r="574" spans="1:17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</row>
    <row r="575" spans="1:17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</row>
    <row r="576" spans="1:17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</row>
    <row r="577" spans="1:1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</row>
    <row r="578" spans="1:17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</row>
    <row r="579" spans="1:17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</row>
    <row r="580" spans="1:17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</row>
    <row r="581" spans="1:17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</row>
    <row r="582" spans="1:17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</row>
    <row r="583" spans="1:17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</row>
    <row r="584" spans="1:17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</row>
    <row r="585" spans="1:17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</row>
    <row r="586" spans="1:17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</row>
    <row r="587" spans="1:1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</row>
    <row r="588" spans="1:17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</row>
    <row r="589" spans="1:17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</row>
    <row r="590" spans="1:17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</row>
    <row r="591" spans="1:17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</row>
    <row r="592" spans="1:17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</row>
    <row r="593" spans="1:17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</row>
    <row r="594" spans="1:17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</row>
    <row r="595" spans="1:17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</row>
    <row r="596" spans="1:17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</row>
    <row r="597" spans="1:1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</row>
    <row r="598" spans="1:17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</row>
    <row r="599" spans="1:17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</row>
    <row r="600" spans="1:17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</row>
    <row r="601" spans="1:17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</row>
    <row r="602" spans="1:17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</row>
    <row r="603" spans="1:17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</row>
    <row r="604" spans="1:17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</row>
    <row r="605" spans="1:17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</row>
    <row r="606" spans="1:17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</row>
    <row r="607" spans="1:1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</row>
    <row r="608" spans="1:17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</row>
    <row r="609" spans="1:17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</row>
    <row r="610" spans="1:17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</row>
    <row r="611" spans="1:17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</row>
    <row r="612" spans="1:17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</row>
    <row r="613" spans="1:17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</row>
    <row r="614" spans="1:17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</row>
    <row r="615" spans="1:17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</row>
    <row r="616" spans="1:17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</row>
    <row r="617" spans="1: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</row>
    <row r="618" spans="1:17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</row>
    <row r="619" spans="1:17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</row>
    <row r="620" spans="1:17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</row>
    <row r="621" spans="1:17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</row>
    <row r="622" spans="1:17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</row>
    <row r="623" spans="1:17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</row>
    <row r="624" spans="1:17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</row>
    <row r="625" spans="1:17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</row>
    <row r="626" spans="1:17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</row>
    <row r="627" spans="1:1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</row>
    <row r="628" spans="1:17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</row>
    <row r="629" spans="1:17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</row>
    <row r="630" spans="1:17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</row>
    <row r="631" spans="1:17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</row>
    <row r="632" spans="1:17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</row>
    <row r="633" spans="1:17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</row>
    <row r="634" spans="1:17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</row>
    <row r="635" spans="1:17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</row>
    <row r="636" spans="1:17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</row>
    <row r="637" spans="1:1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</row>
    <row r="638" spans="1:17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</row>
    <row r="639" spans="1:17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</row>
    <row r="640" spans="1:17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</row>
    <row r="641" spans="1:17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</row>
    <row r="642" spans="1:17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</row>
    <row r="643" spans="1:17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</row>
    <row r="644" spans="1:17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</row>
    <row r="645" spans="1:17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</row>
    <row r="646" spans="1:17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</row>
    <row r="647" spans="1:1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</row>
    <row r="648" spans="1:17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</row>
    <row r="649" spans="1:17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</row>
    <row r="650" spans="1:17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</row>
    <row r="651" spans="1:17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</row>
    <row r="652" spans="1:17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</row>
    <row r="653" spans="1:17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</row>
    <row r="654" spans="1:17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</row>
    <row r="655" spans="1:17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</row>
    <row r="656" spans="1:17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</row>
    <row r="657" spans="1:1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</row>
    <row r="658" spans="1:17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</row>
    <row r="659" spans="1:17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</row>
    <row r="660" spans="1:17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</row>
    <row r="661" spans="1:17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</row>
    <row r="662" spans="1:17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</row>
    <row r="663" spans="1:17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</row>
    <row r="664" spans="1:17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</row>
    <row r="665" spans="1:17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</row>
    <row r="666" spans="1:17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</row>
    <row r="667" spans="1:1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</row>
    <row r="668" spans="1:17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</row>
    <row r="669" spans="1:17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</row>
    <row r="670" spans="1:17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</row>
    <row r="671" spans="1:17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</row>
    <row r="672" spans="1:17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</row>
    <row r="673" spans="1:17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</row>
    <row r="674" spans="1:17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</row>
    <row r="675" spans="1:17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</row>
    <row r="676" spans="1:17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</row>
    <row r="677" spans="1:1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</row>
    <row r="678" spans="1:17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</row>
    <row r="679" spans="1:17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</row>
    <row r="680" spans="1:17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</row>
    <row r="681" spans="1:17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</row>
    <row r="682" spans="1:17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</row>
    <row r="683" spans="1:17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</row>
    <row r="684" spans="1:17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</row>
    <row r="685" spans="1:17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</row>
    <row r="686" spans="1:17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</row>
    <row r="687" spans="1:1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</row>
    <row r="688" spans="1:17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</row>
    <row r="689" spans="1:17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</row>
    <row r="690" spans="1:17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</row>
    <row r="691" spans="1:17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</row>
    <row r="692" spans="1:17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</row>
    <row r="693" spans="1:17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</row>
    <row r="694" spans="1:17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</row>
    <row r="695" spans="1:17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</row>
    <row r="696" spans="1:17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</row>
    <row r="697" spans="1:1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</row>
    <row r="698" spans="1:17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</row>
    <row r="699" spans="1:17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</row>
    <row r="700" spans="1:17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</row>
    <row r="701" spans="1:17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</row>
    <row r="702" spans="1:17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</row>
    <row r="703" spans="1:17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</row>
    <row r="704" spans="1:17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</row>
    <row r="705" spans="1:17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</row>
    <row r="706" spans="1:17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</row>
    <row r="707" spans="1:1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</row>
    <row r="708" spans="1:17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</row>
    <row r="709" spans="1:17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</row>
    <row r="710" spans="1:17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</row>
    <row r="711" spans="1:17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</row>
    <row r="712" spans="1:17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</row>
    <row r="713" spans="1:17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</row>
    <row r="714" spans="1:17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</row>
    <row r="715" spans="1:17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</row>
    <row r="716" spans="1:17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</row>
    <row r="717" spans="1: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</row>
    <row r="718" spans="1:17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</row>
    <row r="719" spans="1:17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</row>
    <row r="720" spans="1:17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</row>
    <row r="721" spans="1:17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</row>
    <row r="722" spans="1:17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</row>
    <row r="723" spans="1:17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</row>
    <row r="724" spans="1:17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</row>
    <row r="725" spans="1:17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</row>
    <row r="726" spans="1:17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</row>
    <row r="727" spans="1:1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</row>
    <row r="728" spans="1:17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</row>
    <row r="729" spans="1:17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</row>
    <row r="730" spans="1:17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</row>
    <row r="731" spans="1:17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</row>
    <row r="732" spans="1:17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</row>
    <row r="733" spans="1:17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</row>
    <row r="734" spans="1:17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</row>
    <row r="735" spans="1:17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</row>
    <row r="736" spans="1:17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</row>
    <row r="737" spans="1:1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</row>
    <row r="738" spans="1:17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</row>
    <row r="739" spans="1:17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</row>
    <row r="740" spans="1:17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</row>
    <row r="741" spans="1:17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</row>
    <row r="742" spans="1:17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</row>
    <row r="743" spans="1:17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</row>
    <row r="744" spans="1:17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</row>
    <row r="745" spans="1:17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</row>
    <row r="746" spans="1:17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</row>
    <row r="747" spans="1:1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</row>
    <row r="748" spans="1:17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</row>
    <row r="749" spans="1:17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</row>
    <row r="750" spans="1:17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</row>
    <row r="751" spans="1:17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</row>
    <row r="752" spans="1:17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</row>
    <row r="753" spans="1:17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</row>
    <row r="754" spans="1:17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</row>
    <row r="755" spans="1:17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</row>
    <row r="756" spans="1:17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</row>
    <row r="757" spans="1:1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</row>
    <row r="758" spans="1:17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</row>
    <row r="759" spans="1:17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</row>
    <row r="760" spans="1:17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</row>
    <row r="761" spans="1:17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</row>
    <row r="762" spans="1:17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</row>
    <row r="763" spans="1:17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</row>
    <row r="764" spans="1:17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</row>
    <row r="765" spans="1:17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</row>
    <row r="766" spans="1:17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</row>
    <row r="767" spans="1:1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</row>
    <row r="768" spans="1:17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</row>
    <row r="769" spans="1:17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</row>
    <row r="770" spans="1:17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</row>
    <row r="771" spans="1:17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</row>
    <row r="772" spans="1:17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</row>
    <row r="773" spans="1:17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</row>
    <row r="774" spans="1:17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</row>
    <row r="775" spans="1:17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</row>
    <row r="776" spans="1:17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</row>
    <row r="777" spans="1:1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</row>
    <row r="778" spans="1:17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</row>
    <row r="779" spans="1:17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</row>
    <row r="780" spans="1:17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</row>
    <row r="781" spans="1:17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</row>
    <row r="782" spans="1:17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</row>
    <row r="783" spans="1:17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</row>
    <row r="784" spans="1:17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</row>
    <row r="785" spans="1:17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</row>
    <row r="786" spans="1:17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</row>
    <row r="787" spans="1:1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</row>
    <row r="788" spans="1:17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</row>
    <row r="789" spans="1:17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</row>
    <row r="790" spans="1:17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</row>
    <row r="791" spans="1:17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</row>
    <row r="792" spans="1:17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</row>
    <row r="793" spans="1:17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</row>
    <row r="794" spans="1:17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</row>
    <row r="795" spans="1:17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</row>
    <row r="796" spans="1:17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</row>
    <row r="797" spans="1:1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</row>
    <row r="798" spans="1:17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</row>
    <row r="799" spans="1:17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</row>
    <row r="800" spans="1:17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</row>
    <row r="801" spans="1:17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</row>
    <row r="802" spans="1:17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</row>
    <row r="803" spans="1:17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</row>
    <row r="804" spans="1:17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</row>
    <row r="805" spans="1:17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</row>
    <row r="806" spans="1:17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</row>
    <row r="807" spans="1:1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</row>
    <row r="808" spans="1:17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</row>
    <row r="809" spans="1:17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</row>
    <row r="810" spans="1:17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</row>
    <row r="811" spans="1:17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</row>
    <row r="812" spans="1:17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</row>
    <row r="813" spans="1:17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</row>
    <row r="814" spans="1:17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</row>
    <row r="815" spans="1:17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</row>
    <row r="816" spans="1:17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</row>
    <row r="817" spans="1: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</row>
    <row r="818" spans="1:17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</row>
    <row r="819" spans="1:17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</row>
    <row r="820" spans="1:17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</row>
    <row r="821" spans="1:17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</row>
    <row r="822" spans="1:17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</row>
    <row r="823" spans="1:17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</row>
    <row r="824" spans="1:17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</row>
    <row r="825" spans="1:17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</row>
    <row r="826" spans="1:17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</row>
    <row r="827" spans="1:1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</row>
    <row r="828" spans="1:17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</row>
    <row r="829" spans="1:17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</row>
    <row r="830" spans="1:17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</row>
    <row r="831" spans="1:17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</row>
    <row r="832" spans="1:17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</row>
    <row r="833" spans="1:17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</row>
    <row r="834" spans="1:17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</row>
    <row r="835" spans="1:17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</row>
    <row r="836" spans="1:17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</row>
    <row r="837" spans="1:1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</row>
    <row r="838" spans="1:17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</row>
    <row r="839" spans="1:17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</row>
    <row r="840" spans="1:17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</row>
    <row r="841" spans="1:17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</row>
    <row r="842" spans="1:17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</row>
    <row r="843" spans="1:17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</row>
    <row r="844" spans="1:17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</row>
    <row r="845" spans="1:17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</row>
    <row r="846" spans="1:17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</row>
    <row r="847" spans="1:1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</row>
    <row r="848" spans="1:17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</row>
    <row r="849" spans="1:17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</row>
    <row r="850" spans="1:17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</row>
    <row r="851" spans="1:17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</row>
    <row r="852" spans="1:17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</row>
    <row r="853" spans="1:17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</row>
    <row r="854" spans="1:17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</row>
    <row r="855" spans="1:17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</row>
    <row r="856" spans="1:17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</row>
    <row r="857" spans="1:1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</row>
    <row r="858" spans="1:17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</row>
    <row r="859" spans="1:17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</row>
    <row r="860" spans="1:17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</row>
    <row r="861" spans="1:17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</row>
    <row r="862" spans="1:17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</row>
    <row r="863" spans="1:17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</row>
    <row r="864" spans="1:17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</row>
    <row r="865" spans="1:17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</row>
    <row r="866" spans="1:17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</row>
    <row r="867" spans="1:1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</row>
    <row r="868" spans="1:17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</row>
    <row r="869" spans="1:17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</row>
    <row r="870" spans="1:17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</row>
    <row r="871" spans="1:17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</row>
    <row r="872" spans="1:17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</row>
    <row r="873" spans="1:17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</row>
    <row r="874" spans="1:17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</row>
    <row r="875" spans="1:17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</row>
    <row r="876" spans="1:17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</row>
    <row r="877" spans="1:1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</row>
    <row r="878" spans="1:17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</row>
    <row r="879" spans="1:17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</row>
    <row r="880" spans="1:17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</row>
    <row r="881" spans="1:17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</row>
    <row r="882" spans="1:17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</row>
    <row r="883" spans="1:17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</row>
    <row r="884" spans="1:17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</row>
    <row r="885" spans="1:17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</row>
    <row r="886" spans="1:17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</row>
    <row r="887" spans="1:1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</row>
    <row r="888" spans="1:17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</row>
    <row r="889" spans="1:17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</row>
    <row r="890" spans="1:17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</row>
    <row r="891" spans="1:17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</row>
    <row r="892" spans="1:17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</row>
    <row r="893" spans="1:17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</row>
    <row r="894" spans="1:17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</row>
    <row r="895" spans="1:17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</row>
    <row r="896" spans="1:17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</row>
    <row r="897" spans="1:1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</row>
    <row r="898" spans="1:17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</row>
    <row r="899" spans="1:17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</row>
    <row r="900" spans="1:17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</row>
    <row r="901" spans="1:17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</row>
    <row r="902" spans="1:17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</row>
    <row r="903" spans="1:17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</row>
    <row r="904" spans="1:17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</row>
    <row r="905" spans="1:17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</row>
    <row r="906" spans="1:17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</row>
    <row r="907" spans="1:1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</row>
    <row r="908" spans="1:17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</row>
    <row r="909" spans="1:17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</row>
    <row r="910" spans="1:17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</row>
    <row r="911" spans="1:17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</row>
    <row r="912" spans="1:17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</row>
    <row r="913" spans="1:17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</row>
    <row r="914" spans="1:17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</row>
    <row r="915" spans="1:17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</row>
    <row r="916" spans="1:17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</row>
    <row r="917" spans="1: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</row>
    <row r="918" spans="1:17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</row>
    <row r="919" spans="1:17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</row>
    <row r="920" spans="1:17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</row>
    <row r="921" spans="1:17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</row>
    <row r="922" spans="1:17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</row>
    <row r="923" spans="1:17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</row>
    <row r="924" spans="1:17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</row>
    <row r="925" spans="1:17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</row>
    <row r="926" spans="1:17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</row>
    <row r="927" spans="1:1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</row>
    <row r="928" spans="1:17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</row>
    <row r="929" spans="1:17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</row>
    <row r="930" spans="1:17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</row>
    <row r="931" spans="1:17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</row>
    <row r="932" spans="1:17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</row>
    <row r="933" spans="1:17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</row>
    <row r="934" spans="1:17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</row>
    <row r="935" spans="1:17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</row>
    <row r="936" spans="1:17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</row>
    <row r="937" spans="1:1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</row>
    <row r="938" spans="1:17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</row>
    <row r="939" spans="1:17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</row>
    <row r="940" spans="1:17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</row>
    <row r="941" spans="1:17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</row>
    <row r="942" spans="1:17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</row>
    <row r="943" spans="1:17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</row>
    <row r="944" spans="1:17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</row>
    <row r="945" spans="1:17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</row>
    <row r="946" spans="1:17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</row>
    <row r="947" spans="1:1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</row>
    <row r="948" spans="1:17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</row>
    <row r="949" spans="1:17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</row>
    <row r="950" spans="1:17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</row>
    <row r="951" spans="1:17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</row>
    <row r="952" spans="1:17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</row>
    <row r="953" spans="1:17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</row>
    <row r="954" spans="1:17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</row>
    <row r="955" spans="1:17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</row>
    <row r="956" spans="1:17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</row>
    <row r="957" spans="1:1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</row>
    <row r="958" spans="1:17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</row>
    <row r="959" spans="1:17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</row>
    <row r="960" spans="1:17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</row>
    <row r="961" spans="1:17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</row>
    <row r="962" spans="1:17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</row>
    <row r="963" spans="1:17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</row>
    <row r="964" spans="1:17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</row>
    <row r="965" spans="1:17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</row>
    <row r="966" spans="1:17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</row>
    <row r="967" spans="1:1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</row>
    <row r="968" spans="1:17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</row>
    <row r="969" spans="1:17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</row>
    <row r="970" spans="1:17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</row>
    <row r="971" spans="1:17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</row>
    <row r="972" spans="1:17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</row>
    <row r="973" spans="1:17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</row>
    <row r="974" spans="1:17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</row>
    <row r="975" spans="1:17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</row>
    <row r="976" spans="1:17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</row>
    <row r="977" spans="1:1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</row>
    <row r="978" spans="1:17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</row>
    <row r="979" spans="1:17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</row>
    <row r="980" spans="1:17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</row>
    <row r="981" spans="1:17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</row>
    <row r="982" spans="1:17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</row>
    <row r="983" spans="1:17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</row>
    <row r="984" spans="1:17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</row>
    <row r="985" spans="1:17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</row>
    <row r="986" spans="1:17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</row>
    <row r="987" spans="1:1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</row>
    <row r="988" spans="1:17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</row>
    <row r="989" spans="1:17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</row>
    <row r="990" spans="1:17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</row>
    <row r="991" spans="1:17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</row>
    <row r="992" spans="1:17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</row>
  </sheetData>
  <mergeCells count="1">
    <mergeCell ref="A1:A2"/>
  </mergeCells>
  <hyperlinks>
    <hyperlink ref="R4" r:id="rId1" location="eyJhcHBpZCI6MTUwLCJzdGVwcyI6WzEsMiwzXSwiZGF0YSI6W1siY2F0ZWdvcmllcyIsIkdkcHhJbmQiXSxbIlRhYmxlX0xpc3QiLCIxNSJdXX0=" xr:uid="{00000000-0004-0000-0D00-000000000000}"/>
    <hyperlink ref="R5" r:id="rId2" location="eyJhcHBpZCI6MTUwLCJzdGVwcyI6WzEsMiwzXSwiZGF0YSI6W1siY2F0ZWdvcmllcyIsIkdkcHhJbmQiXSxbIlRhYmxlX0xpc3QiLCIxNSJdXX0=" xr:uid="{00000000-0004-0000-0D00-000001000000}"/>
    <hyperlink ref="R6" r:id="rId3" location="eyJhcHBpZCI6MTUwLCJzdGVwcyI6WzEsMiwzXSwiZGF0YSI6W1siY2F0ZWdvcmllcyIsIkdkcHhJbmQiXSxbIlRhYmxlX0xpc3QiLCIxNSJdXX0=" xr:uid="{00000000-0004-0000-0D00-000002000000}"/>
    <hyperlink ref="R7" r:id="rId4" location="eyJhcHBpZCI6MTUwLCJzdGVwcyI6WzEsMiwzXSwiZGF0YSI6W1siY2F0ZWdvcmllcyIsIkdkcHhJbmQiXSxbIlRhYmxlX0xpc3QiLCIxNSJdXX0=" xr:uid="{00000000-0004-0000-0D00-000003000000}"/>
    <hyperlink ref="R8" r:id="rId5" location="eyJhcHBpZCI6MTUwLCJzdGVwcyI6WzEsMiwzXSwiZGF0YSI6W1siY2F0ZWdvcmllcyIsIkdkcHhJbmQiXSxbIlRhYmxlX0xpc3QiLCIxNSJdXX0=" xr:uid="{00000000-0004-0000-0D00-000006000000}"/>
    <hyperlink ref="R11" r:id="rId6" location="eyJhcHBpZCI6MTUwLCJzdGVwcyI6WzEsMiwzXSwiZGF0YSI6W1siY2F0ZWdvcmllcyIsIkdkcHhJbmQiXSxbIlRhYmxlX0xpc3QiLCIxNSJdXX0=" xr:uid="{00000000-0004-0000-0D00-000007000000}"/>
    <hyperlink ref="R12" r:id="rId7" location="eyJhcHBpZCI6MTUwLCJzdGVwcyI6WzEsMiwzXSwiZGF0YSI6W1siY2F0ZWdvcmllcyIsIkdkcHhJbmQiXSxbIlRhYmxlX0xpc3QiLCIxNSJdXX0=" xr:uid="{00000000-0004-0000-0D00-000008000000}"/>
    <hyperlink ref="R13" r:id="rId8" location="eyJhcHBpZCI6MTUwLCJzdGVwcyI6WzEsMiwzXSwiZGF0YSI6W1siY2F0ZWdvcmllcyIsIkdkcHhJbmQiXSxbIlRhYmxlX0xpc3QiLCIxNSJdXX0=" xr:uid="{00000000-0004-0000-0D00-000009000000}"/>
    <hyperlink ref="R14" r:id="rId9" location="eyJhcHBpZCI6MTUwLCJzdGVwcyI6WzEsMiwzXSwiZGF0YSI6W1siY2F0ZWdvcmllcyIsIkdkcHhJbmQiXSxbIlRhYmxlX0xpc3QiLCIxNSJdXX0=" xr:uid="{00000000-0004-0000-0D00-00000A000000}"/>
    <hyperlink ref="R15" r:id="rId10" location="eyJhcHBpZCI6MTUwLCJzdGVwcyI6WzEsMiwzXSwiZGF0YSI6W1siY2F0ZWdvcmllcyIsIkdkcHhJbmQiXSxbIlRhYmxlX0xpc3QiLCIxNSJdXX0=" xr:uid="{00000000-0004-0000-0D00-00000D000000}"/>
    <hyperlink ref="R18" r:id="rId11" xr:uid="{1F7FD1B1-E457-4DDD-B716-B8478D49916A}"/>
    <hyperlink ref="R19" r:id="rId12" xr:uid="{3CFA04EB-510B-4474-9599-2E88EDC698DE}"/>
    <hyperlink ref="R20" r:id="rId13" xr:uid="{4E120A18-EAE5-421A-8822-5F69CF46E350}"/>
    <hyperlink ref="R21" r:id="rId14" xr:uid="{36CE380F-F516-44DD-B1F5-03AF65278ECE}"/>
  </hyperlinks>
  <pageMargins left="0.7" right="0.7" top="0.75" bottom="0.75" header="0.3" footer="0.3"/>
  <pageSetup orientation="portrait" r:id="rId15"/>
  <drawing r:id="rId1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3404"/>
  </sheetPr>
  <dimension ref="A1:AC996"/>
  <sheetViews>
    <sheetView zoomScale="70" zoomScaleNormal="70" workbookViewId="0">
      <pane xSplit="1" ySplit="3" topLeftCell="B11" activePane="bottomRight" state="frozen"/>
      <selection pane="topRight" activeCell="B1" sqref="B1"/>
      <selection pane="bottomLeft" activeCell="A4" sqref="A4"/>
      <selection pane="bottomRight" activeCell="R31" sqref="R31"/>
    </sheetView>
  </sheetViews>
  <sheetFormatPr defaultColWidth="14.42578125" defaultRowHeight="15" customHeight="1"/>
  <cols>
    <col min="1" max="1" width="80.42578125" customWidth="1"/>
    <col min="2" max="16" width="11.7109375" customWidth="1"/>
    <col min="17" max="17" width="17.7109375" bestFit="1" customWidth="1"/>
    <col min="18" max="18" width="78.140625" customWidth="1"/>
    <col min="19" max="19" width="27.140625" customWidth="1"/>
    <col min="20" max="29" width="8.85546875" customWidth="1"/>
  </cols>
  <sheetData>
    <row r="1" spans="1:29">
      <c r="A1" s="641" t="s">
        <v>317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>
      <c r="A2" s="637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>
      <c r="A3" s="27" t="s">
        <v>318</v>
      </c>
      <c r="B3" s="27">
        <v>2010</v>
      </c>
      <c r="C3" s="27">
        <v>2011</v>
      </c>
      <c r="D3" s="27">
        <v>2012</v>
      </c>
      <c r="E3" s="114">
        <v>2013</v>
      </c>
      <c r="F3" s="114">
        <v>2014</v>
      </c>
      <c r="G3" s="27">
        <v>2015</v>
      </c>
      <c r="H3" s="27">
        <v>2016</v>
      </c>
      <c r="I3" s="27">
        <v>2017</v>
      </c>
      <c r="J3" s="27">
        <v>2018</v>
      </c>
      <c r="K3" s="27">
        <v>2019</v>
      </c>
      <c r="L3" s="27">
        <v>2020</v>
      </c>
      <c r="M3" s="27">
        <v>2021</v>
      </c>
      <c r="N3" s="27">
        <v>2022</v>
      </c>
      <c r="O3" s="27">
        <v>2023</v>
      </c>
      <c r="P3" s="27">
        <v>2024</v>
      </c>
      <c r="Q3" s="27" t="s">
        <v>241</v>
      </c>
      <c r="R3" s="28" t="s">
        <v>242</v>
      </c>
      <c r="S3" s="28" t="s">
        <v>22</v>
      </c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spans="1:29" ht="45">
      <c r="A4" s="33" t="s">
        <v>319</v>
      </c>
      <c r="B4" s="59">
        <v>23.3</v>
      </c>
      <c r="C4" s="59">
        <v>23.6</v>
      </c>
      <c r="D4" s="59">
        <v>25.8</v>
      </c>
      <c r="E4" s="59">
        <v>30.5</v>
      </c>
      <c r="F4" s="59">
        <v>30.9</v>
      </c>
      <c r="G4" s="59">
        <v>32.5</v>
      </c>
      <c r="H4" s="59">
        <v>33.700000000000003</v>
      </c>
      <c r="I4" s="59">
        <v>35.700000000000003</v>
      </c>
      <c r="J4" s="59">
        <v>36.9</v>
      </c>
      <c r="K4" s="59">
        <v>36.799999999999997</v>
      </c>
      <c r="L4" s="59">
        <v>43</v>
      </c>
      <c r="M4" s="59">
        <v>59.9</v>
      </c>
      <c r="N4" s="59">
        <v>64.599999999999994</v>
      </c>
      <c r="O4" s="59">
        <v>62.3</v>
      </c>
      <c r="P4" s="59">
        <v>60.2</v>
      </c>
      <c r="Q4" s="32" t="s">
        <v>263</v>
      </c>
      <c r="R4" s="101" t="s">
        <v>264</v>
      </c>
      <c r="S4" s="32" t="s">
        <v>492</v>
      </c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spans="1:29" ht="75">
      <c r="A5" s="33" t="s">
        <v>320</v>
      </c>
      <c r="B5" s="47">
        <v>0.2</v>
      </c>
      <c r="C5" s="47">
        <v>0.2</v>
      </c>
      <c r="D5" s="47">
        <v>0.2</v>
      </c>
      <c r="E5" s="47">
        <v>0.2</v>
      </c>
      <c r="F5" s="47">
        <v>0.2</v>
      </c>
      <c r="G5" s="47">
        <v>0.2</v>
      </c>
      <c r="H5" s="47">
        <v>0.2</v>
      </c>
      <c r="I5" s="47">
        <v>0.2</v>
      </c>
      <c r="J5" s="47">
        <v>0.2</v>
      </c>
      <c r="K5" s="47">
        <v>0.2</v>
      </c>
      <c r="L5" s="204">
        <v>0.2</v>
      </c>
      <c r="M5" s="47">
        <v>0.3</v>
      </c>
      <c r="N5" s="47">
        <v>0.2</v>
      </c>
      <c r="O5" s="47">
        <v>0.2</v>
      </c>
      <c r="P5" s="47">
        <v>0.2</v>
      </c>
      <c r="Q5" s="32" t="s">
        <v>263</v>
      </c>
      <c r="R5" s="101" t="s">
        <v>310</v>
      </c>
      <c r="S5" s="32" t="s">
        <v>492</v>
      </c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45">
      <c r="A6" s="33" t="s">
        <v>321</v>
      </c>
      <c r="B6" s="59">
        <v>71.900000000000006</v>
      </c>
      <c r="C6" s="59">
        <v>73</v>
      </c>
      <c r="D6" s="59">
        <v>80.8</v>
      </c>
      <c r="E6" s="59">
        <v>90.6</v>
      </c>
      <c r="F6" s="59">
        <v>97.6</v>
      </c>
      <c r="G6" s="59">
        <v>101</v>
      </c>
      <c r="H6" s="59">
        <v>103.2</v>
      </c>
      <c r="I6" s="59">
        <v>108.5</v>
      </c>
      <c r="J6" s="59">
        <v>120.4</v>
      </c>
      <c r="K6" s="59">
        <v>112.4</v>
      </c>
      <c r="L6" s="118">
        <v>123.7</v>
      </c>
      <c r="M6" s="59">
        <v>163.4</v>
      </c>
      <c r="N6" s="59">
        <v>179.3</v>
      </c>
      <c r="O6" s="59">
        <v>173.3</v>
      </c>
      <c r="P6" s="59">
        <v>174.2</v>
      </c>
      <c r="Q6" s="32" t="s">
        <v>263</v>
      </c>
      <c r="R6" s="101" t="s">
        <v>264</v>
      </c>
      <c r="S6" s="32" t="s">
        <v>492</v>
      </c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60">
      <c r="A7" s="33" t="s">
        <v>529</v>
      </c>
      <c r="B7" s="59">
        <v>15.9</v>
      </c>
      <c r="C7" s="59">
        <v>16.3</v>
      </c>
      <c r="D7" s="59">
        <v>16.7</v>
      </c>
      <c r="E7" s="59">
        <v>17.7</v>
      </c>
      <c r="F7" s="59">
        <v>19.399999999999999</v>
      </c>
      <c r="G7" s="59">
        <v>20.399999999999999</v>
      </c>
      <c r="H7" s="59">
        <v>21.1</v>
      </c>
      <c r="I7" s="59">
        <v>22.260999999999999</v>
      </c>
      <c r="J7" s="59">
        <v>23.536999999999999</v>
      </c>
      <c r="K7" s="59">
        <v>24.637</v>
      </c>
      <c r="L7" s="118">
        <v>25.434999999999999</v>
      </c>
      <c r="M7" s="59">
        <v>28.224</v>
      </c>
      <c r="N7" s="59">
        <v>31.295999999999999</v>
      </c>
      <c r="O7" s="59">
        <v>31.643999999999998</v>
      </c>
      <c r="P7" s="59">
        <v>32.296999999999997</v>
      </c>
      <c r="Q7" s="32" t="s">
        <v>263</v>
      </c>
      <c r="R7" s="115" t="s">
        <v>322</v>
      </c>
      <c r="S7" s="32" t="s">
        <v>492</v>
      </c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60">
      <c r="A8" s="37" t="s">
        <v>269</v>
      </c>
      <c r="B8" s="102">
        <v>342</v>
      </c>
      <c r="C8" s="102">
        <v>338</v>
      </c>
      <c r="D8" s="102">
        <v>341</v>
      </c>
      <c r="E8" s="102">
        <v>355</v>
      </c>
      <c r="F8" s="102">
        <v>371</v>
      </c>
      <c r="G8" s="102">
        <v>381</v>
      </c>
      <c r="H8" s="102">
        <v>391</v>
      </c>
      <c r="I8" s="102">
        <v>398</v>
      </c>
      <c r="J8" s="102">
        <v>406</v>
      </c>
      <c r="K8" s="102">
        <v>407</v>
      </c>
      <c r="L8" s="118">
        <v>395</v>
      </c>
      <c r="M8" s="102">
        <v>410</v>
      </c>
      <c r="N8" s="102">
        <v>427</v>
      </c>
      <c r="O8" s="297">
        <v>419</v>
      </c>
      <c r="P8" s="477">
        <v>412</v>
      </c>
      <c r="Q8" s="61" t="s">
        <v>263</v>
      </c>
      <c r="R8" s="115" t="s">
        <v>323</v>
      </c>
      <c r="S8" s="32" t="s">
        <v>492</v>
      </c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167"/>
      <c r="P9" s="167"/>
      <c r="Q9" s="44"/>
      <c r="R9" s="44"/>
      <c r="S9" s="4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>
      <c r="A10" s="46" t="s">
        <v>324</v>
      </c>
      <c r="B10" s="46">
        <v>2010</v>
      </c>
      <c r="C10" s="46">
        <v>2011</v>
      </c>
      <c r="D10" s="46">
        <v>2012</v>
      </c>
      <c r="E10" s="46">
        <v>2013</v>
      </c>
      <c r="F10" s="46">
        <v>2014</v>
      </c>
      <c r="G10" s="46">
        <v>2015</v>
      </c>
      <c r="H10" s="46">
        <v>2016</v>
      </c>
      <c r="I10" s="46">
        <v>2017</v>
      </c>
      <c r="J10" s="46">
        <v>2018</v>
      </c>
      <c r="K10" s="27">
        <v>2019</v>
      </c>
      <c r="L10" s="46">
        <v>2020</v>
      </c>
      <c r="M10" s="46">
        <v>2021</v>
      </c>
      <c r="N10" s="46">
        <v>2022</v>
      </c>
      <c r="O10" s="177">
        <v>2023</v>
      </c>
      <c r="P10" s="177">
        <v>2024</v>
      </c>
      <c r="Q10" s="46" t="s">
        <v>241</v>
      </c>
      <c r="R10" s="64" t="s">
        <v>242</v>
      </c>
      <c r="S10" s="64" t="s">
        <v>22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ht="45">
      <c r="A11" s="33" t="s">
        <v>325</v>
      </c>
      <c r="B11" s="59">
        <v>56.3</v>
      </c>
      <c r="C11" s="59">
        <v>53.7</v>
      </c>
      <c r="D11" s="59">
        <v>53</v>
      </c>
      <c r="E11" s="59">
        <v>56.3</v>
      </c>
      <c r="F11" s="59">
        <v>56.7</v>
      </c>
      <c r="G11" s="59">
        <v>59.7</v>
      </c>
      <c r="H11" s="59">
        <v>58.7</v>
      </c>
      <c r="I11" s="59">
        <v>55.9</v>
      </c>
      <c r="J11" s="59">
        <v>60.2</v>
      </c>
      <c r="K11" s="59">
        <v>62.7</v>
      </c>
      <c r="L11" s="59">
        <v>65.099999999999994</v>
      </c>
      <c r="M11" s="59">
        <v>64.599999999999994</v>
      </c>
      <c r="N11" s="59">
        <v>70.099999999999994</v>
      </c>
      <c r="O11" s="59">
        <v>73.7</v>
      </c>
      <c r="P11" s="59">
        <v>74.400000000000006</v>
      </c>
      <c r="Q11" s="32" t="s">
        <v>263</v>
      </c>
      <c r="R11" s="116" t="s">
        <v>264</v>
      </c>
      <c r="S11" s="32" t="s">
        <v>492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75">
      <c r="A12" s="33" t="s">
        <v>326</v>
      </c>
      <c r="B12" s="47">
        <v>0.4</v>
      </c>
      <c r="C12" s="47">
        <v>0.3</v>
      </c>
      <c r="D12" s="47">
        <v>0.3</v>
      </c>
      <c r="E12" s="47">
        <v>0.3</v>
      </c>
      <c r="F12" s="47">
        <v>0.3</v>
      </c>
      <c r="G12" s="47">
        <v>0.3</v>
      </c>
      <c r="H12" s="47">
        <v>0.3</v>
      </c>
      <c r="I12" s="47">
        <v>0.3</v>
      </c>
      <c r="J12" s="47">
        <v>0.3</v>
      </c>
      <c r="K12" s="47">
        <v>0.3</v>
      </c>
      <c r="L12" s="47">
        <v>0.3</v>
      </c>
      <c r="M12" s="47">
        <v>0.3</v>
      </c>
      <c r="N12" s="47">
        <v>0.3</v>
      </c>
      <c r="O12" s="47">
        <v>0.3</v>
      </c>
      <c r="P12" s="47">
        <v>0.3</v>
      </c>
      <c r="Q12" s="32" t="s">
        <v>263</v>
      </c>
      <c r="R12" s="116" t="s">
        <v>310</v>
      </c>
      <c r="S12" s="32" t="s">
        <v>492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45">
      <c r="A13" s="33" t="s">
        <v>327</v>
      </c>
      <c r="B13" s="59">
        <v>169.4</v>
      </c>
      <c r="C13" s="59">
        <v>175.6</v>
      </c>
      <c r="D13" s="59">
        <v>179</v>
      </c>
      <c r="E13" s="59">
        <v>183.8</v>
      </c>
      <c r="F13" s="59">
        <v>184.6</v>
      </c>
      <c r="G13" s="59">
        <v>182.9</v>
      </c>
      <c r="H13" s="59">
        <v>179.3</v>
      </c>
      <c r="I13" s="59">
        <v>185.3</v>
      </c>
      <c r="J13" s="59">
        <v>190.2</v>
      </c>
      <c r="K13" s="59">
        <v>190.9</v>
      </c>
      <c r="L13" s="59">
        <v>180.2</v>
      </c>
      <c r="M13" s="59">
        <v>196.7</v>
      </c>
      <c r="N13" s="59">
        <v>217.4</v>
      </c>
      <c r="O13" s="59">
        <v>217.5</v>
      </c>
      <c r="P13" s="59">
        <v>218.8</v>
      </c>
      <c r="Q13" s="32" t="s">
        <v>263</v>
      </c>
      <c r="R13" s="116" t="s">
        <v>264</v>
      </c>
      <c r="S13" s="32" t="s">
        <v>492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60">
      <c r="A14" s="37" t="s">
        <v>530</v>
      </c>
      <c r="B14" s="59">
        <v>28.9</v>
      </c>
      <c r="C14" s="59">
        <v>29.2</v>
      </c>
      <c r="D14" s="59">
        <v>29.1</v>
      </c>
      <c r="E14" s="59">
        <v>29.4</v>
      </c>
      <c r="F14" s="59">
        <v>29.8</v>
      </c>
      <c r="G14" s="59">
        <v>30.2</v>
      </c>
      <c r="H14" s="59">
        <v>30</v>
      </c>
      <c r="I14" s="59">
        <v>30.385999999999999</v>
      </c>
      <c r="J14" s="59">
        <v>31.315000000000001</v>
      </c>
      <c r="K14" s="59">
        <v>32.451999999999998</v>
      </c>
      <c r="L14" s="59">
        <v>32.015999999999998</v>
      </c>
      <c r="M14" s="59">
        <v>32.518000000000001</v>
      </c>
      <c r="N14" s="59">
        <v>34.515000000000001</v>
      </c>
      <c r="O14" s="59">
        <v>35.313000000000002</v>
      </c>
      <c r="P14" s="59">
        <v>36.515000000000001</v>
      </c>
      <c r="Q14" s="32" t="s">
        <v>263</v>
      </c>
      <c r="R14" s="117" t="s">
        <v>328</v>
      </c>
      <c r="S14" s="32" t="s">
        <v>492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60">
      <c r="A15" s="37" t="s">
        <v>269</v>
      </c>
      <c r="B15" s="102">
        <v>394</v>
      </c>
      <c r="C15" s="102">
        <v>388</v>
      </c>
      <c r="D15" s="102">
        <v>380</v>
      </c>
      <c r="E15" s="102">
        <v>377</v>
      </c>
      <c r="F15" s="102">
        <v>373</v>
      </c>
      <c r="G15" s="102">
        <v>372</v>
      </c>
      <c r="H15" s="102">
        <v>370</v>
      </c>
      <c r="I15" s="102">
        <v>368</v>
      </c>
      <c r="J15" s="102">
        <v>367</v>
      </c>
      <c r="K15" s="102">
        <v>373</v>
      </c>
      <c r="L15" s="118">
        <v>355</v>
      </c>
      <c r="M15" s="102">
        <v>354</v>
      </c>
      <c r="N15" s="102">
        <v>365</v>
      </c>
      <c r="O15" s="297">
        <v>361</v>
      </c>
      <c r="P15" s="477">
        <v>357</v>
      </c>
      <c r="Q15" s="61" t="s">
        <v>263</v>
      </c>
      <c r="R15" s="117" t="s">
        <v>329</v>
      </c>
      <c r="S15" s="32" t="s">
        <v>492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167"/>
      <c r="P16" s="167"/>
      <c r="Q16" s="44"/>
      <c r="R16" s="44"/>
      <c r="S16" s="4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46" t="s">
        <v>15</v>
      </c>
      <c r="B17" s="46">
        <v>2010</v>
      </c>
      <c r="C17" s="46">
        <v>2011</v>
      </c>
      <c r="D17" s="46">
        <v>2012</v>
      </c>
      <c r="E17" s="46">
        <v>2013</v>
      </c>
      <c r="F17" s="46">
        <v>2014</v>
      </c>
      <c r="G17" s="46">
        <v>2015</v>
      </c>
      <c r="H17" s="46">
        <v>2016</v>
      </c>
      <c r="I17" s="46">
        <v>2017</v>
      </c>
      <c r="J17" s="46">
        <v>2018</v>
      </c>
      <c r="K17" s="27">
        <v>2019</v>
      </c>
      <c r="L17" s="46">
        <v>2020</v>
      </c>
      <c r="M17" s="46">
        <v>2021</v>
      </c>
      <c r="N17" s="46">
        <v>2022</v>
      </c>
      <c r="O17" s="177">
        <v>2023</v>
      </c>
      <c r="P17" s="177">
        <v>2024</v>
      </c>
      <c r="Q17" s="46" t="s">
        <v>241</v>
      </c>
      <c r="R17" s="64" t="s">
        <v>242</v>
      </c>
      <c r="S17" s="64" t="s">
        <v>22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ht="15.75" customHeight="1">
      <c r="A18" s="33" t="s">
        <v>330</v>
      </c>
      <c r="B18" s="59">
        <v>40.436675999999999</v>
      </c>
      <c r="C18" s="59">
        <v>40.436675999999999</v>
      </c>
      <c r="D18" s="59">
        <v>40.436</v>
      </c>
      <c r="E18" s="59">
        <v>41.880842999999999</v>
      </c>
      <c r="F18" s="59">
        <v>41.880842999999999</v>
      </c>
      <c r="G18" s="59">
        <v>44.344999999999999</v>
      </c>
      <c r="H18" s="59">
        <v>62.155999999999999</v>
      </c>
      <c r="I18" s="59">
        <v>64.37</v>
      </c>
      <c r="J18" s="59">
        <v>71.608562000000006</v>
      </c>
      <c r="K18" s="118">
        <v>71.426930999999996</v>
      </c>
      <c r="L18" s="118">
        <v>60.525359999999999</v>
      </c>
      <c r="M18" s="118">
        <v>71.11054</v>
      </c>
      <c r="N18" s="118">
        <v>72.369</v>
      </c>
      <c r="O18" s="118">
        <v>66.025999999999996</v>
      </c>
      <c r="P18" s="475">
        <f>39.614809+24.423893</f>
        <v>64.038702000000001</v>
      </c>
      <c r="Q18" s="76" t="s">
        <v>147</v>
      </c>
      <c r="R18" s="77" t="s">
        <v>148</v>
      </c>
      <c r="S18" s="32" t="s">
        <v>492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33" t="s">
        <v>331</v>
      </c>
      <c r="B19" s="59">
        <v>11.757</v>
      </c>
      <c r="C19" s="59">
        <v>11.654</v>
      </c>
      <c r="D19" s="59">
        <v>12.327999999999999</v>
      </c>
      <c r="E19" s="59">
        <v>13.198</v>
      </c>
      <c r="F19" s="59">
        <v>13.8</v>
      </c>
      <c r="G19" s="59">
        <v>13.8</v>
      </c>
      <c r="H19" s="59">
        <v>13.8</v>
      </c>
      <c r="I19" s="59">
        <v>14.275</v>
      </c>
      <c r="J19" s="59">
        <v>14.818026</v>
      </c>
      <c r="K19" s="118">
        <v>15.288914999999999</v>
      </c>
      <c r="L19" s="118">
        <v>13.241628</v>
      </c>
      <c r="M19" s="118">
        <v>16.276060000000001</v>
      </c>
      <c r="N19" s="118">
        <v>16.361999999999998</v>
      </c>
      <c r="O19" s="118">
        <v>14.361000000000001</v>
      </c>
      <c r="P19" s="475">
        <v>13.795999999999999</v>
      </c>
      <c r="Q19" s="76" t="s">
        <v>147</v>
      </c>
      <c r="R19" s="77" t="s">
        <v>148</v>
      </c>
      <c r="S19" s="32" t="s">
        <v>492</v>
      </c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33" t="s">
        <v>332</v>
      </c>
      <c r="B20" s="59">
        <v>376.57167600000002</v>
      </c>
      <c r="C20" s="59">
        <v>395.14067599999998</v>
      </c>
      <c r="D20" s="59">
        <v>387.512</v>
      </c>
      <c r="E20" s="59">
        <v>396.81784299999998</v>
      </c>
      <c r="F20" s="59">
        <v>398.69275099999999</v>
      </c>
      <c r="G20" s="59">
        <v>399.02341200000001</v>
      </c>
      <c r="H20" s="59">
        <v>436.63200000000001</v>
      </c>
      <c r="I20" s="59">
        <v>436.69137799999999</v>
      </c>
      <c r="J20" s="59">
        <v>464.118154</v>
      </c>
      <c r="K20" s="118">
        <v>459.12887899999998</v>
      </c>
      <c r="L20" s="118">
        <v>430</v>
      </c>
      <c r="M20" s="118">
        <v>453.44600000000003</v>
      </c>
      <c r="N20" s="118">
        <v>456.32968699999998</v>
      </c>
      <c r="O20" s="118">
        <v>389.02629899999999</v>
      </c>
      <c r="P20" s="475">
        <v>381.23482999999999</v>
      </c>
      <c r="Q20" s="76" t="s">
        <v>147</v>
      </c>
      <c r="R20" s="77" t="s">
        <v>148</v>
      </c>
      <c r="S20" s="32" t="s">
        <v>492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33" t="s">
        <v>333</v>
      </c>
      <c r="B21" s="59">
        <v>60.013399999999997</v>
      </c>
      <c r="C21" s="59">
        <v>63.1738</v>
      </c>
      <c r="D21" s="59">
        <v>67.474000000000004</v>
      </c>
      <c r="E21" s="59">
        <v>71.114999999999995</v>
      </c>
      <c r="F21" s="59">
        <v>75.833299999999994</v>
      </c>
      <c r="G21" s="59">
        <v>76.361999999999995</v>
      </c>
      <c r="H21" s="59">
        <v>78.165000000000006</v>
      </c>
      <c r="I21" s="59">
        <v>80.373999999999995</v>
      </c>
      <c r="J21" s="59">
        <v>81.997600000000006</v>
      </c>
      <c r="K21" s="118">
        <v>82.471699999999998</v>
      </c>
      <c r="L21" s="118">
        <v>79.133602999999994</v>
      </c>
      <c r="M21" s="118">
        <v>80.704999999999998</v>
      </c>
      <c r="N21" s="118">
        <v>81.637</v>
      </c>
      <c r="O21" s="118">
        <v>77.872</v>
      </c>
      <c r="P21" s="475">
        <v>75.537206999999995</v>
      </c>
      <c r="Q21" s="76" t="s">
        <v>147</v>
      </c>
      <c r="R21" s="77" t="s">
        <v>148</v>
      </c>
      <c r="S21" s="32" t="s">
        <v>492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33" t="s">
        <v>334</v>
      </c>
      <c r="B22" s="59">
        <v>32.192279999999997</v>
      </c>
      <c r="C22" s="59">
        <v>31.649823000000001</v>
      </c>
      <c r="D22" s="59">
        <v>31.059000000000001</v>
      </c>
      <c r="E22" s="59">
        <v>33.062390000000001</v>
      </c>
      <c r="F22" s="59">
        <v>35.059539999999998</v>
      </c>
      <c r="G22" s="59">
        <v>35.258505</v>
      </c>
      <c r="H22" s="59">
        <v>35.95673</v>
      </c>
      <c r="I22" s="59">
        <v>36.20091</v>
      </c>
      <c r="J22" s="59">
        <v>34.244962000000001</v>
      </c>
      <c r="K22" s="118">
        <v>34.353377000000002</v>
      </c>
      <c r="L22" s="118">
        <v>33.110844</v>
      </c>
      <c r="M22" s="118">
        <v>34.651024</v>
      </c>
      <c r="N22" s="118">
        <v>33.322828000000001</v>
      </c>
      <c r="O22" s="118">
        <v>31.394901000000001</v>
      </c>
      <c r="P22" s="475">
        <v>32.999699999999997</v>
      </c>
      <c r="Q22" s="76" t="s">
        <v>147</v>
      </c>
      <c r="R22" s="77" t="s">
        <v>148</v>
      </c>
      <c r="S22" s="32" t="s">
        <v>492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33" t="s">
        <v>335</v>
      </c>
      <c r="B23" s="59">
        <f t="shared" ref="B23:N23" si="0">+B18*1.38</f>
        <v>55.802612879999991</v>
      </c>
      <c r="C23" s="59">
        <f t="shared" si="0"/>
        <v>55.802612879999991</v>
      </c>
      <c r="D23" s="59">
        <f t="shared" si="0"/>
        <v>55.801679999999998</v>
      </c>
      <c r="E23" s="59">
        <f t="shared" si="0"/>
        <v>57.795563339999994</v>
      </c>
      <c r="F23" s="59">
        <f t="shared" si="0"/>
        <v>57.795563339999994</v>
      </c>
      <c r="G23" s="59">
        <f t="shared" si="0"/>
        <v>61.196099999999994</v>
      </c>
      <c r="H23" s="59">
        <f t="shared" si="0"/>
        <v>85.775279999999995</v>
      </c>
      <c r="I23" s="59">
        <f t="shared" si="0"/>
        <v>88.830600000000004</v>
      </c>
      <c r="J23" s="59">
        <f t="shared" si="0"/>
        <v>98.819815559999995</v>
      </c>
      <c r="K23" s="59">
        <f t="shared" si="0"/>
        <v>98.569164779999994</v>
      </c>
      <c r="L23" s="59">
        <f t="shared" si="0"/>
        <v>83.524996799999997</v>
      </c>
      <c r="M23" s="59">
        <f t="shared" si="0"/>
        <v>98.132545199999996</v>
      </c>
      <c r="N23" s="59">
        <f t="shared" si="0"/>
        <v>99.869219999999999</v>
      </c>
      <c r="O23" s="59">
        <f t="shared" ref="O23:P23" si="1">+O18*1.38</f>
        <v>91.11587999999999</v>
      </c>
      <c r="P23" s="59">
        <f t="shared" si="1"/>
        <v>88.37340875999999</v>
      </c>
      <c r="Q23" s="33" t="s">
        <v>100</v>
      </c>
      <c r="R23" s="33"/>
      <c r="S23" s="32" t="s">
        <v>492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33" t="s">
        <v>336</v>
      </c>
      <c r="B24" s="59">
        <f t="shared" ref="B24:N24" si="2">+B19*1.48</f>
        <v>17.400359999999999</v>
      </c>
      <c r="C24" s="59">
        <f t="shared" si="2"/>
        <v>17.247920000000001</v>
      </c>
      <c r="D24" s="59">
        <f t="shared" si="2"/>
        <v>18.245439999999999</v>
      </c>
      <c r="E24" s="59">
        <f t="shared" si="2"/>
        <v>19.53304</v>
      </c>
      <c r="F24" s="59">
        <f t="shared" si="2"/>
        <v>20.423999999999999</v>
      </c>
      <c r="G24" s="59">
        <f t="shared" si="2"/>
        <v>20.423999999999999</v>
      </c>
      <c r="H24" s="59">
        <f t="shared" si="2"/>
        <v>20.423999999999999</v>
      </c>
      <c r="I24" s="59">
        <f t="shared" si="2"/>
        <v>21.126999999999999</v>
      </c>
      <c r="J24" s="59">
        <f t="shared" si="2"/>
        <v>21.930678480000001</v>
      </c>
      <c r="K24" s="59">
        <f t="shared" si="2"/>
        <v>22.627594199999997</v>
      </c>
      <c r="L24" s="59">
        <f t="shared" si="2"/>
        <v>19.597609439999999</v>
      </c>
      <c r="M24" s="59">
        <f t="shared" si="2"/>
        <v>24.088568800000001</v>
      </c>
      <c r="N24" s="59">
        <f t="shared" si="2"/>
        <v>24.215759999999996</v>
      </c>
      <c r="O24" s="59">
        <f t="shared" ref="O24:P24" si="3">+O19*1.48</f>
        <v>21.254280000000001</v>
      </c>
      <c r="P24" s="59">
        <f t="shared" si="3"/>
        <v>20.41808</v>
      </c>
      <c r="Q24" s="33" t="s">
        <v>100</v>
      </c>
      <c r="R24" s="33"/>
      <c r="S24" s="32" t="s">
        <v>492</v>
      </c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33" t="s">
        <v>337</v>
      </c>
      <c r="B25" s="39">
        <f t="shared" ref="B25:N25" si="4">+B20*1.43</f>
        <v>538.49749668000004</v>
      </c>
      <c r="C25" s="39">
        <f t="shared" si="4"/>
        <v>565.05116667999994</v>
      </c>
      <c r="D25" s="39">
        <f t="shared" si="4"/>
        <v>554.14215999999999</v>
      </c>
      <c r="E25" s="39">
        <f t="shared" si="4"/>
        <v>567.44951548999995</v>
      </c>
      <c r="F25" s="39">
        <f t="shared" si="4"/>
        <v>570.13063392999993</v>
      </c>
      <c r="G25" s="39">
        <f t="shared" si="4"/>
        <v>570.60347916000001</v>
      </c>
      <c r="H25" s="39">
        <f t="shared" si="4"/>
        <v>624.38375999999994</v>
      </c>
      <c r="I25" s="39">
        <f t="shared" si="4"/>
        <v>624.46867053999995</v>
      </c>
      <c r="J25" s="39">
        <f t="shared" si="4"/>
        <v>663.68896022000001</v>
      </c>
      <c r="K25" s="39">
        <f t="shared" si="4"/>
        <v>656.55429697</v>
      </c>
      <c r="L25" s="39">
        <f t="shared" si="4"/>
        <v>614.9</v>
      </c>
      <c r="M25" s="39">
        <f t="shared" si="4"/>
        <v>648.42777999999998</v>
      </c>
      <c r="N25" s="39">
        <f t="shared" si="4"/>
        <v>652.55145240999991</v>
      </c>
      <c r="O25" s="39">
        <f t="shared" ref="O25:P25" si="5">+O20*1.43</f>
        <v>556.30760756999996</v>
      </c>
      <c r="P25" s="39">
        <f t="shared" si="5"/>
        <v>545.16580690000001</v>
      </c>
      <c r="Q25" s="33" t="s">
        <v>100</v>
      </c>
      <c r="R25" s="33"/>
      <c r="S25" s="32" t="s">
        <v>492</v>
      </c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33" t="s">
        <v>338</v>
      </c>
      <c r="B26" s="39">
        <f t="shared" ref="B26:N26" si="6">+B21*1.82</f>
        <v>109.224388</v>
      </c>
      <c r="C26" s="39">
        <f t="shared" si="6"/>
        <v>114.976316</v>
      </c>
      <c r="D26" s="39">
        <f t="shared" si="6"/>
        <v>122.80268000000001</v>
      </c>
      <c r="E26" s="39">
        <f t="shared" si="6"/>
        <v>129.42929999999998</v>
      </c>
      <c r="F26" s="39">
        <f t="shared" si="6"/>
        <v>138.016606</v>
      </c>
      <c r="G26" s="39">
        <f t="shared" si="6"/>
        <v>138.97883999999999</v>
      </c>
      <c r="H26" s="39">
        <f t="shared" si="6"/>
        <v>142.26030000000003</v>
      </c>
      <c r="I26" s="39">
        <f t="shared" si="6"/>
        <v>146.28067999999999</v>
      </c>
      <c r="J26" s="39">
        <f t="shared" si="6"/>
        <v>149.23563200000001</v>
      </c>
      <c r="K26" s="39">
        <f t="shared" si="6"/>
        <v>150.09849400000002</v>
      </c>
      <c r="L26" s="39">
        <f t="shared" si="6"/>
        <v>144.02315745999999</v>
      </c>
      <c r="M26" s="39">
        <f t="shared" si="6"/>
        <v>146.88310000000001</v>
      </c>
      <c r="N26" s="39">
        <f t="shared" si="6"/>
        <v>148.57934</v>
      </c>
      <c r="O26" s="39">
        <f t="shared" ref="O26:P26" si="7">+O21*1.82</f>
        <v>141.72704000000002</v>
      </c>
      <c r="P26" s="39">
        <f t="shared" si="7"/>
        <v>137.47771674000001</v>
      </c>
      <c r="Q26" s="33" t="s">
        <v>100</v>
      </c>
      <c r="R26" s="33"/>
      <c r="S26" s="32" t="s">
        <v>492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33" t="s">
        <v>339</v>
      </c>
      <c r="B27" s="39">
        <f t="shared" ref="B27:N27" si="8">+B22*1.3</f>
        <v>41.849964</v>
      </c>
      <c r="C27" s="39">
        <f t="shared" si="8"/>
        <v>41.1447699</v>
      </c>
      <c r="D27" s="39">
        <f t="shared" si="8"/>
        <v>40.3767</v>
      </c>
      <c r="E27" s="39">
        <f t="shared" si="8"/>
        <v>42.981107000000002</v>
      </c>
      <c r="F27" s="39">
        <f t="shared" si="8"/>
        <v>45.577401999999999</v>
      </c>
      <c r="G27" s="39">
        <f t="shared" si="8"/>
        <v>45.836056499999998</v>
      </c>
      <c r="H27" s="39">
        <f t="shared" si="8"/>
        <v>46.743749000000001</v>
      </c>
      <c r="I27" s="39">
        <f t="shared" si="8"/>
        <v>47.061183</v>
      </c>
      <c r="J27" s="39">
        <f t="shared" si="8"/>
        <v>44.518450600000001</v>
      </c>
      <c r="K27" s="39">
        <f t="shared" si="8"/>
        <v>44.659390100000003</v>
      </c>
      <c r="L27" s="39">
        <f t="shared" si="8"/>
        <v>43.044097200000003</v>
      </c>
      <c r="M27" s="39">
        <f t="shared" si="8"/>
        <v>45.046331200000004</v>
      </c>
      <c r="N27" s="39">
        <f t="shared" si="8"/>
        <v>43.319676400000006</v>
      </c>
      <c r="O27" s="39">
        <f t="shared" ref="O27:P27" si="9">+O22*1.3</f>
        <v>40.8133713</v>
      </c>
      <c r="P27" s="39">
        <f t="shared" si="9"/>
        <v>42.899609999999996</v>
      </c>
      <c r="Q27" s="33" t="s">
        <v>100</v>
      </c>
      <c r="R27" s="33"/>
      <c r="S27" s="32" t="s">
        <v>492</v>
      </c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33" t="s">
        <v>340</v>
      </c>
      <c r="B28" s="118">
        <v>50.905938999999996</v>
      </c>
      <c r="C28" s="118">
        <v>51.114621999999997</v>
      </c>
      <c r="D28" s="118">
        <v>50.200530000000001</v>
      </c>
      <c r="E28" s="118">
        <v>49.055100000000003</v>
      </c>
      <c r="F28" s="118">
        <v>50.106639999999999</v>
      </c>
      <c r="G28" s="118">
        <v>49.368209999999998</v>
      </c>
      <c r="H28" s="118">
        <v>49.53443</v>
      </c>
      <c r="I28" s="118">
        <v>49.247515999999997</v>
      </c>
      <c r="J28" s="118">
        <v>53.233455999999997</v>
      </c>
      <c r="K28" s="118">
        <v>52.061998000000003</v>
      </c>
      <c r="L28" s="118">
        <v>45.363115999999998</v>
      </c>
      <c r="M28" s="118">
        <v>44.521000000000001</v>
      </c>
      <c r="N28" s="118">
        <v>42.728673000000001</v>
      </c>
      <c r="O28" s="118">
        <v>38.414999999999999</v>
      </c>
      <c r="P28" s="475">
        <v>36.851080000000003</v>
      </c>
      <c r="Q28" s="76" t="s">
        <v>147</v>
      </c>
      <c r="R28" s="77" t="s">
        <v>148</v>
      </c>
      <c r="S28" s="32" t="s">
        <v>492</v>
      </c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33" t="s">
        <v>341</v>
      </c>
      <c r="B29" s="59">
        <v>75.772845000000004</v>
      </c>
      <c r="C29" s="59">
        <v>76.430822000000006</v>
      </c>
      <c r="D29" s="59">
        <v>74.492000000000004</v>
      </c>
      <c r="E29" s="59">
        <v>71.732298</v>
      </c>
      <c r="F29" s="59">
        <v>73.093000000000004</v>
      </c>
      <c r="G29" s="59">
        <v>72.397000000000006</v>
      </c>
      <c r="H29" s="59">
        <v>71.902238999999994</v>
      </c>
      <c r="I29" s="59">
        <v>72.044539</v>
      </c>
      <c r="J29" s="59">
        <v>70.891067000000007</v>
      </c>
      <c r="K29" s="118">
        <v>68.156809999999993</v>
      </c>
      <c r="L29" s="118">
        <v>66</v>
      </c>
      <c r="M29" s="118">
        <v>67</v>
      </c>
      <c r="N29" s="118">
        <v>65.507164000000003</v>
      </c>
      <c r="O29" s="118">
        <v>60.674376000000002</v>
      </c>
      <c r="P29" s="475">
        <v>62.457999999999998</v>
      </c>
      <c r="Q29" s="76" t="s">
        <v>147</v>
      </c>
      <c r="R29" s="77" t="s">
        <v>148</v>
      </c>
      <c r="S29" s="32" t="s">
        <v>492</v>
      </c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33" t="s">
        <v>342</v>
      </c>
      <c r="B30" s="34"/>
      <c r="C30" s="34"/>
      <c r="D30" s="65">
        <v>3.4740000000000002</v>
      </c>
      <c r="E30" s="65">
        <v>4.7039999999999997</v>
      </c>
      <c r="F30" s="65">
        <v>5.9470000000000001</v>
      </c>
      <c r="G30" s="65">
        <v>6.5170000000000003</v>
      </c>
      <c r="H30" s="65">
        <v>6.3929999999999998</v>
      </c>
      <c r="I30" s="65">
        <v>6.9</v>
      </c>
      <c r="J30" s="75">
        <v>7.4683609999999998</v>
      </c>
      <c r="K30" s="75">
        <v>8.5927129999999998</v>
      </c>
      <c r="L30" s="75">
        <v>8.5239429999999992</v>
      </c>
      <c r="M30" s="75">
        <v>8.5601839999999996</v>
      </c>
      <c r="N30" s="75">
        <v>8.6555839999999993</v>
      </c>
      <c r="O30" s="75">
        <v>9.932283</v>
      </c>
      <c r="P30" s="476">
        <v>9.8275799999999993</v>
      </c>
      <c r="Q30" s="76" t="s">
        <v>147</v>
      </c>
      <c r="R30" s="77" t="s">
        <v>148</v>
      </c>
      <c r="S30" s="32" t="s">
        <v>492</v>
      </c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33" t="s">
        <v>343</v>
      </c>
      <c r="B31" s="59">
        <v>11.356007</v>
      </c>
      <c r="C31" s="59">
        <v>10.723896</v>
      </c>
      <c r="D31" s="59">
        <v>12.355233999999999</v>
      </c>
      <c r="E31" s="59">
        <v>14.633832999999999</v>
      </c>
      <c r="F31" s="59">
        <v>15.865266999999999</v>
      </c>
      <c r="G31" s="59">
        <v>16.311164999999999</v>
      </c>
      <c r="H31" s="59">
        <v>17.926493000000001</v>
      </c>
      <c r="I31" s="59">
        <v>19.292026</v>
      </c>
      <c r="J31" s="59">
        <v>21.400480999999999</v>
      </c>
      <c r="K31" s="59">
        <v>18.157966999999999</v>
      </c>
      <c r="L31" s="59">
        <v>21.380436</v>
      </c>
      <c r="M31" s="59">
        <v>33.545447000000003</v>
      </c>
      <c r="N31" s="59">
        <v>33.557363000000002</v>
      </c>
      <c r="O31" s="59">
        <v>22.496912999999999</v>
      </c>
      <c r="P31" s="475">
        <v>22.960341</v>
      </c>
      <c r="Q31" s="76" t="s">
        <v>534</v>
      </c>
      <c r="R31" s="77" t="s">
        <v>533</v>
      </c>
      <c r="S31" s="32" t="s">
        <v>492</v>
      </c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33" t="s">
        <v>344</v>
      </c>
      <c r="B32" s="47">
        <v>6.7966810000000004</v>
      </c>
      <c r="C32" s="47">
        <v>7.605531</v>
      </c>
      <c r="D32" s="47">
        <v>7.6208080000000002</v>
      </c>
      <c r="E32" s="47">
        <v>8.6954820000000002</v>
      </c>
      <c r="F32" s="47">
        <v>9.4852089999999993</v>
      </c>
      <c r="G32" s="47">
        <v>8.6861619999999995</v>
      </c>
      <c r="H32" s="47">
        <v>8.7720970000000005</v>
      </c>
      <c r="I32" s="47">
        <v>9.5422580000000004</v>
      </c>
      <c r="J32" s="47">
        <v>9.6164009999999998</v>
      </c>
      <c r="K32" s="47">
        <v>8.0736419999999995</v>
      </c>
      <c r="L32" s="47">
        <v>7.4136519999999999</v>
      </c>
      <c r="M32" s="47">
        <v>9.4070330000000002</v>
      </c>
      <c r="N32" s="47">
        <v>10.108790000000001</v>
      </c>
      <c r="O32" s="47">
        <v>9.1958140000000004</v>
      </c>
      <c r="P32" s="47">
        <v>9.3146789999999999</v>
      </c>
      <c r="Q32" s="32" t="s">
        <v>534</v>
      </c>
      <c r="R32" s="49" t="s">
        <v>533</v>
      </c>
      <c r="S32" s="32" t="s">
        <v>492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121"/>
      <c r="S34" s="120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478"/>
      <c r="P35" s="283"/>
      <c r="Q35" s="120"/>
      <c r="R35" s="121"/>
      <c r="S35" s="120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283"/>
      <c r="P36" s="283"/>
      <c r="Q36" s="120"/>
      <c r="R36" s="121"/>
      <c r="S36" s="120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283"/>
      <c r="P37" s="283"/>
      <c r="Q37" s="120"/>
      <c r="R37" s="121"/>
      <c r="S37" s="120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283"/>
      <c r="P38" s="283"/>
      <c r="Q38" s="120"/>
      <c r="R38" s="121"/>
      <c r="S38" s="120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119"/>
      <c r="O39" s="283"/>
      <c r="P39" s="283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9"/>
      <c r="C40" s="29"/>
      <c r="D40" s="29"/>
      <c r="E40" s="29"/>
      <c r="F40" s="29"/>
      <c r="G40" s="29"/>
      <c r="H40" s="29"/>
      <c r="I40" s="29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9"/>
      <c r="C41" s="29"/>
      <c r="D41" s="29"/>
      <c r="E41" s="29"/>
      <c r="F41" s="29"/>
      <c r="G41" s="29"/>
      <c r="H41" s="29"/>
      <c r="I41" s="29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19"/>
      <c r="O42" s="283"/>
      <c r="P42" s="283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83"/>
      <c r="P43" s="283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83"/>
      <c r="P44" s="283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83"/>
      <c r="P45" s="283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83"/>
      <c r="P46" s="283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83"/>
      <c r="P47" s="283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9"/>
      <c r="C56" s="29"/>
      <c r="D56" s="29"/>
      <c r="E56" s="29"/>
      <c r="F56" s="29"/>
      <c r="G56" s="29"/>
      <c r="H56" s="29"/>
      <c r="I56" s="29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9"/>
      <c r="C57" s="29"/>
      <c r="D57" s="29"/>
      <c r="E57" s="29"/>
      <c r="F57" s="29"/>
      <c r="G57" s="29"/>
      <c r="H57" s="29"/>
      <c r="I57" s="29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9"/>
      <c r="C58" s="29"/>
      <c r="D58" s="29"/>
      <c r="E58" s="29"/>
      <c r="F58" s="29"/>
      <c r="G58" s="29"/>
      <c r="H58" s="29"/>
      <c r="I58" s="29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9"/>
      <c r="C59" s="29"/>
      <c r="D59" s="29"/>
      <c r="E59" s="29"/>
      <c r="F59" s="29"/>
      <c r="G59" s="29"/>
      <c r="H59" s="29"/>
      <c r="I59" s="29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9"/>
      <c r="C60" s="29"/>
      <c r="D60" s="29"/>
      <c r="E60" s="29"/>
      <c r="F60" s="29"/>
      <c r="G60" s="29"/>
      <c r="H60" s="29"/>
      <c r="I60" s="29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9"/>
      <c r="C61" s="29"/>
      <c r="D61" s="29"/>
      <c r="E61" s="29"/>
      <c r="F61" s="29"/>
      <c r="G61" s="29"/>
      <c r="H61" s="29"/>
      <c r="I61" s="29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9"/>
      <c r="C62" s="29"/>
      <c r="D62" s="29"/>
      <c r="E62" s="29"/>
      <c r="F62" s="29"/>
      <c r="G62" s="29"/>
      <c r="H62" s="29"/>
      <c r="I62" s="29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9"/>
      <c r="C63" s="29"/>
      <c r="D63" s="29"/>
      <c r="E63" s="29"/>
      <c r="F63" s="29"/>
      <c r="G63" s="29"/>
      <c r="H63" s="29"/>
      <c r="I63" s="29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9"/>
      <c r="C64" s="29"/>
      <c r="D64" s="29"/>
      <c r="E64" s="29"/>
      <c r="F64" s="29"/>
      <c r="G64" s="29"/>
      <c r="H64" s="29"/>
      <c r="I64" s="29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9"/>
      <c r="C65" s="29"/>
      <c r="D65" s="29"/>
      <c r="E65" s="29"/>
      <c r="F65" s="29"/>
      <c r="G65" s="29"/>
      <c r="H65" s="29"/>
      <c r="I65" s="29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9"/>
      <c r="C66" s="29"/>
      <c r="D66" s="29"/>
      <c r="E66" s="29"/>
      <c r="F66" s="29"/>
      <c r="G66" s="29"/>
      <c r="H66" s="29"/>
      <c r="I66" s="29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9"/>
      <c r="C67" s="29"/>
      <c r="D67" s="29"/>
      <c r="E67" s="29"/>
      <c r="F67" s="29"/>
      <c r="G67" s="29"/>
      <c r="H67" s="29"/>
      <c r="I67" s="29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</sheetData>
  <mergeCells count="1">
    <mergeCell ref="A1:A2"/>
  </mergeCells>
  <hyperlinks>
    <hyperlink ref="R4" r:id="rId1" xr:uid="{00000000-0004-0000-0E00-000000000000}"/>
    <hyperlink ref="R5" r:id="rId2" location="eyJhcHBpZCI6MTUwLCJzdGVwcyI6WzEsMiwzXSwiZGF0YSI6W1siY2F0ZWdvcmllcyIsIkdkcHhJbmQiXSxbIlRhYmxlX0xpc3QiLCIxNSJdXX0=" xr:uid="{00000000-0004-0000-0E00-000001000000}"/>
    <hyperlink ref="R6" r:id="rId3" xr:uid="{00000000-0004-0000-0E00-000002000000}"/>
    <hyperlink ref="R7" r:id="rId4" xr:uid="{00000000-0004-0000-0E00-000003000000}"/>
    <hyperlink ref="R8" r:id="rId5" xr:uid="{00000000-0004-0000-0E00-000006000000}"/>
    <hyperlink ref="R11" r:id="rId6" xr:uid="{00000000-0004-0000-0E00-000007000000}"/>
    <hyperlink ref="R12" r:id="rId7" location="eyJhcHBpZCI6MTUwLCJzdGVwcyI6WzEsMiwzXSwiZGF0YSI6W1siY2F0ZWdvcmllcyIsIkdkcHhJbmQiXSxbIlRhYmxlX0xpc3QiLCIxNSJdXX0=" xr:uid="{00000000-0004-0000-0E00-000008000000}"/>
    <hyperlink ref="R13" r:id="rId8" xr:uid="{00000000-0004-0000-0E00-000009000000}"/>
    <hyperlink ref="R14" r:id="rId9" xr:uid="{00000000-0004-0000-0E00-00000A000000}"/>
    <hyperlink ref="R15" r:id="rId10" xr:uid="{00000000-0004-0000-0E00-00000D000000}"/>
    <hyperlink ref="R18" r:id="rId11" location="data/FO" xr:uid="{00000000-0004-0000-0E00-00000E000000}"/>
    <hyperlink ref="R19" r:id="rId12" location="data/FO" xr:uid="{00000000-0004-0000-0E00-00000F000000}"/>
    <hyperlink ref="R20" r:id="rId13" location="data/FO" xr:uid="{00000000-0004-0000-0E00-000010000000}"/>
    <hyperlink ref="R21" r:id="rId14" location="data/FO" xr:uid="{00000000-0004-0000-0E00-000011000000}"/>
    <hyperlink ref="R22" r:id="rId15" location="data/FO" xr:uid="{00000000-0004-0000-0E00-000012000000}"/>
    <hyperlink ref="R28" r:id="rId16" location="data/FO" xr:uid="{00000000-0004-0000-0E00-000013000000}"/>
    <hyperlink ref="R29" r:id="rId17" location="data/FO" xr:uid="{00000000-0004-0000-0E00-000014000000}"/>
    <hyperlink ref="R30" r:id="rId18" location="data/FO" xr:uid="{00000000-0004-0000-0E00-000015000000}"/>
  </hyperlinks>
  <pageMargins left="0.7" right="0.7" top="0.75" bottom="0.75" header="0" footer="0"/>
  <pageSetup orientation="portrait"/>
  <drawing r:id="rId19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</sheetPr>
  <dimension ref="A1:R998"/>
  <sheetViews>
    <sheetView zoomScale="85" zoomScaleNormal="85" workbookViewId="0">
      <pane xSplit="1" topLeftCell="B1" activePane="topRight" state="frozen"/>
      <selection pane="topRight" activeCell="S20" sqref="S20"/>
    </sheetView>
  </sheetViews>
  <sheetFormatPr defaultColWidth="14.42578125" defaultRowHeight="15" customHeight="1"/>
  <cols>
    <col min="1" max="1" width="37.5703125" customWidth="1"/>
    <col min="2" max="5" width="8.7109375" customWidth="1"/>
    <col min="6" max="6" width="10.28515625" customWidth="1"/>
    <col min="7" max="15" width="8.7109375" customWidth="1"/>
    <col min="16" max="16" width="13.7109375" customWidth="1"/>
    <col min="17" max="17" width="60.140625" customWidth="1"/>
    <col min="18" max="18" width="25.42578125" customWidth="1"/>
    <col min="19" max="19" width="20" customWidth="1"/>
    <col min="20" max="28" width="8.7109375" customWidth="1"/>
  </cols>
  <sheetData>
    <row r="1" spans="1:18">
      <c r="A1" s="644" t="s">
        <v>345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>
      <c r="A2" s="640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>
      <c r="A3" s="122" t="s">
        <v>346</v>
      </c>
      <c r="B3" s="123">
        <v>2010</v>
      </c>
      <c r="C3" s="123">
        <v>2011</v>
      </c>
      <c r="D3" s="123">
        <v>2012</v>
      </c>
      <c r="E3" s="123">
        <v>2013</v>
      </c>
      <c r="F3" s="123">
        <v>2014</v>
      </c>
      <c r="G3" s="123">
        <v>2015</v>
      </c>
      <c r="H3" s="123">
        <v>2016</v>
      </c>
      <c r="I3" s="123">
        <v>2017</v>
      </c>
      <c r="J3" s="123">
        <v>2018</v>
      </c>
      <c r="K3" s="123">
        <v>2019</v>
      </c>
      <c r="L3" s="123">
        <v>2020</v>
      </c>
      <c r="M3" s="123">
        <v>2021</v>
      </c>
      <c r="N3" s="123">
        <v>2022</v>
      </c>
      <c r="O3" s="123">
        <v>2023</v>
      </c>
      <c r="P3" s="124" t="s">
        <v>20</v>
      </c>
      <c r="Q3" s="124" t="s">
        <v>21</v>
      </c>
      <c r="R3" s="124" t="s">
        <v>22</v>
      </c>
    </row>
    <row r="4" spans="1:18">
      <c r="A4" s="125" t="s">
        <v>347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28"/>
      <c r="Q4" s="28"/>
      <c r="R4" s="28"/>
    </row>
    <row r="5" spans="1:18">
      <c r="A5" s="31" t="s">
        <v>2</v>
      </c>
      <c r="B5" s="31">
        <v>269</v>
      </c>
      <c r="C5" s="31">
        <v>143</v>
      </c>
      <c r="D5" s="31">
        <v>147</v>
      </c>
      <c r="E5" s="31">
        <v>150</v>
      </c>
      <c r="F5" s="31">
        <v>165</v>
      </c>
      <c r="G5" s="31">
        <v>151</v>
      </c>
      <c r="H5" s="31">
        <v>107</v>
      </c>
      <c r="I5" s="31">
        <v>132</v>
      </c>
      <c r="J5" s="31">
        <v>133</v>
      </c>
      <c r="K5" s="31">
        <v>141</v>
      </c>
      <c r="L5" s="31">
        <v>104</v>
      </c>
      <c r="M5" s="31">
        <v>118</v>
      </c>
      <c r="N5" s="31">
        <v>42</v>
      </c>
      <c r="O5" s="31">
        <v>48</v>
      </c>
      <c r="P5" s="31" t="s">
        <v>49</v>
      </c>
      <c r="Q5" s="78" t="s">
        <v>348</v>
      </c>
      <c r="R5" s="32" t="s">
        <v>474</v>
      </c>
    </row>
    <row r="6" spans="1:18">
      <c r="A6" s="31" t="s">
        <v>349</v>
      </c>
      <c r="B6" s="31">
        <v>99</v>
      </c>
      <c r="C6" s="31">
        <v>52</v>
      </c>
      <c r="D6" s="31">
        <v>50</v>
      </c>
      <c r="E6" s="31">
        <v>45</v>
      </c>
      <c r="F6" s="31">
        <v>49</v>
      </c>
      <c r="G6" s="31">
        <v>23</v>
      </c>
      <c r="H6" s="31">
        <v>16</v>
      </c>
      <c r="I6" s="31">
        <v>21</v>
      </c>
      <c r="J6" s="31">
        <v>23</v>
      </c>
      <c r="K6" s="31">
        <v>29</v>
      </c>
      <c r="L6" s="31">
        <v>11</v>
      </c>
      <c r="M6" s="31">
        <v>6</v>
      </c>
      <c r="N6" s="31">
        <v>3</v>
      </c>
      <c r="O6" s="31">
        <v>6</v>
      </c>
      <c r="P6" s="31" t="s">
        <v>49</v>
      </c>
      <c r="Q6" s="78" t="s">
        <v>348</v>
      </c>
      <c r="R6" s="32" t="s">
        <v>474</v>
      </c>
    </row>
    <row r="7" spans="1:18">
      <c r="A7" s="31" t="s">
        <v>350</v>
      </c>
      <c r="B7" s="31">
        <v>2</v>
      </c>
      <c r="C7" s="31">
        <v>1</v>
      </c>
      <c r="D7" s="31">
        <v>2</v>
      </c>
      <c r="E7" s="31">
        <v>0</v>
      </c>
      <c r="F7" s="31">
        <v>1</v>
      </c>
      <c r="G7" s="31">
        <v>0</v>
      </c>
      <c r="H7" s="31">
        <v>0</v>
      </c>
      <c r="I7" s="31">
        <v>2</v>
      </c>
      <c r="J7" s="31">
        <v>0</v>
      </c>
      <c r="K7" s="31">
        <v>3</v>
      </c>
      <c r="L7" s="31">
        <v>0</v>
      </c>
      <c r="M7" s="31">
        <v>4</v>
      </c>
      <c r="N7" s="31">
        <v>2</v>
      </c>
      <c r="O7" s="31">
        <v>0</v>
      </c>
      <c r="P7" s="31" t="s">
        <v>49</v>
      </c>
      <c r="Q7" s="78" t="s">
        <v>348</v>
      </c>
      <c r="R7" s="32" t="s">
        <v>474</v>
      </c>
    </row>
    <row r="8" spans="1:18">
      <c r="A8" s="31" t="s">
        <v>479</v>
      </c>
      <c r="B8" s="31">
        <v>1</v>
      </c>
      <c r="C8" s="31">
        <v>14</v>
      </c>
      <c r="D8" s="31">
        <v>22</v>
      </c>
      <c r="E8" s="31">
        <v>14</v>
      </c>
      <c r="F8" s="31">
        <v>18</v>
      </c>
      <c r="G8" s="31">
        <v>17</v>
      </c>
      <c r="H8" s="31">
        <v>16</v>
      </c>
      <c r="I8" s="31">
        <v>21</v>
      </c>
      <c r="J8" s="31">
        <v>14</v>
      </c>
      <c r="K8" s="31">
        <v>14</v>
      </c>
      <c r="L8" s="31">
        <v>11</v>
      </c>
      <c r="M8" s="31">
        <v>5</v>
      </c>
      <c r="N8" s="31">
        <v>6</v>
      </c>
      <c r="O8" s="31">
        <v>5</v>
      </c>
      <c r="P8" s="31" t="s">
        <v>49</v>
      </c>
      <c r="Q8" s="178" t="s">
        <v>348</v>
      </c>
      <c r="R8" s="32" t="s">
        <v>474</v>
      </c>
    </row>
    <row r="9" spans="1:18">
      <c r="A9" s="31" t="s">
        <v>352</v>
      </c>
      <c r="B9" s="31">
        <v>0</v>
      </c>
      <c r="C9" s="31">
        <v>1</v>
      </c>
      <c r="D9" s="31">
        <v>1</v>
      </c>
      <c r="E9" s="31">
        <v>0</v>
      </c>
      <c r="F9" s="31">
        <v>1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 t="s">
        <v>49</v>
      </c>
      <c r="Q9" s="78" t="s">
        <v>348</v>
      </c>
      <c r="R9" s="32" t="s">
        <v>474</v>
      </c>
    </row>
    <row r="10" spans="1:18">
      <c r="A10" s="31" t="s">
        <v>353</v>
      </c>
      <c r="B10" s="31">
        <v>1</v>
      </c>
      <c r="C10" s="31">
        <v>3</v>
      </c>
      <c r="D10" s="31">
        <v>4</v>
      </c>
      <c r="E10" s="31">
        <v>4</v>
      </c>
      <c r="F10" s="31">
        <v>3</v>
      </c>
      <c r="G10" s="31">
        <v>0</v>
      </c>
      <c r="H10" s="31">
        <v>3</v>
      </c>
      <c r="I10" s="31">
        <v>0</v>
      </c>
      <c r="J10" s="31">
        <v>0</v>
      </c>
      <c r="K10" s="31">
        <v>3</v>
      </c>
      <c r="L10" s="31">
        <v>0</v>
      </c>
      <c r="M10" s="31">
        <v>0</v>
      </c>
      <c r="N10" s="31">
        <v>0</v>
      </c>
      <c r="O10" s="31">
        <v>0</v>
      </c>
      <c r="P10" s="31" t="s">
        <v>49</v>
      </c>
      <c r="Q10" s="78" t="s">
        <v>348</v>
      </c>
      <c r="R10" s="32" t="s">
        <v>474</v>
      </c>
    </row>
    <row r="11" spans="1:18">
      <c r="A11" s="31" t="s">
        <v>354</v>
      </c>
      <c r="B11" s="31">
        <v>7</v>
      </c>
      <c r="C11" s="31">
        <v>4</v>
      </c>
      <c r="D11" s="31">
        <v>5</v>
      </c>
      <c r="E11" s="31">
        <v>6</v>
      </c>
      <c r="F11" s="31">
        <v>4</v>
      </c>
      <c r="G11" s="31">
        <v>2</v>
      </c>
      <c r="H11" s="31">
        <v>4</v>
      </c>
      <c r="I11" s="31">
        <v>6</v>
      </c>
      <c r="J11" s="31">
        <v>5</v>
      </c>
      <c r="K11" s="31">
        <v>3</v>
      </c>
      <c r="L11" s="31">
        <v>4</v>
      </c>
      <c r="M11" s="31">
        <v>0</v>
      </c>
      <c r="N11" s="31">
        <v>0</v>
      </c>
      <c r="O11" s="31">
        <v>0</v>
      </c>
      <c r="P11" s="31" t="s">
        <v>49</v>
      </c>
      <c r="Q11" s="78" t="s">
        <v>348</v>
      </c>
      <c r="R11" s="32" t="s">
        <v>474</v>
      </c>
    </row>
    <row r="12" spans="1:18">
      <c r="A12" s="31" t="s">
        <v>355</v>
      </c>
      <c r="B12" s="31">
        <v>5</v>
      </c>
      <c r="C12" s="31">
        <v>3</v>
      </c>
      <c r="D12" s="31">
        <v>4</v>
      </c>
      <c r="E12" s="31">
        <v>3</v>
      </c>
      <c r="F12" s="31">
        <v>4</v>
      </c>
      <c r="G12" s="31">
        <v>2</v>
      </c>
      <c r="H12" s="31">
        <v>1</v>
      </c>
      <c r="I12" s="31">
        <v>3</v>
      </c>
      <c r="J12" s="31">
        <v>2</v>
      </c>
      <c r="K12" s="31">
        <v>4</v>
      </c>
      <c r="L12" s="31">
        <v>3</v>
      </c>
      <c r="M12" s="31">
        <v>3</v>
      </c>
      <c r="N12" s="31">
        <v>1</v>
      </c>
      <c r="O12" s="31">
        <v>1</v>
      </c>
      <c r="P12" s="31" t="s">
        <v>49</v>
      </c>
      <c r="Q12" s="78" t="s">
        <v>348</v>
      </c>
      <c r="R12" s="32" t="s">
        <v>474</v>
      </c>
    </row>
    <row r="13" spans="1:18">
      <c r="A13" s="31" t="s">
        <v>9</v>
      </c>
      <c r="B13" s="31">
        <v>27</v>
      </c>
      <c r="C13" s="31">
        <v>23</v>
      </c>
      <c r="D13" s="31">
        <v>15</v>
      </c>
      <c r="E13" s="31">
        <v>16</v>
      </c>
      <c r="F13" s="31">
        <v>23</v>
      </c>
      <c r="G13" s="31">
        <v>13</v>
      </c>
      <c r="H13" s="31">
        <v>19</v>
      </c>
      <c r="I13" s="31">
        <v>16</v>
      </c>
      <c r="J13" s="31">
        <v>12</v>
      </c>
      <c r="K13" s="31">
        <v>20</v>
      </c>
      <c r="L13" s="31">
        <v>15</v>
      </c>
      <c r="M13" s="31">
        <v>9</v>
      </c>
      <c r="N13" s="31">
        <v>9</v>
      </c>
      <c r="O13" s="31">
        <v>12</v>
      </c>
      <c r="P13" s="31" t="s">
        <v>49</v>
      </c>
      <c r="Q13" s="78" t="s">
        <v>348</v>
      </c>
      <c r="R13" s="32" t="s">
        <v>474</v>
      </c>
    </row>
    <row r="14" spans="1:18">
      <c r="A14" s="31" t="s">
        <v>356</v>
      </c>
      <c r="B14" s="31">
        <v>68</v>
      </c>
      <c r="C14" s="31">
        <v>54</v>
      </c>
      <c r="D14" s="31">
        <v>36</v>
      </c>
      <c r="E14" s="31">
        <v>37</v>
      </c>
      <c r="F14" s="31">
        <v>53</v>
      </c>
      <c r="G14" s="31">
        <v>33</v>
      </c>
      <c r="H14" s="31">
        <v>32</v>
      </c>
      <c r="I14" s="31">
        <v>42</v>
      </c>
      <c r="J14" s="31">
        <v>37</v>
      </c>
      <c r="K14" s="31">
        <v>42</v>
      </c>
      <c r="L14" s="31">
        <v>27</v>
      </c>
      <c r="M14" s="31">
        <v>18</v>
      </c>
      <c r="N14" s="31">
        <v>15</v>
      </c>
      <c r="O14" s="31">
        <v>22</v>
      </c>
      <c r="P14" s="31" t="s">
        <v>49</v>
      </c>
      <c r="Q14" s="78" t="s">
        <v>348</v>
      </c>
      <c r="R14" s="32" t="s">
        <v>474</v>
      </c>
    </row>
    <row r="15" spans="1:18">
      <c r="A15" s="31" t="s">
        <v>13</v>
      </c>
      <c r="B15" s="31">
        <v>11</v>
      </c>
      <c r="C15" s="31">
        <v>5</v>
      </c>
      <c r="D15" s="31">
        <v>7</v>
      </c>
      <c r="E15" s="31">
        <v>5</v>
      </c>
      <c r="F15" s="31">
        <v>6</v>
      </c>
      <c r="G15" s="31">
        <v>3</v>
      </c>
      <c r="H15" s="31">
        <v>8</v>
      </c>
      <c r="I15" s="31">
        <v>5</v>
      </c>
      <c r="J15" s="31">
        <v>8</v>
      </c>
      <c r="K15" s="31">
        <v>10</v>
      </c>
      <c r="L15" s="31">
        <v>4</v>
      </c>
      <c r="M15" s="31">
        <v>5</v>
      </c>
      <c r="N15" s="31">
        <v>8</v>
      </c>
      <c r="O15" s="31">
        <v>8</v>
      </c>
      <c r="P15" s="31" t="s">
        <v>49</v>
      </c>
      <c r="Q15" s="78" t="s">
        <v>348</v>
      </c>
      <c r="R15" s="32" t="s">
        <v>474</v>
      </c>
    </row>
    <row r="16" spans="1:18">
      <c r="A16" s="31" t="s">
        <v>357</v>
      </c>
      <c r="B16" s="31">
        <v>14</v>
      </c>
      <c r="C16" s="31">
        <v>16</v>
      </c>
      <c r="D16" s="31">
        <v>10</v>
      </c>
      <c r="E16" s="31">
        <v>10</v>
      </c>
      <c r="F16" s="31">
        <v>13</v>
      </c>
      <c r="G16" s="31">
        <v>5</v>
      </c>
      <c r="H16" s="31">
        <v>6</v>
      </c>
      <c r="I16" s="31">
        <v>6</v>
      </c>
      <c r="J16" s="31">
        <v>11</v>
      </c>
      <c r="K16" s="31">
        <v>8</v>
      </c>
      <c r="L16" s="31">
        <v>4</v>
      </c>
      <c r="M16" s="31">
        <v>6</v>
      </c>
      <c r="N16" s="31">
        <v>2</v>
      </c>
      <c r="O16" s="31">
        <v>3</v>
      </c>
      <c r="P16" s="31" t="s">
        <v>49</v>
      </c>
      <c r="Q16" s="78" t="s">
        <v>348</v>
      </c>
      <c r="R16" s="32" t="s">
        <v>474</v>
      </c>
    </row>
    <row r="17" spans="1:18">
      <c r="A17" s="31" t="s">
        <v>358</v>
      </c>
      <c r="B17" s="31">
        <v>259</v>
      </c>
      <c r="C17" s="31">
        <v>214</v>
      </c>
      <c r="D17" s="31">
        <v>143</v>
      </c>
      <c r="E17" s="31">
        <v>128</v>
      </c>
      <c r="F17" s="31">
        <v>131</v>
      </c>
      <c r="G17" s="31">
        <v>97</v>
      </c>
      <c r="H17" s="31">
        <v>56</v>
      </c>
      <c r="I17" s="31">
        <v>77</v>
      </c>
      <c r="J17" s="31">
        <v>64</v>
      </c>
      <c r="K17" s="31">
        <v>70</v>
      </c>
      <c r="L17" s="31">
        <v>39</v>
      </c>
      <c r="M17" s="31">
        <v>20</v>
      </c>
      <c r="N17" s="31">
        <v>10</v>
      </c>
      <c r="O17" s="31">
        <v>17</v>
      </c>
      <c r="P17" s="31" t="s">
        <v>49</v>
      </c>
      <c r="Q17" s="178" t="s">
        <v>348</v>
      </c>
      <c r="R17" s="32" t="s">
        <v>474</v>
      </c>
    </row>
    <row r="18" spans="1:18">
      <c r="A18" s="122" t="s">
        <v>359</v>
      </c>
      <c r="B18" s="123">
        <v>2010</v>
      </c>
      <c r="C18" s="123">
        <v>2011</v>
      </c>
      <c r="D18" s="123">
        <v>2012</v>
      </c>
      <c r="E18" s="123">
        <v>2013</v>
      </c>
      <c r="F18" s="123">
        <v>2014</v>
      </c>
      <c r="G18" s="123">
        <v>2015</v>
      </c>
      <c r="H18" s="123">
        <v>2016</v>
      </c>
      <c r="I18" s="123">
        <v>2017</v>
      </c>
      <c r="J18" s="123">
        <v>2018</v>
      </c>
      <c r="K18" s="123">
        <v>2019</v>
      </c>
      <c r="L18" s="123">
        <v>2020</v>
      </c>
      <c r="M18" s="123">
        <v>2021</v>
      </c>
      <c r="N18" s="123">
        <v>2022</v>
      </c>
      <c r="O18" s="123">
        <v>2023</v>
      </c>
      <c r="P18" s="124" t="s">
        <v>20</v>
      </c>
      <c r="Q18" s="124" t="s">
        <v>21</v>
      </c>
      <c r="R18" s="124" t="s">
        <v>22</v>
      </c>
    </row>
    <row r="19" spans="1:18">
      <c r="A19" s="125" t="s">
        <v>347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28"/>
      <c r="Q19" s="28"/>
      <c r="R19" s="28"/>
    </row>
    <row r="20" spans="1:18">
      <c r="A20" s="31" t="s">
        <v>2</v>
      </c>
      <c r="B20" s="267">
        <v>34</v>
      </c>
      <c r="C20" s="267">
        <v>22</v>
      </c>
      <c r="D20" s="267">
        <v>37</v>
      </c>
      <c r="E20" s="267">
        <v>26</v>
      </c>
      <c r="F20" s="267">
        <v>26</v>
      </c>
      <c r="G20" s="267">
        <v>24</v>
      </c>
      <c r="H20" s="267">
        <v>23</v>
      </c>
      <c r="I20" s="267">
        <v>16</v>
      </c>
      <c r="J20" s="267">
        <v>14</v>
      </c>
      <c r="K20" s="267">
        <v>14</v>
      </c>
      <c r="L20" s="267">
        <v>15</v>
      </c>
      <c r="M20" s="267">
        <v>16</v>
      </c>
      <c r="N20" s="31">
        <v>6</v>
      </c>
      <c r="O20" s="31">
        <v>14</v>
      </c>
      <c r="P20" s="31" t="s">
        <v>359</v>
      </c>
      <c r="Q20" s="56" t="s">
        <v>360</v>
      </c>
      <c r="R20" s="32" t="s">
        <v>474</v>
      </c>
    </row>
    <row r="21" spans="1:18" ht="15.75" customHeight="1">
      <c r="A21" s="31" t="s">
        <v>349</v>
      </c>
      <c r="B21" s="267">
        <v>24</v>
      </c>
      <c r="C21" s="267">
        <v>19</v>
      </c>
      <c r="D21" s="267">
        <v>14</v>
      </c>
      <c r="E21" s="267">
        <v>11</v>
      </c>
      <c r="F21" s="267">
        <v>9</v>
      </c>
      <c r="G21" s="267">
        <v>13</v>
      </c>
      <c r="H21" s="267">
        <v>10</v>
      </c>
      <c r="I21" s="267">
        <v>2</v>
      </c>
      <c r="J21" s="267">
        <v>3</v>
      </c>
      <c r="K21" s="267">
        <v>3</v>
      </c>
      <c r="L21" s="267">
        <v>3</v>
      </c>
      <c r="M21" s="267">
        <v>4</v>
      </c>
      <c r="N21" s="31">
        <v>3</v>
      </c>
      <c r="O21" s="31">
        <v>3</v>
      </c>
      <c r="P21" s="31" t="s">
        <v>359</v>
      </c>
      <c r="Q21" s="56" t="s">
        <v>360</v>
      </c>
      <c r="R21" s="32" t="s">
        <v>474</v>
      </c>
    </row>
    <row r="22" spans="1:18" ht="15.75" customHeight="1">
      <c r="A22" s="31" t="s">
        <v>350</v>
      </c>
      <c r="B22" s="268">
        <v>1</v>
      </c>
      <c r="C22" s="268">
        <v>1</v>
      </c>
      <c r="D22" s="268">
        <v>0</v>
      </c>
      <c r="E22" s="268">
        <v>1</v>
      </c>
      <c r="F22" s="268">
        <v>1</v>
      </c>
      <c r="G22" s="268">
        <v>0</v>
      </c>
      <c r="H22" s="268">
        <v>0</v>
      </c>
      <c r="I22" s="268">
        <v>0</v>
      </c>
      <c r="J22" s="268">
        <v>0</v>
      </c>
      <c r="K22" s="268">
        <v>0</v>
      </c>
      <c r="L22" s="268">
        <v>0</v>
      </c>
      <c r="M22" s="268">
        <v>0</v>
      </c>
      <c r="N22" s="31">
        <v>1</v>
      </c>
      <c r="O22" s="31">
        <v>0</v>
      </c>
      <c r="P22" s="31" t="s">
        <v>359</v>
      </c>
      <c r="Q22" s="205" t="s">
        <v>360</v>
      </c>
      <c r="R22" s="32" t="s">
        <v>474</v>
      </c>
    </row>
    <row r="23" spans="1:18" ht="15.75" customHeight="1">
      <c r="A23" s="31" t="s">
        <v>479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2</v>
      </c>
      <c r="P23" s="31" t="s">
        <v>359</v>
      </c>
      <c r="Q23" s="179" t="s">
        <v>360</v>
      </c>
      <c r="R23" s="32" t="s">
        <v>474</v>
      </c>
    </row>
    <row r="24" spans="1:18" ht="15.75" customHeight="1">
      <c r="A24" s="31" t="s">
        <v>352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 t="s">
        <v>359</v>
      </c>
      <c r="Q24" s="56" t="s">
        <v>360</v>
      </c>
      <c r="R24" s="32" t="s">
        <v>474</v>
      </c>
    </row>
    <row r="25" spans="1:18" ht="15.75" customHeight="1">
      <c r="A25" s="31" t="s">
        <v>353</v>
      </c>
      <c r="B25" s="268">
        <v>1</v>
      </c>
      <c r="C25" s="268">
        <v>0</v>
      </c>
      <c r="D25" s="268">
        <v>0</v>
      </c>
      <c r="E25" s="268">
        <v>0</v>
      </c>
      <c r="F25" s="268">
        <v>1</v>
      </c>
      <c r="G25" s="268">
        <v>0</v>
      </c>
      <c r="H25" s="268">
        <v>1</v>
      </c>
      <c r="I25" s="268">
        <v>0</v>
      </c>
      <c r="J25" s="268">
        <v>0</v>
      </c>
      <c r="K25" s="268">
        <v>0</v>
      </c>
      <c r="L25" s="268">
        <v>2</v>
      </c>
      <c r="M25" s="268">
        <v>0</v>
      </c>
      <c r="N25" s="31">
        <v>0</v>
      </c>
      <c r="O25" s="31">
        <v>0</v>
      </c>
      <c r="P25" s="31" t="s">
        <v>359</v>
      </c>
      <c r="Q25" s="95" t="s">
        <v>360</v>
      </c>
      <c r="R25" s="32" t="s">
        <v>474</v>
      </c>
    </row>
    <row r="26" spans="1:18" ht="15.75" customHeight="1">
      <c r="A26" s="31" t="s">
        <v>354</v>
      </c>
      <c r="B26" s="268">
        <v>0</v>
      </c>
      <c r="C26" s="268">
        <v>1</v>
      </c>
      <c r="D26" s="268">
        <v>0</v>
      </c>
      <c r="E26" s="268">
        <v>0</v>
      </c>
      <c r="F26" s="268">
        <v>0</v>
      </c>
      <c r="G26" s="268">
        <v>0</v>
      </c>
      <c r="H26" s="268">
        <v>2</v>
      </c>
      <c r="I26" s="268">
        <v>0</v>
      </c>
      <c r="J26" s="268">
        <v>1</v>
      </c>
      <c r="K26" s="268">
        <v>0</v>
      </c>
      <c r="L26" s="268">
        <v>0</v>
      </c>
      <c r="M26" s="268">
        <v>0</v>
      </c>
      <c r="N26" s="31">
        <v>0</v>
      </c>
      <c r="O26" s="31">
        <v>0</v>
      </c>
      <c r="P26" s="31" t="s">
        <v>359</v>
      </c>
      <c r="Q26" s="56" t="s">
        <v>360</v>
      </c>
      <c r="R26" s="32" t="s">
        <v>474</v>
      </c>
    </row>
    <row r="27" spans="1:18" ht="15.75" customHeight="1">
      <c r="A27" s="31" t="s">
        <v>355</v>
      </c>
      <c r="B27" s="268">
        <v>1</v>
      </c>
      <c r="C27" s="268">
        <v>0</v>
      </c>
      <c r="D27" s="268">
        <v>0</v>
      </c>
      <c r="E27" s="268">
        <v>1</v>
      </c>
      <c r="F27" s="268">
        <v>0</v>
      </c>
      <c r="G27" s="268">
        <v>0</v>
      </c>
      <c r="H27" s="268">
        <v>3</v>
      </c>
      <c r="I27" s="268">
        <v>0</v>
      </c>
      <c r="J27" s="268">
        <v>3</v>
      </c>
      <c r="K27" s="268">
        <v>3</v>
      </c>
      <c r="L27" s="268">
        <v>0</v>
      </c>
      <c r="M27" s="268">
        <v>0</v>
      </c>
      <c r="N27" s="31">
        <v>3</v>
      </c>
      <c r="O27" s="31">
        <v>1</v>
      </c>
      <c r="P27" s="31" t="s">
        <v>359</v>
      </c>
      <c r="Q27" s="56" t="s">
        <v>360</v>
      </c>
      <c r="R27" s="32" t="s">
        <v>474</v>
      </c>
    </row>
    <row r="28" spans="1:18" ht="15.75" customHeight="1">
      <c r="A28" s="31" t="s">
        <v>9</v>
      </c>
      <c r="B28" s="268">
        <v>7</v>
      </c>
      <c r="C28" s="268">
        <v>4</v>
      </c>
      <c r="D28" s="268">
        <v>8</v>
      </c>
      <c r="E28" s="268">
        <v>7</v>
      </c>
      <c r="F28" s="268">
        <v>8</v>
      </c>
      <c r="G28" s="268">
        <v>1</v>
      </c>
      <c r="H28" s="268">
        <v>5</v>
      </c>
      <c r="I28" s="268">
        <v>4</v>
      </c>
      <c r="J28" s="268">
        <v>1</v>
      </c>
      <c r="K28" s="268">
        <v>5</v>
      </c>
      <c r="L28" s="268">
        <v>5</v>
      </c>
      <c r="M28" s="268">
        <v>6</v>
      </c>
      <c r="N28" s="31">
        <v>8</v>
      </c>
      <c r="O28" s="31">
        <v>8</v>
      </c>
      <c r="P28" s="31" t="s">
        <v>359</v>
      </c>
      <c r="Q28" s="56" t="s">
        <v>360</v>
      </c>
      <c r="R28" s="32" t="s">
        <v>474</v>
      </c>
    </row>
    <row r="29" spans="1:18" ht="15.75" customHeight="1">
      <c r="A29" s="31" t="s">
        <v>356</v>
      </c>
      <c r="B29" s="268">
        <v>1</v>
      </c>
      <c r="C29" s="268">
        <v>6</v>
      </c>
      <c r="D29" s="268">
        <v>8</v>
      </c>
      <c r="E29" s="268">
        <v>4</v>
      </c>
      <c r="F29" s="268">
        <v>2</v>
      </c>
      <c r="G29" s="268">
        <v>10</v>
      </c>
      <c r="H29" s="268">
        <v>6</v>
      </c>
      <c r="I29" s="268">
        <v>3</v>
      </c>
      <c r="J29" s="268">
        <v>4</v>
      </c>
      <c r="K29" s="268">
        <v>6</v>
      </c>
      <c r="L29" s="268">
        <v>5</v>
      </c>
      <c r="M29" s="268">
        <v>7</v>
      </c>
      <c r="N29" s="31">
        <v>7</v>
      </c>
      <c r="O29" s="31">
        <v>9</v>
      </c>
      <c r="P29" s="31" t="s">
        <v>359</v>
      </c>
      <c r="Q29" s="56" t="s">
        <v>360</v>
      </c>
      <c r="R29" s="32" t="s">
        <v>474</v>
      </c>
    </row>
    <row r="30" spans="1:18" ht="15.75" customHeight="1">
      <c r="A30" s="31" t="s">
        <v>13</v>
      </c>
      <c r="B30" s="271">
        <v>6</v>
      </c>
      <c r="C30" s="271">
        <v>1</v>
      </c>
      <c r="D30" s="271">
        <v>3</v>
      </c>
      <c r="E30" s="271">
        <v>13</v>
      </c>
      <c r="F30" s="271">
        <v>10</v>
      </c>
      <c r="G30" s="271">
        <v>4</v>
      </c>
      <c r="H30" s="271">
        <v>5</v>
      </c>
      <c r="I30" s="271">
        <v>6</v>
      </c>
      <c r="J30" s="271">
        <v>7</v>
      </c>
      <c r="K30" s="271">
        <v>4</v>
      </c>
      <c r="L30" s="271">
        <v>5</v>
      </c>
      <c r="M30" s="271">
        <v>10</v>
      </c>
      <c r="N30" s="31">
        <v>6</v>
      </c>
      <c r="O30" s="31">
        <v>11</v>
      </c>
      <c r="P30" s="31" t="s">
        <v>359</v>
      </c>
      <c r="Q30" s="56" t="s">
        <v>360</v>
      </c>
      <c r="R30" s="32" t="s">
        <v>474</v>
      </c>
    </row>
    <row r="31" spans="1:18" ht="15.75" customHeight="1">
      <c r="A31" s="31" t="s">
        <v>357</v>
      </c>
      <c r="B31" s="268">
        <v>2</v>
      </c>
      <c r="C31" s="268">
        <v>6</v>
      </c>
      <c r="D31" s="268">
        <v>4</v>
      </c>
      <c r="E31" s="268">
        <v>8</v>
      </c>
      <c r="F31" s="268">
        <v>4</v>
      </c>
      <c r="G31" s="268">
        <v>7</v>
      </c>
      <c r="H31" s="268">
        <v>4</v>
      </c>
      <c r="I31" s="268">
        <v>4</v>
      </c>
      <c r="J31" s="268">
        <v>8</v>
      </c>
      <c r="K31" s="268">
        <v>1</v>
      </c>
      <c r="L31" s="268">
        <v>2</v>
      </c>
      <c r="M31" s="268">
        <v>5</v>
      </c>
      <c r="N31" s="31">
        <v>2</v>
      </c>
      <c r="O31" s="31">
        <v>6</v>
      </c>
      <c r="P31" s="31" t="s">
        <v>359</v>
      </c>
      <c r="Q31" s="56" t="s">
        <v>360</v>
      </c>
      <c r="R31" s="32" t="s">
        <v>474</v>
      </c>
    </row>
    <row r="32" spans="1:18" ht="15.75" customHeight="1">
      <c r="A32" s="31" t="s">
        <v>358</v>
      </c>
      <c r="B32" s="269">
        <v>128</v>
      </c>
      <c r="C32" s="269">
        <v>113</v>
      </c>
      <c r="D32" s="269">
        <v>124</v>
      </c>
      <c r="E32" s="269">
        <v>105</v>
      </c>
      <c r="F32" s="269">
        <v>102</v>
      </c>
      <c r="G32" s="269">
        <v>88</v>
      </c>
      <c r="H32" s="269">
        <v>88</v>
      </c>
      <c r="I32" s="269">
        <v>59</v>
      </c>
      <c r="J32" s="269">
        <v>52</v>
      </c>
      <c r="K32" s="269">
        <v>57</v>
      </c>
      <c r="L32" s="269">
        <v>28</v>
      </c>
      <c r="M32" s="269">
        <v>25</v>
      </c>
      <c r="N32" s="31">
        <v>24</v>
      </c>
      <c r="O32" s="31">
        <v>25</v>
      </c>
      <c r="P32" s="31" t="s">
        <v>359</v>
      </c>
      <c r="Q32" s="179" t="s">
        <v>360</v>
      </c>
      <c r="R32" s="32" t="s">
        <v>474</v>
      </c>
    </row>
    <row r="33" spans="1:18">
      <c r="A33" s="122" t="s">
        <v>475</v>
      </c>
      <c r="B33" s="123">
        <v>2010</v>
      </c>
      <c r="C33" s="123">
        <v>2011</v>
      </c>
      <c r="D33" s="123">
        <v>2012</v>
      </c>
      <c r="E33" s="123">
        <v>2013</v>
      </c>
      <c r="F33" s="123">
        <v>2014</v>
      </c>
      <c r="G33" s="123">
        <v>2015</v>
      </c>
      <c r="H33" s="123">
        <v>2016</v>
      </c>
      <c r="I33" s="123">
        <v>2017</v>
      </c>
      <c r="J33" s="123">
        <v>2018</v>
      </c>
      <c r="K33" s="123">
        <v>2019</v>
      </c>
      <c r="L33" s="123">
        <v>2020</v>
      </c>
      <c r="M33" s="123">
        <v>2021</v>
      </c>
      <c r="N33" s="123">
        <v>2022</v>
      </c>
      <c r="O33" s="123">
        <v>2023</v>
      </c>
      <c r="P33" s="124" t="s">
        <v>20</v>
      </c>
      <c r="Q33" s="124" t="s">
        <v>21</v>
      </c>
      <c r="R33" s="124" t="s">
        <v>22</v>
      </c>
    </row>
    <row r="34" spans="1:18">
      <c r="A34" s="125" t="s">
        <v>347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28"/>
      <c r="Q34" s="28"/>
      <c r="R34" s="28"/>
    </row>
    <row r="35" spans="1:18">
      <c r="A35" s="31" t="s">
        <v>2</v>
      </c>
      <c r="B35" s="267">
        <f>+B5+B20</f>
        <v>303</v>
      </c>
      <c r="C35" s="267">
        <f t="shared" ref="C35:O35" si="0">+C5+C20</f>
        <v>165</v>
      </c>
      <c r="D35" s="267">
        <f t="shared" si="0"/>
        <v>184</v>
      </c>
      <c r="E35" s="267">
        <f t="shared" si="0"/>
        <v>176</v>
      </c>
      <c r="F35" s="267">
        <f t="shared" si="0"/>
        <v>191</v>
      </c>
      <c r="G35" s="267">
        <f t="shared" si="0"/>
        <v>175</v>
      </c>
      <c r="H35" s="267">
        <f t="shared" si="0"/>
        <v>130</v>
      </c>
      <c r="I35" s="267">
        <f t="shared" si="0"/>
        <v>148</v>
      </c>
      <c r="J35" s="267">
        <f t="shared" si="0"/>
        <v>147</v>
      </c>
      <c r="K35" s="267">
        <f t="shared" si="0"/>
        <v>155</v>
      </c>
      <c r="L35" s="267">
        <f t="shared" si="0"/>
        <v>119</v>
      </c>
      <c r="M35" s="267">
        <f t="shared" si="0"/>
        <v>134</v>
      </c>
      <c r="N35" s="267">
        <f t="shared" si="0"/>
        <v>48</v>
      </c>
      <c r="O35" s="267">
        <f t="shared" si="0"/>
        <v>62</v>
      </c>
      <c r="P35" s="31" t="s">
        <v>359</v>
      </c>
      <c r="Q35" s="56" t="s">
        <v>360</v>
      </c>
      <c r="R35" s="32" t="s">
        <v>474</v>
      </c>
    </row>
    <row r="36" spans="1:18" ht="15.75" customHeight="1">
      <c r="A36" s="31" t="s">
        <v>349</v>
      </c>
      <c r="B36" s="267">
        <f t="shared" ref="B36:O47" si="1">+B6+B21</f>
        <v>123</v>
      </c>
      <c r="C36" s="267">
        <f t="shared" si="1"/>
        <v>71</v>
      </c>
      <c r="D36" s="267">
        <f t="shared" si="1"/>
        <v>64</v>
      </c>
      <c r="E36" s="267">
        <f t="shared" si="1"/>
        <v>56</v>
      </c>
      <c r="F36" s="267">
        <f t="shared" si="1"/>
        <v>58</v>
      </c>
      <c r="G36" s="267">
        <f t="shared" si="1"/>
        <v>36</v>
      </c>
      <c r="H36" s="267">
        <f t="shared" si="1"/>
        <v>26</v>
      </c>
      <c r="I36" s="267">
        <f t="shared" si="1"/>
        <v>23</v>
      </c>
      <c r="J36" s="267">
        <f t="shared" si="1"/>
        <v>26</v>
      </c>
      <c r="K36" s="267">
        <f t="shared" si="1"/>
        <v>32</v>
      </c>
      <c r="L36" s="267">
        <f t="shared" si="1"/>
        <v>14</v>
      </c>
      <c r="M36" s="267">
        <f t="shared" si="1"/>
        <v>10</v>
      </c>
      <c r="N36" s="267">
        <f t="shared" si="1"/>
        <v>6</v>
      </c>
      <c r="O36" s="267">
        <f t="shared" si="1"/>
        <v>9</v>
      </c>
      <c r="P36" s="31" t="s">
        <v>359</v>
      </c>
      <c r="Q36" s="56" t="s">
        <v>360</v>
      </c>
      <c r="R36" s="32" t="s">
        <v>474</v>
      </c>
    </row>
    <row r="37" spans="1:18" ht="15.75" customHeight="1">
      <c r="A37" s="31" t="s">
        <v>350</v>
      </c>
      <c r="B37" s="267">
        <f t="shared" si="1"/>
        <v>3</v>
      </c>
      <c r="C37" s="267">
        <f t="shared" si="1"/>
        <v>2</v>
      </c>
      <c r="D37" s="267">
        <f t="shared" si="1"/>
        <v>2</v>
      </c>
      <c r="E37" s="267">
        <f t="shared" si="1"/>
        <v>1</v>
      </c>
      <c r="F37" s="267">
        <f t="shared" si="1"/>
        <v>2</v>
      </c>
      <c r="G37" s="267">
        <f t="shared" si="1"/>
        <v>0</v>
      </c>
      <c r="H37" s="267">
        <f t="shared" si="1"/>
        <v>0</v>
      </c>
      <c r="I37" s="267">
        <f t="shared" si="1"/>
        <v>2</v>
      </c>
      <c r="J37" s="267">
        <f t="shared" si="1"/>
        <v>0</v>
      </c>
      <c r="K37" s="267">
        <f t="shared" si="1"/>
        <v>3</v>
      </c>
      <c r="L37" s="267">
        <f t="shared" si="1"/>
        <v>0</v>
      </c>
      <c r="M37" s="267">
        <f t="shared" si="1"/>
        <v>4</v>
      </c>
      <c r="N37" s="267">
        <f t="shared" si="1"/>
        <v>3</v>
      </c>
      <c r="O37" s="267">
        <f t="shared" si="1"/>
        <v>0</v>
      </c>
      <c r="P37" s="31" t="s">
        <v>359</v>
      </c>
      <c r="Q37" s="205" t="s">
        <v>360</v>
      </c>
      <c r="R37" s="32" t="s">
        <v>474</v>
      </c>
    </row>
    <row r="38" spans="1:18" ht="15.75" customHeight="1">
      <c r="A38" s="31" t="s">
        <v>479</v>
      </c>
      <c r="B38" s="267">
        <f t="shared" si="1"/>
        <v>1</v>
      </c>
      <c r="C38" s="267">
        <f t="shared" si="1"/>
        <v>14</v>
      </c>
      <c r="D38" s="267">
        <f t="shared" si="1"/>
        <v>22</v>
      </c>
      <c r="E38" s="267">
        <f t="shared" si="1"/>
        <v>14</v>
      </c>
      <c r="F38" s="267">
        <f t="shared" si="1"/>
        <v>18</v>
      </c>
      <c r="G38" s="267">
        <f t="shared" si="1"/>
        <v>17</v>
      </c>
      <c r="H38" s="267">
        <f t="shared" si="1"/>
        <v>16</v>
      </c>
      <c r="I38" s="267">
        <f t="shared" si="1"/>
        <v>21</v>
      </c>
      <c r="J38" s="267">
        <f t="shared" si="1"/>
        <v>14</v>
      </c>
      <c r="K38" s="267">
        <f t="shared" si="1"/>
        <v>14</v>
      </c>
      <c r="L38" s="267">
        <f t="shared" si="1"/>
        <v>11</v>
      </c>
      <c r="M38" s="267">
        <f t="shared" si="1"/>
        <v>5</v>
      </c>
      <c r="N38" s="267">
        <f t="shared" si="1"/>
        <v>6</v>
      </c>
      <c r="O38" s="267">
        <f t="shared" si="1"/>
        <v>7</v>
      </c>
      <c r="P38" s="31" t="s">
        <v>359</v>
      </c>
      <c r="Q38" s="179" t="s">
        <v>360</v>
      </c>
      <c r="R38" s="32" t="s">
        <v>474</v>
      </c>
    </row>
    <row r="39" spans="1:18" ht="15.75" customHeight="1">
      <c r="A39" s="31" t="s">
        <v>352</v>
      </c>
      <c r="B39" s="267">
        <f t="shared" si="1"/>
        <v>0</v>
      </c>
      <c r="C39" s="267">
        <f t="shared" si="1"/>
        <v>1</v>
      </c>
      <c r="D39" s="267">
        <f t="shared" si="1"/>
        <v>1</v>
      </c>
      <c r="E39" s="267">
        <f t="shared" si="1"/>
        <v>0</v>
      </c>
      <c r="F39" s="267">
        <f t="shared" si="1"/>
        <v>1</v>
      </c>
      <c r="G39" s="267">
        <f t="shared" si="1"/>
        <v>0</v>
      </c>
      <c r="H39" s="267">
        <f t="shared" si="1"/>
        <v>0</v>
      </c>
      <c r="I39" s="267">
        <f t="shared" si="1"/>
        <v>0</v>
      </c>
      <c r="J39" s="267">
        <f t="shared" si="1"/>
        <v>0</v>
      </c>
      <c r="K39" s="267">
        <f t="shared" si="1"/>
        <v>0</v>
      </c>
      <c r="L39" s="267">
        <f t="shared" si="1"/>
        <v>0</v>
      </c>
      <c r="M39" s="267">
        <f t="shared" si="1"/>
        <v>0</v>
      </c>
      <c r="N39" s="267">
        <f t="shared" si="1"/>
        <v>0</v>
      </c>
      <c r="O39" s="267">
        <f t="shared" si="1"/>
        <v>0</v>
      </c>
      <c r="P39" s="31" t="s">
        <v>359</v>
      </c>
      <c r="Q39" s="56" t="s">
        <v>360</v>
      </c>
      <c r="R39" s="32" t="s">
        <v>474</v>
      </c>
    </row>
    <row r="40" spans="1:18" ht="15.75" customHeight="1">
      <c r="A40" s="31" t="s">
        <v>353</v>
      </c>
      <c r="B40" s="267">
        <f t="shared" si="1"/>
        <v>2</v>
      </c>
      <c r="C40" s="267">
        <f t="shared" si="1"/>
        <v>3</v>
      </c>
      <c r="D40" s="267">
        <f t="shared" si="1"/>
        <v>4</v>
      </c>
      <c r="E40" s="267">
        <f t="shared" si="1"/>
        <v>4</v>
      </c>
      <c r="F40" s="267">
        <f t="shared" si="1"/>
        <v>4</v>
      </c>
      <c r="G40" s="267">
        <f t="shared" si="1"/>
        <v>0</v>
      </c>
      <c r="H40" s="267">
        <f t="shared" si="1"/>
        <v>4</v>
      </c>
      <c r="I40" s="267">
        <f t="shared" si="1"/>
        <v>0</v>
      </c>
      <c r="J40" s="267">
        <f t="shared" si="1"/>
        <v>0</v>
      </c>
      <c r="K40" s="267">
        <f t="shared" si="1"/>
        <v>3</v>
      </c>
      <c r="L40" s="267">
        <f t="shared" si="1"/>
        <v>2</v>
      </c>
      <c r="M40" s="267">
        <f t="shared" si="1"/>
        <v>0</v>
      </c>
      <c r="N40" s="267">
        <f t="shared" si="1"/>
        <v>0</v>
      </c>
      <c r="O40" s="267">
        <f t="shared" si="1"/>
        <v>0</v>
      </c>
      <c r="P40" s="31" t="s">
        <v>359</v>
      </c>
      <c r="Q40" s="95" t="s">
        <v>360</v>
      </c>
      <c r="R40" s="32" t="s">
        <v>474</v>
      </c>
    </row>
    <row r="41" spans="1:18" ht="15.75" customHeight="1">
      <c r="A41" s="31" t="s">
        <v>354</v>
      </c>
      <c r="B41" s="267">
        <f t="shared" si="1"/>
        <v>7</v>
      </c>
      <c r="C41" s="267">
        <f t="shared" si="1"/>
        <v>5</v>
      </c>
      <c r="D41" s="267">
        <f t="shared" si="1"/>
        <v>5</v>
      </c>
      <c r="E41" s="267">
        <f t="shared" si="1"/>
        <v>6</v>
      </c>
      <c r="F41" s="267">
        <f t="shared" si="1"/>
        <v>4</v>
      </c>
      <c r="G41" s="267">
        <f t="shared" si="1"/>
        <v>2</v>
      </c>
      <c r="H41" s="267">
        <f t="shared" si="1"/>
        <v>6</v>
      </c>
      <c r="I41" s="267">
        <f t="shared" si="1"/>
        <v>6</v>
      </c>
      <c r="J41" s="267">
        <f t="shared" si="1"/>
        <v>6</v>
      </c>
      <c r="K41" s="267">
        <f t="shared" si="1"/>
        <v>3</v>
      </c>
      <c r="L41" s="267">
        <f t="shared" si="1"/>
        <v>4</v>
      </c>
      <c r="M41" s="267">
        <f t="shared" si="1"/>
        <v>0</v>
      </c>
      <c r="N41" s="267">
        <f t="shared" si="1"/>
        <v>0</v>
      </c>
      <c r="O41" s="267">
        <f t="shared" si="1"/>
        <v>0</v>
      </c>
      <c r="P41" s="31" t="s">
        <v>359</v>
      </c>
      <c r="Q41" s="56" t="s">
        <v>360</v>
      </c>
      <c r="R41" s="32" t="s">
        <v>474</v>
      </c>
    </row>
    <row r="42" spans="1:18" ht="15.75" customHeight="1">
      <c r="A42" s="31" t="s">
        <v>355</v>
      </c>
      <c r="B42" s="267">
        <f t="shared" si="1"/>
        <v>6</v>
      </c>
      <c r="C42" s="267">
        <f t="shared" si="1"/>
        <v>3</v>
      </c>
      <c r="D42" s="267">
        <f t="shared" si="1"/>
        <v>4</v>
      </c>
      <c r="E42" s="267">
        <f t="shared" si="1"/>
        <v>4</v>
      </c>
      <c r="F42" s="267">
        <f t="shared" si="1"/>
        <v>4</v>
      </c>
      <c r="G42" s="267">
        <f t="shared" si="1"/>
        <v>2</v>
      </c>
      <c r="H42" s="267">
        <f t="shared" si="1"/>
        <v>4</v>
      </c>
      <c r="I42" s="267">
        <f t="shared" si="1"/>
        <v>3</v>
      </c>
      <c r="J42" s="267">
        <f t="shared" si="1"/>
        <v>5</v>
      </c>
      <c r="K42" s="267">
        <f t="shared" si="1"/>
        <v>7</v>
      </c>
      <c r="L42" s="267">
        <f t="shared" si="1"/>
        <v>3</v>
      </c>
      <c r="M42" s="267">
        <f t="shared" si="1"/>
        <v>3</v>
      </c>
      <c r="N42" s="267">
        <f t="shared" si="1"/>
        <v>4</v>
      </c>
      <c r="O42" s="267">
        <f t="shared" si="1"/>
        <v>2</v>
      </c>
      <c r="P42" s="31" t="s">
        <v>359</v>
      </c>
      <c r="Q42" s="56" t="s">
        <v>360</v>
      </c>
      <c r="R42" s="32" t="s">
        <v>474</v>
      </c>
    </row>
    <row r="43" spans="1:18" ht="15.75" customHeight="1">
      <c r="A43" s="31" t="s">
        <v>9</v>
      </c>
      <c r="B43" s="267">
        <f t="shared" si="1"/>
        <v>34</v>
      </c>
      <c r="C43" s="267">
        <f t="shared" si="1"/>
        <v>27</v>
      </c>
      <c r="D43" s="267">
        <f t="shared" si="1"/>
        <v>23</v>
      </c>
      <c r="E43" s="267">
        <f t="shared" si="1"/>
        <v>23</v>
      </c>
      <c r="F43" s="267">
        <f t="shared" si="1"/>
        <v>31</v>
      </c>
      <c r="G43" s="267">
        <f t="shared" si="1"/>
        <v>14</v>
      </c>
      <c r="H43" s="267">
        <f t="shared" si="1"/>
        <v>24</v>
      </c>
      <c r="I43" s="267">
        <f t="shared" si="1"/>
        <v>20</v>
      </c>
      <c r="J43" s="267">
        <f t="shared" si="1"/>
        <v>13</v>
      </c>
      <c r="K43" s="267">
        <f t="shared" si="1"/>
        <v>25</v>
      </c>
      <c r="L43" s="267">
        <f t="shared" si="1"/>
        <v>20</v>
      </c>
      <c r="M43" s="267">
        <f t="shared" si="1"/>
        <v>15</v>
      </c>
      <c r="N43" s="267">
        <f t="shared" si="1"/>
        <v>17</v>
      </c>
      <c r="O43" s="267">
        <f t="shared" si="1"/>
        <v>20</v>
      </c>
      <c r="P43" s="31" t="s">
        <v>359</v>
      </c>
      <c r="Q43" s="56" t="s">
        <v>360</v>
      </c>
      <c r="R43" s="32" t="s">
        <v>474</v>
      </c>
    </row>
    <row r="44" spans="1:18" ht="15.75" customHeight="1">
      <c r="A44" s="31" t="s">
        <v>356</v>
      </c>
      <c r="B44" s="267">
        <f t="shared" si="1"/>
        <v>69</v>
      </c>
      <c r="C44" s="267">
        <f t="shared" si="1"/>
        <v>60</v>
      </c>
      <c r="D44" s="267">
        <f t="shared" si="1"/>
        <v>44</v>
      </c>
      <c r="E44" s="267">
        <f t="shared" si="1"/>
        <v>41</v>
      </c>
      <c r="F44" s="267">
        <f t="shared" si="1"/>
        <v>55</v>
      </c>
      <c r="G44" s="267">
        <f t="shared" si="1"/>
        <v>43</v>
      </c>
      <c r="H44" s="267">
        <f t="shared" si="1"/>
        <v>38</v>
      </c>
      <c r="I44" s="267">
        <f t="shared" si="1"/>
        <v>45</v>
      </c>
      <c r="J44" s="267">
        <f t="shared" si="1"/>
        <v>41</v>
      </c>
      <c r="K44" s="267">
        <f t="shared" si="1"/>
        <v>48</v>
      </c>
      <c r="L44" s="267">
        <f t="shared" si="1"/>
        <v>32</v>
      </c>
      <c r="M44" s="267">
        <f t="shared" si="1"/>
        <v>25</v>
      </c>
      <c r="N44" s="267">
        <f t="shared" si="1"/>
        <v>22</v>
      </c>
      <c r="O44" s="267">
        <f t="shared" si="1"/>
        <v>31</v>
      </c>
      <c r="P44" s="31" t="s">
        <v>359</v>
      </c>
      <c r="Q44" s="56" t="s">
        <v>360</v>
      </c>
      <c r="R44" s="32" t="s">
        <v>474</v>
      </c>
    </row>
    <row r="45" spans="1:18" ht="15.75" customHeight="1">
      <c r="A45" s="31" t="s">
        <v>13</v>
      </c>
      <c r="B45" s="267">
        <f t="shared" si="1"/>
        <v>17</v>
      </c>
      <c r="C45" s="267">
        <f t="shared" si="1"/>
        <v>6</v>
      </c>
      <c r="D45" s="267">
        <f t="shared" si="1"/>
        <v>10</v>
      </c>
      <c r="E45" s="267">
        <f t="shared" si="1"/>
        <v>18</v>
      </c>
      <c r="F45" s="267">
        <f t="shared" si="1"/>
        <v>16</v>
      </c>
      <c r="G45" s="267">
        <f t="shared" si="1"/>
        <v>7</v>
      </c>
      <c r="H45" s="267">
        <f t="shared" si="1"/>
        <v>13</v>
      </c>
      <c r="I45" s="267">
        <f t="shared" si="1"/>
        <v>11</v>
      </c>
      <c r="J45" s="267">
        <f t="shared" si="1"/>
        <v>15</v>
      </c>
      <c r="K45" s="267">
        <f t="shared" si="1"/>
        <v>14</v>
      </c>
      <c r="L45" s="267">
        <f t="shared" si="1"/>
        <v>9</v>
      </c>
      <c r="M45" s="267">
        <f t="shared" si="1"/>
        <v>15</v>
      </c>
      <c r="N45" s="267">
        <f t="shared" si="1"/>
        <v>14</v>
      </c>
      <c r="O45" s="267">
        <f t="shared" si="1"/>
        <v>19</v>
      </c>
      <c r="P45" s="31" t="s">
        <v>359</v>
      </c>
      <c r="Q45" s="56" t="s">
        <v>360</v>
      </c>
      <c r="R45" s="32" t="s">
        <v>474</v>
      </c>
    </row>
    <row r="46" spans="1:18" ht="15.75" customHeight="1">
      <c r="A46" s="31" t="s">
        <v>357</v>
      </c>
      <c r="B46" s="267">
        <f t="shared" si="1"/>
        <v>16</v>
      </c>
      <c r="C46" s="267">
        <f t="shared" si="1"/>
        <v>22</v>
      </c>
      <c r="D46" s="267">
        <f t="shared" si="1"/>
        <v>14</v>
      </c>
      <c r="E46" s="267">
        <f t="shared" si="1"/>
        <v>18</v>
      </c>
      <c r="F46" s="267">
        <f t="shared" si="1"/>
        <v>17</v>
      </c>
      <c r="G46" s="267">
        <f t="shared" si="1"/>
        <v>12</v>
      </c>
      <c r="H46" s="267">
        <f t="shared" si="1"/>
        <v>10</v>
      </c>
      <c r="I46" s="267">
        <f t="shared" si="1"/>
        <v>10</v>
      </c>
      <c r="J46" s="267">
        <f t="shared" si="1"/>
        <v>19</v>
      </c>
      <c r="K46" s="267">
        <f t="shared" si="1"/>
        <v>9</v>
      </c>
      <c r="L46" s="267">
        <f t="shared" si="1"/>
        <v>6</v>
      </c>
      <c r="M46" s="267">
        <f t="shared" si="1"/>
        <v>11</v>
      </c>
      <c r="N46" s="267">
        <f t="shared" si="1"/>
        <v>4</v>
      </c>
      <c r="O46" s="267">
        <f t="shared" si="1"/>
        <v>9</v>
      </c>
      <c r="P46" s="31" t="s">
        <v>359</v>
      </c>
      <c r="Q46" s="56" t="s">
        <v>360</v>
      </c>
      <c r="R46" s="32" t="s">
        <v>474</v>
      </c>
    </row>
    <row r="47" spans="1:18" ht="15.75" customHeight="1">
      <c r="A47" s="277" t="s">
        <v>358</v>
      </c>
      <c r="B47" s="278">
        <f t="shared" si="1"/>
        <v>387</v>
      </c>
      <c r="C47" s="278">
        <f t="shared" si="1"/>
        <v>327</v>
      </c>
      <c r="D47" s="278">
        <f t="shared" si="1"/>
        <v>267</v>
      </c>
      <c r="E47" s="278">
        <f t="shared" si="1"/>
        <v>233</v>
      </c>
      <c r="F47" s="278">
        <f t="shared" si="1"/>
        <v>233</v>
      </c>
      <c r="G47" s="278">
        <f t="shared" si="1"/>
        <v>185</v>
      </c>
      <c r="H47" s="278">
        <f t="shared" si="1"/>
        <v>144</v>
      </c>
      <c r="I47" s="278">
        <f t="shared" si="1"/>
        <v>136</v>
      </c>
      <c r="J47" s="278">
        <f t="shared" si="1"/>
        <v>116</v>
      </c>
      <c r="K47" s="278">
        <f t="shared" si="1"/>
        <v>127</v>
      </c>
      <c r="L47" s="278">
        <f t="shared" si="1"/>
        <v>67</v>
      </c>
      <c r="M47" s="278">
        <f t="shared" si="1"/>
        <v>45</v>
      </c>
      <c r="N47" s="278">
        <f t="shared" si="1"/>
        <v>34</v>
      </c>
      <c r="O47" s="278">
        <f t="shared" si="1"/>
        <v>42</v>
      </c>
      <c r="P47" s="31" t="s">
        <v>359</v>
      </c>
      <c r="Q47" s="179" t="s">
        <v>360</v>
      </c>
      <c r="R47" s="32" t="s">
        <v>474</v>
      </c>
    </row>
    <row r="48" spans="1:18" ht="15.75" customHeight="1">
      <c r="A48" s="279" t="s">
        <v>476</v>
      </c>
      <c r="B48" s="280">
        <f>B35+B36+B41+B42+B43</f>
        <v>473</v>
      </c>
      <c r="C48" s="280">
        <f t="shared" ref="C48:O48" si="2">C35+C36+C41+C42+C43</f>
        <v>271</v>
      </c>
      <c r="D48" s="280">
        <f t="shared" si="2"/>
        <v>280</v>
      </c>
      <c r="E48" s="280">
        <f t="shared" si="2"/>
        <v>265</v>
      </c>
      <c r="F48" s="280">
        <f t="shared" si="2"/>
        <v>288</v>
      </c>
      <c r="G48" s="280">
        <f t="shared" si="2"/>
        <v>229</v>
      </c>
      <c r="H48" s="280">
        <f t="shared" si="2"/>
        <v>190</v>
      </c>
      <c r="I48" s="280">
        <f t="shared" si="2"/>
        <v>200</v>
      </c>
      <c r="J48" s="280">
        <f t="shared" si="2"/>
        <v>197</v>
      </c>
      <c r="K48" s="280">
        <f t="shared" si="2"/>
        <v>222</v>
      </c>
      <c r="L48" s="280">
        <f t="shared" si="2"/>
        <v>160</v>
      </c>
      <c r="M48" s="280">
        <f t="shared" si="2"/>
        <v>162</v>
      </c>
      <c r="N48" s="280">
        <f t="shared" si="2"/>
        <v>75</v>
      </c>
      <c r="O48" s="280">
        <f t="shared" si="2"/>
        <v>93</v>
      </c>
    </row>
    <row r="49" spans="1:18" ht="15.75" customHeight="1">
      <c r="A49" s="279" t="s">
        <v>477</v>
      </c>
      <c r="B49" s="280">
        <f>B37+B38+B39+B40</f>
        <v>6</v>
      </c>
      <c r="C49" s="280">
        <f t="shared" ref="C49:O49" si="3">C37+C38+C39+C40</f>
        <v>20</v>
      </c>
      <c r="D49" s="280">
        <f t="shared" si="3"/>
        <v>29</v>
      </c>
      <c r="E49" s="280">
        <f t="shared" si="3"/>
        <v>19</v>
      </c>
      <c r="F49" s="280">
        <f t="shared" si="3"/>
        <v>25</v>
      </c>
      <c r="G49" s="280">
        <f t="shared" si="3"/>
        <v>17</v>
      </c>
      <c r="H49" s="280">
        <f t="shared" si="3"/>
        <v>20</v>
      </c>
      <c r="I49" s="280">
        <f t="shared" si="3"/>
        <v>23</v>
      </c>
      <c r="J49" s="280">
        <f t="shared" si="3"/>
        <v>14</v>
      </c>
      <c r="K49" s="280">
        <f t="shared" si="3"/>
        <v>20</v>
      </c>
      <c r="L49" s="280">
        <f t="shared" si="3"/>
        <v>13</v>
      </c>
      <c r="M49" s="280">
        <f t="shared" si="3"/>
        <v>9</v>
      </c>
      <c r="N49" s="280">
        <f t="shared" si="3"/>
        <v>9</v>
      </c>
      <c r="O49" s="280">
        <f t="shared" si="3"/>
        <v>7</v>
      </c>
    </row>
    <row r="50" spans="1:18" ht="15.75" customHeight="1">
      <c r="A50" s="279" t="s">
        <v>356</v>
      </c>
      <c r="B50" s="279">
        <f>B44+B45+B46</f>
        <v>102</v>
      </c>
      <c r="C50" s="279">
        <f t="shared" ref="C50:O50" si="4">C44+C45+C46</f>
        <v>88</v>
      </c>
      <c r="D50" s="279">
        <f t="shared" si="4"/>
        <v>68</v>
      </c>
      <c r="E50" s="279">
        <f t="shared" si="4"/>
        <v>77</v>
      </c>
      <c r="F50" s="279">
        <f t="shared" si="4"/>
        <v>88</v>
      </c>
      <c r="G50" s="279">
        <f t="shared" si="4"/>
        <v>62</v>
      </c>
      <c r="H50" s="279">
        <f t="shared" si="4"/>
        <v>61</v>
      </c>
      <c r="I50" s="279">
        <f t="shared" si="4"/>
        <v>66</v>
      </c>
      <c r="J50" s="279">
        <f t="shared" si="4"/>
        <v>75</v>
      </c>
      <c r="K50" s="279">
        <f t="shared" si="4"/>
        <v>71</v>
      </c>
      <c r="L50" s="279">
        <f t="shared" si="4"/>
        <v>47</v>
      </c>
      <c r="M50" s="279">
        <f t="shared" si="4"/>
        <v>51</v>
      </c>
      <c r="N50" s="279">
        <f t="shared" si="4"/>
        <v>40</v>
      </c>
      <c r="O50" s="279">
        <f t="shared" si="4"/>
        <v>59</v>
      </c>
    </row>
    <row r="51" spans="1:18" ht="15.75" customHeight="1" thickBot="1"/>
    <row r="52" spans="1:18" ht="15.75" customHeight="1">
      <c r="A52" s="266" t="s">
        <v>368</v>
      </c>
      <c r="B52" s="265" t="s">
        <v>2</v>
      </c>
      <c r="C52" s="265" t="s">
        <v>3</v>
      </c>
      <c r="D52" s="265" t="s">
        <v>350</v>
      </c>
      <c r="E52" s="265" t="s">
        <v>351</v>
      </c>
      <c r="F52" s="265" t="s">
        <v>352</v>
      </c>
      <c r="G52" s="265" t="s">
        <v>353</v>
      </c>
      <c r="H52" s="265" t="s">
        <v>354</v>
      </c>
      <c r="I52" s="265" t="s">
        <v>355</v>
      </c>
      <c r="J52" s="265" t="s">
        <v>9</v>
      </c>
      <c r="K52" s="265" t="s">
        <v>356</v>
      </c>
      <c r="L52" s="265" t="s">
        <v>13</v>
      </c>
      <c r="M52" s="265" t="s">
        <v>357</v>
      </c>
      <c r="N52" s="265" t="s">
        <v>358</v>
      </c>
      <c r="O52" s="261"/>
      <c r="P52" s="262" t="s">
        <v>20</v>
      </c>
      <c r="Q52" s="263" t="s">
        <v>21</v>
      </c>
      <c r="R52" s="264" t="s">
        <v>22</v>
      </c>
    </row>
    <row r="53" spans="1:18" ht="15.75" customHeight="1">
      <c r="A53" s="254" t="s">
        <v>361</v>
      </c>
      <c r="B53" s="126">
        <v>17</v>
      </c>
      <c r="C53" s="126">
        <v>2</v>
      </c>
      <c r="D53" s="126">
        <v>0</v>
      </c>
      <c r="E53" s="126">
        <v>2</v>
      </c>
      <c r="F53" s="126">
        <v>0</v>
      </c>
      <c r="G53" s="126">
        <v>0</v>
      </c>
      <c r="H53" s="126">
        <v>0</v>
      </c>
      <c r="I53" s="126">
        <v>0</v>
      </c>
      <c r="J53" s="126">
        <v>4</v>
      </c>
      <c r="K53" s="126">
        <v>3</v>
      </c>
      <c r="L53" s="126">
        <v>2</v>
      </c>
      <c r="M53" s="113">
        <v>0</v>
      </c>
      <c r="N53" s="90">
        <v>6</v>
      </c>
      <c r="O53" s="90"/>
      <c r="P53" s="255" t="s">
        <v>49</v>
      </c>
      <c r="Q53" s="78" t="s">
        <v>348</v>
      </c>
      <c r="R53" s="32" t="s">
        <v>474</v>
      </c>
    </row>
    <row r="54" spans="1:18" ht="15.75" customHeight="1">
      <c r="A54" s="254" t="s">
        <v>362</v>
      </c>
      <c r="B54" s="126">
        <v>13</v>
      </c>
      <c r="C54" s="126">
        <v>1</v>
      </c>
      <c r="D54" s="126">
        <v>0</v>
      </c>
      <c r="E54" s="126">
        <v>0</v>
      </c>
      <c r="F54" s="126">
        <v>0</v>
      </c>
      <c r="G54" s="126">
        <v>0</v>
      </c>
      <c r="H54" s="126">
        <v>0</v>
      </c>
      <c r="I54" s="126">
        <v>0</v>
      </c>
      <c r="J54" s="126">
        <v>2</v>
      </c>
      <c r="K54" s="126">
        <v>3</v>
      </c>
      <c r="L54" s="126">
        <v>2</v>
      </c>
      <c r="M54" s="113">
        <v>2</v>
      </c>
      <c r="N54" s="90">
        <v>3</v>
      </c>
      <c r="O54" s="90"/>
      <c r="P54" s="255" t="s">
        <v>49</v>
      </c>
      <c r="Q54" s="78" t="s">
        <v>348</v>
      </c>
      <c r="R54" s="32" t="s">
        <v>474</v>
      </c>
    </row>
    <row r="55" spans="1:18" ht="15.75" customHeight="1">
      <c r="A55" s="254" t="s">
        <v>363</v>
      </c>
      <c r="B55" s="126">
        <v>15</v>
      </c>
      <c r="C55" s="126">
        <v>2</v>
      </c>
      <c r="D55" s="126">
        <v>0</v>
      </c>
      <c r="E55" s="126">
        <v>2</v>
      </c>
      <c r="F55" s="126">
        <v>0</v>
      </c>
      <c r="G55" s="126">
        <v>0</v>
      </c>
      <c r="H55" s="126">
        <v>0</v>
      </c>
      <c r="I55" s="126">
        <v>1</v>
      </c>
      <c r="J55" s="126">
        <v>4</v>
      </c>
      <c r="K55" s="126">
        <v>12</v>
      </c>
      <c r="L55" s="126">
        <v>3</v>
      </c>
      <c r="M55" s="113">
        <v>1</v>
      </c>
      <c r="N55" s="90">
        <v>7</v>
      </c>
      <c r="O55" s="90"/>
      <c r="P55" s="255" t="s">
        <v>49</v>
      </c>
      <c r="Q55" s="78" t="s">
        <v>348</v>
      </c>
      <c r="R55" s="32" t="s">
        <v>474</v>
      </c>
    </row>
    <row r="56" spans="1:18" ht="15.75" customHeight="1" thickBot="1">
      <c r="A56" s="254" t="s">
        <v>364</v>
      </c>
      <c r="B56" s="126">
        <v>3</v>
      </c>
      <c r="C56" s="126">
        <v>1</v>
      </c>
      <c r="D56" s="126">
        <v>0</v>
      </c>
      <c r="E56" s="126">
        <v>1</v>
      </c>
      <c r="F56" s="126">
        <v>0</v>
      </c>
      <c r="G56" s="126">
        <v>0</v>
      </c>
      <c r="H56" s="126">
        <v>0</v>
      </c>
      <c r="I56" s="126">
        <v>0</v>
      </c>
      <c r="J56" s="126">
        <v>2</v>
      </c>
      <c r="K56" s="126">
        <v>4</v>
      </c>
      <c r="L56" s="126">
        <v>1</v>
      </c>
      <c r="M56" s="113">
        <v>0</v>
      </c>
      <c r="N56" s="90">
        <v>1</v>
      </c>
      <c r="O56" s="90"/>
      <c r="P56" s="255" t="s">
        <v>49</v>
      </c>
      <c r="Q56" s="78" t="s">
        <v>348</v>
      </c>
      <c r="R56" s="32" t="s">
        <v>474</v>
      </c>
    </row>
    <row r="57" spans="1:18" ht="15.75" customHeight="1">
      <c r="A57" s="253" t="s">
        <v>369</v>
      </c>
      <c r="B57" s="265" t="s">
        <v>2</v>
      </c>
      <c r="C57" s="265" t="s">
        <v>3</v>
      </c>
      <c r="D57" s="265" t="s">
        <v>350</v>
      </c>
      <c r="E57" s="265" t="s">
        <v>351</v>
      </c>
      <c r="F57" s="265" t="s">
        <v>352</v>
      </c>
      <c r="G57" s="265" t="s">
        <v>353</v>
      </c>
      <c r="H57" s="265" t="s">
        <v>354</v>
      </c>
      <c r="I57" s="265" t="s">
        <v>355</v>
      </c>
      <c r="J57" s="265" t="s">
        <v>9</v>
      </c>
      <c r="K57" s="265" t="s">
        <v>356</v>
      </c>
      <c r="L57" s="265" t="s">
        <v>13</v>
      </c>
      <c r="M57" s="265" t="s">
        <v>357</v>
      </c>
      <c r="N57" s="265" t="s">
        <v>358</v>
      </c>
      <c r="O57" s="261"/>
      <c r="P57" s="262" t="s">
        <v>20</v>
      </c>
      <c r="Q57" s="263" t="s">
        <v>21</v>
      </c>
      <c r="R57" s="264" t="s">
        <v>22</v>
      </c>
    </row>
    <row r="58" spans="1:18" ht="15.75" customHeight="1">
      <c r="A58" s="254" t="s">
        <v>365</v>
      </c>
      <c r="B58" s="126">
        <v>0</v>
      </c>
      <c r="C58" s="126">
        <v>0</v>
      </c>
      <c r="D58" s="126">
        <v>0</v>
      </c>
      <c r="E58" s="126">
        <v>0</v>
      </c>
      <c r="F58" s="126">
        <v>0</v>
      </c>
      <c r="G58" s="126">
        <v>0</v>
      </c>
      <c r="H58" s="126">
        <v>0</v>
      </c>
      <c r="I58" s="126">
        <v>0</v>
      </c>
      <c r="J58" s="126">
        <v>0</v>
      </c>
      <c r="K58" s="126">
        <v>2</v>
      </c>
      <c r="L58" s="126">
        <v>0</v>
      </c>
      <c r="M58" s="113">
        <v>0</v>
      </c>
      <c r="N58" s="90">
        <v>4</v>
      </c>
      <c r="O58" s="90"/>
      <c r="P58" s="255" t="s">
        <v>359</v>
      </c>
      <c r="Q58" s="90" t="s">
        <v>348</v>
      </c>
      <c r="R58" s="32" t="s">
        <v>474</v>
      </c>
    </row>
    <row r="59" spans="1:18" ht="15.75" customHeight="1">
      <c r="A59" s="254" t="s">
        <v>366</v>
      </c>
      <c r="B59" s="126">
        <v>0</v>
      </c>
      <c r="C59" s="126">
        <v>0</v>
      </c>
      <c r="D59" s="126">
        <v>0</v>
      </c>
      <c r="E59" s="126">
        <v>0</v>
      </c>
      <c r="F59" s="126">
        <v>0</v>
      </c>
      <c r="G59" s="126">
        <v>0</v>
      </c>
      <c r="H59" s="126">
        <v>0</v>
      </c>
      <c r="I59" s="126">
        <v>0</v>
      </c>
      <c r="J59" s="126">
        <v>0</v>
      </c>
      <c r="K59" s="126">
        <v>1</v>
      </c>
      <c r="L59" s="126">
        <v>0</v>
      </c>
      <c r="M59" s="113">
        <v>1</v>
      </c>
      <c r="N59" s="90">
        <v>2</v>
      </c>
      <c r="O59" s="90"/>
      <c r="P59" s="255" t="s">
        <v>359</v>
      </c>
      <c r="Q59" s="90" t="s">
        <v>348</v>
      </c>
      <c r="R59" s="32" t="s">
        <v>474</v>
      </c>
    </row>
    <row r="60" spans="1:18" ht="15.75" customHeight="1">
      <c r="A60" s="254" t="s">
        <v>367</v>
      </c>
      <c r="B60" s="126">
        <v>12</v>
      </c>
      <c r="C60" s="126">
        <v>3</v>
      </c>
      <c r="D60" s="126">
        <v>0</v>
      </c>
      <c r="E60" s="126">
        <v>1</v>
      </c>
      <c r="F60" s="126">
        <v>0</v>
      </c>
      <c r="G60" s="126">
        <v>0</v>
      </c>
      <c r="H60" s="126">
        <v>0</v>
      </c>
      <c r="I60" s="126">
        <v>0</v>
      </c>
      <c r="J60" s="126">
        <v>5</v>
      </c>
      <c r="K60" s="126">
        <v>0</v>
      </c>
      <c r="L60" s="126">
        <v>5</v>
      </c>
      <c r="M60" s="113">
        <v>1</v>
      </c>
      <c r="N60" s="90">
        <v>11</v>
      </c>
      <c r="O60" s="90"/>
      <c r="P60" s="255" t="s">
        <v>359</v>
      </c>
      <c r="Q60" s="90" t="s">
        <v>348</v>
      </c>
      <c r="R60" s="32" t="s">
        <v>474</v>
      </c>
    </row>
    <row r="61" spans="1:18" ht="15.75" customHeight="1">
      <c r="A61" s="254" t="s">
        <v>363</v>
      </c>
      <c r="B61" s="126">
        <v>2</v>
      </c>
      <c r="C61" s="126">
        <v>0</v>
      </c>
      <c r="D61" s="126">
        <v>0</v>
      </c>
      <c r="E61" s="126">
        <v>1</v>
      </c>
      <c r="F61" s="270">
        <v>0</v>
      </c>
      <c r="G61" s="126">
        <v>0</v>
      </c>
      <c r="H61" s="126">
        <v>0</v>
      </c>
      <c r="I61" s="126">
        <v>0</v>
      </c>
      <c r="J61" s="126">
        <v>2</v>
      </c>
      <c r="K61" s="126">
        <v>5</v>
      </c>
      <c r="L61" s="126">
        <v>3</v>
      </c>
      <c r="M61" s="113">
        <v>2</v>
      </c>
      <c r="N61" s="90">
        <v>5</v>
      </c>
      <c r="O61" s="90"/>
      <c r="P61" s="255" t="s">
        <v>359</v>
      </c>
      <c r="Q61" s="90" t="s">
        <v>348</v>
      </c>
      <c r="R61" s="32" t="s">
        <v>474</v>
      </c>
    </row>
    <row r="62" spans="1:18" ht="15.75" customHeight="1" thickBot="1">
      <c r="A62" s="256" t="s">
        <v>364</v>
      </c>
      <c r="B62" s="257">
        <v>0</v>
      </c>
      <c r="C62" s="257">
        <v>0</v>
      </c>
      <c r="D62" s="257">
        <v>0</v>
      </c>
      <c r="E62" s="257">
        <v>0</v>
      </c>
      <c r="F62" s="257">
        <v>0</v>
      </c>
      <c r="G62" s="257">
        <v>0</v>
      </c>
      <c r="H62" s="257">
        <v>0</v>
      </c>
      <c r="I62" s="257">
        <v>1</v>
      </c>
      <c r="J62" s="257">
        <v>1</v>
      </c>
      <c r="K62" s="257">
        <v>1</v>
      </c>
      <c r="L62" s="257">
        <v>3</v>
      </c>
      <c r="M62" s="258">
        <v>2</v>
      </c>
      <c r="N62" s="259">
        <v>3</v>
      </c>
      <c r="O62" s="259"/>
      <c r="P62" s="260" t="s">
        <v>359</v>
      </c>
      <c r="Q62" s="259" t="s">
        <v>348</v>
      </c>
      <c r="R62" s="32" t="s">
        <v>474</v>
      </c>
    </row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2:11" ht="15.75" customHeight="1"/>
    <row r="82" spans="2:11" ht="15.75" customHeight="1"/>
    <row r="83" spans="2:11" ht="15.75" customHeight="1"/>
    <row r="84" spans="2:11" ht="15.75" customHeight="1"/>
    <row r="85" spans="2:11" ht="15.75" customHeight="1" thickBot="1"/>
    <row r="86" spans="2:11" ht="15.75" customHeight="1">
      <c r="D86" s="272" t="s">
        <v>476</v>
      </c>
      <c r="E86" s="273" t="s">
        <v>477</v>
      </c>
      <c r="F86" s="274" t="s">
        <v>356</v>
      </c>
      <c r="G86" s="272" t="s">
        <v>476</v>
      </c>
      <c r="H86" s="273" t="s">
        <v>477</v>
      </c>
      <c r="I86" s="274" t="s">
        <v>356</v>
      </c>
      <c r="J86" s="282" t="s">
        <v>478</v>
      </c>
      <c r="K86" s="282" t="s">
        <v>478</v>
      </c>
    </row>
    <row r="87" spans="2:11" ht="15.75" customHeight="1">
      <c r="B87" s="645" t="s">
        <v>369</v>
      </c>
      <c r="C87" s="276" t="s">
        <v>365</v>
      </c>
      <c r="D87" s="276">
        <f>B58+C58+J58+I58+H58</f>
        <v>0</v>
      </c>
      <c r="E87" s="276">
        <f>+D58+E58+F58+G58</f>
        <v>0</v>
      </c>
      <c r="F87" s="276">
        <f>+K58+L58+M58</f>
        <v>2</v>
      </c>
      <c r="G87" s="281">
        <f t="shared" ref="G87:H87" si="5">D87/(D87+D88+D89+D90+D91)</f>
        <v>0</v>
      </c>
      <c r="H87" s="281">
        <f t="shared" si="5"/>
        <v>0</v>
      </c>
      <c r="I87" s="281">
        <f>F87/(F87+F88+F89+F90+F91)</f>
        <v>7.6923076923076927E-2</v>
      </c>
      <c r="J87">
        <f t="shared" ref="J87:J95" si="6">+D87+E87+F87</f>
        <v>2</v>
      </c>
      <c r="K87" s="281">
        <f>J87/(J87+J88+J89+J90+J91)</f>
        <v>3.7037037037037035E-2</v>
      </c>
    </row>
    <row r="88" spans="2:11" ht="15.75" customHeight="1">
      <c r="B88" s="645"/>
      <c r="C88" s="276" t="s">
        <v>366</v>
      </c>
      <c r="D88" s="276">
        <f t="shared" ref="D88:D91" si="7">B59+C59+J59+I59+H59</f>
        <v>0</v>
      </c>
      <c r="E88" s="276">
        <f t="shared" ref="E88:E91" si="8">+D59+E59+F59+G59</f>
        <v>0</v>
      </c>
      <c r="F88" s="276">
        <f t="shared" ref="F88:F91" si="9">+K59+L59+M59</f>
        <v>2</v>
      </c>
      <c r="G88" s="281">
        <f t="shared" ref="G88:H88" si="10">+D88/(D87+D88+D89+D90+D91)</f>
        <v>0</v>
      </c>
      <c r="H88" s="281">
        <f t="shared" si="10"/>
        <v>0</v>
      </c>
      <c r="I88" s="281">
        <f>+F88/(F87+F88+F89+F90+F91)</f>
        <v>7.6923076923076927E-2</v>
      </c>
      <c r="J88">
        <f t="shared" si="6"/>
        <v>2</v>
      </c>
      <c r="K88" s="281">
        <f>+J88/(J87+J88+J89+J90+J91)</f>
        <v>3.7037037037037035E-2</v>
      </c>
    </row>
    <row r="89" spans="2:11" ht="15.75" customHeight="1">
      <c r="B89" s="645"/>
      <c r="C89" s="276" t="s">
        <v>367</v>
      </c>
      <c r="D89" s="276">
        <f t="shared" si="7"/>
        <v>20</v>
      </c>
      <c r="E89" s="276">
        <f t="shared" si="8"/>
        <v>1</v>
      </c>
      <c r="F89" s="276">
        <f t="shared" si="9"/>
        <v>6</v>
      </c>
      <c r="G89" s="281">
        <f t="shared" ref="G89:H89" si="11">D89/(D87+D88+D89+D90+D91)</f>
        <v>0.76923076923076927</v>
      </c>
      <c r="H89" s="281">
        <f t="shared" si="11"/>
        <v>0.5</v>
      </c>
      <c r="I89" s="281">
        <f>F89/(F87+F88+F89+F90+F91)</f>
        <v>0.23076923076923078</v>
      </c>
      <c r="J89">
        <f t="shared" si="6"/>
        <v>27</v>
      </c>
      <c r="K89" s="281">
        <f>J89/(J87+J88+J89+J90+J91)</f>
        <v>0.5</v>
      </c>
    </row>
    <row r="90" spans="2:11" ht="15.75" customHeight="1">
      <c r="B90" s="645"/>
      <c r="C90" s="276" t="s">
        <v>363</v>
      </c>
      <c r="D90" s="276">
        <f t="shared" si="7"/>
        <v>4</v>
      </c>
      <c r="E90" s="276">
        <f t="shared" si="8"/>
        <v>1</v>
      </c>
      <c r="F90" s="276">
        <f t="shared" si="9"/>
        <v>10</v>
      </c>
      <c r="G90" s="281">
        <f t="shared" ref="G90:H90" si="12">D90/(D87+D88+D89+D90+D91)</f>
        <v>0.15384615384615385</v>
      </c>
      <c r="H90" s="281">
        <f t="shared" si="12"/>
        <v>0.5</v>
      </c>
      <c r="I90" s="281">
        <f>F90/(F87+F88+F89+F90+F91)</f>
        <v>0.38461538461538464</v>
      </c>
      <c r="J90">
        <f t="shared" si="6"/>
        <v>15</v>
      </c>
      <c r="K90" s="281">
        <f>J90/(J87+J88+J89+J90+J91)</f>
        <v>0.27777777777777779</v>
      </c>
    </row>
    <row r="91" spans="2:11" ht="15.75" customHeight="1">
      <c r="B91" s="645"/>
      <c r="C91" s="276" t="s">
        <v>364</v>
      </c>
      <c r="D91" s="276">
        <f t="shared" si="7"/>
        <v>2</v>
      </c>
      <c r="E91" s="276">
        <f t="shared" si="8"/>
        <v>0</v>
      </c>
      <c r="F91" s="276">
        <f t="shared" si="9"/>
        <v>6</v>
      </c>
      <c r="G91" s="281">
        <f t="shared" ref="G91:H91" si="13">D91/(D87+D88+D89+D90+D91)</f>
        <v>7.6923076923076927E-2</v>
      </c>
      <c r="H91" s="281">
        <f t="shared" si="13"/>
        <v>0</v>
      </c>
      <c r="I91" s="281">
        <f>F91/(F87+F88+F89+F90+F91)</f>
        <v>0.23076923076923078</v>
      </c>
      <c r="J91">
        <f t="shared" si="6"/>
        <v>8</v>
      </c>
      <c r="K91" s="281">
        <f>J91/(J87+J88+J89+J90+J91)</f>
        <v>0.14814814814814814</v>
      </c>
    </row>
    <row r="92" spans="2:11" ht="15.75" customHeight="1">
      <c r="B92" s="645" t="s">
        <v>368</v>
      </c>
      <c r="C92" s="137" t="s">
        <v>361</v>
      </c>
      <c r="D92" s="276">
        <f>B53+C53+J53+I53+H53</f>
        <v>23</v>
      </c>
      <c r="E92" s="276">
        <f>+D53+E53+F53+G53</f>
        <v>2</v>
      </c>
      <c r="F92" s="276">
        <f>+K53+L53+M63</f>
        <v>5</v>
      </c>
      <c r="G92" s="281">
        <f t="shared" ref="G92:H92" si="14">+D92/(D92+D93+D94+D95)</f>
        <v>0.34328358208955223</v>
      </c>
      <c r="H92" s="281">
        <f t="shared" si="14"/>
        <v>0.4</v>
      </c>
      <c r="I92" s="281">
        <f>+F92/(F92+F93+F94+F95)</f>
        <v>0.16666666666666666</v>
      </c>
      <c r="J92">
        <f t="shared" si="6"/>
        <v>30</v>
      </c>
      <c r="K92" s="281">
        <f>+J92/(J92+J93+J94+J95)</f>
        <v>0.29411764705882354</v>
      </c>
    </row>
    <row r="93" spans="2:11" ht="15.75" customHeight="1">
      <c r="B93" s="645"/>
      <c r="C93" s="137" t="s">
        <v>362</v>
      </c>
      <c r="D93" s="276">
        <f t="shared" ref="D93:D94" si="15">B54+C54+J54+I54+H54</f>
        <v>16</v>
      </c>
      <c r="E93" s="276">
        <f t="shared" ref="E93:E94" si="16">+D54+E54+F54+G54</f>
        <v>0</v>
      </c>
      <c r="F93" s="276">
        <f t="shared" ref="F93:F95" si="17">+K54+L54+M64</f>
        <v>5</v>
      </c>
      <c r="G93" s="281">
        <f t="shared" ref="G93:H93" si="18">D93/(D92+D93+D94+D95)</f>
        <v>0.23880597014925373</v>
      </c>
      <c r="H93" s="281">
        <f t="shared" si="18"/>
        <v>0</v>
      </c>
      <c r="I93" s="281">
        <f>F93/(F92+F93+F94+F95)</f>
        <v>0.16666666666666666</v>
      </c>
      <c r="J93">
        <f t="shared" si="6"/>
        <v>21</v>
      </c>
      <c r="K93" s="281">
        <f>J93/(J92+J93+J94+J95)</f>
        <v>0.20588235294117646</v>
      </c>
    </row>
    <row r="94" spans="2:11" ht="15.75" customHeight="1">
      <c r="B94" s="645"/>
      <c r="C94" s="137" t="s">
        <v>363</v>
      </c>
      <c r="D94" s="276">
        <f t="shared" si="15"/>
        <v>22</v>
      </c>
      <c r="E94" s="276">
        <f t="shared" si="16"/>
        <v>2</v>
      </c>
      <c r="F94" s="276">
        <f t="shared" si="17"/>
        <v>15</v>
      </c>
      <c r="G94" s="281">
        <f t="shared" ref="G94:H94" si="19">D94/(D92+D93+D94+D95)</f>
        <v>0.32835820895522388</v>
      </c>
      <c r="H94" s="281">
        <f t="shared" si="19"/>
        <v>0.4</v>
      </c>
      <c r="I94" s="281">
        <f>F94/(F92+F93+F94+F95)</f>
        <v>0.5</v>
      </c>
      <c r="J94">
        <f t="shared" si="6"/>
        <v>39</v>
      </c>
      <c r="K94" s="281">
        <f>J94/(J92+J93+J94+J95)</f>
        <v>0.38235294117647056</v>
      </c>
    </row>
    <row r="95" spans="2:11" ht="15.75" customHeight="1">
      <c r="B95" s="645"/>
      <c r="C95" s="137" t="s">
        <v>364</v>
      </c>
      <c r="D95" s="276">
        <f>B56+C56+J56+I56+H56</f>
        <v>6</v>
      </c>
      <c r="E95" s="276">
        <f>+D56+E56+F56+G56</f>
        <v>1</v>
      </c>
      <c r="F95" s="276">
        <f t="shared" si="17"/>
        <v>5</v>
      </c>
      <c r="G95" s="281">
        <f t="shared" ref="G95:H95" si="20">D95/(D92+D93+D94+D95)</f>
        <v>8.9552238805970144E-2</v>
      </c>
      <c r="H95" s="281">
        <f t="shared" si="20"/>
        <v>0.2</v>
      </c>
      <c r="I95" s="281">
        <f>F95/(F92+F93+F94+F95)</f>
        <v>0.16666666666666666</v>
      </c>
      <c r="J95">
        <f t="shared" si="6"/>
        <v>12</v>
      </c>
      <c r="K95" s="281">
        <f>J95/(J92+J93+J94+J95)</f>
        <v>0.11764705882352941</v>
      </c>
    </row>
    <row r="96" spans="2:11" ht="15.75" customHeight="1" thickBot="1">
      <c r="B96" s="275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A2"/>
    <mergeCell ref="B87:B91"/>
    <mergeCell ref="B92:B95"/>
  </mergeCells>
  <hyperlinks>
    <hyperlink ref="Q5" r:id="rId1" xr:uid="{00000000-0004-0000-0F00-000000000000}"/>
    <hyperlink ref="Q6" r:id="rId2" xr:uid="{00000000-0004-0000-0F00-000002000000}"/>
    <hyperlink ref="Q7" r:id="rId3" xr:uid="{00000000-0004-0000-0F00-000003000000}"/>
    <hyperlink ref="Q8" r:id="rId4" xr:uid="{00000000-0004-0000-0F00-000004000000}"/>
    <hyperlink ref="Q9" r:id="rId5" xr:uid="{00000000-0004-0000-0F00-000005000000}"/>
    <hyperlink ref="Q10" r:id="rId6" xr:uid="{00000000-0004-0000-0F00-000006000000}"/>
    <hyperlink ref="Q11" r:id="rId7" xr:uid="{00000000-0004-0000-0F00-000007000000}"/>
    <hyperlink ref="Q12" r:id="rId8" xr:uid="{00000000-0004-0000-0F00-000008000000}"/>
    <hyperlink ref="Q13" r:id="rId9" xr:uid="{00000000-0004-0000-0F00-000009000000}"/>
    <hyperlink ref="Q14" r:id="rId10" xr:uid="{00000000-0004-0000-0F00-00000A000000}"/>
    <hyperlink ref="Q15" r:id="rId11" xr:uid="{00000000-0004-0000-0F00-00000B000000}"/>
    <hyperlink ref="Q16" r:id="rId12" xr:uid="{00000000-0004-0000-0F00-00000C000000}"/>
    <hyperlink ref="Q17" r:id="rId13" xr:uid="{00000000-0004-0000-0F00-00000D000000}"/>
    <hyperlink ref="Q21" r:id="rId14" xr:uid="{00000000-0004-0000-0F00-00000F000000}"/>
    <hyperlink ref="Q25" r:id="rId15" xr:uid="{00000000-0004-0000-0F00-000010000000}"/>
    <hyperlink ref="Q53:Q56" r:id="rId16" display="https://portal.nifa.usda.gov/enterprise-search/project_details" xr:uid="{ABBBC990-148D-48B0-89DD-38EA9FEE5F57}"/>
    <hyperlink ref="Q22" r:id="rId17" xr:uid="{002CF222-74AC-4347-B65A-186F70E94E5A}"/>
    <hyperlink ref="Q36" r:id="rId18" xr:uid="{70512E38-FC20-422E-9BD9-2EE318A9E845}"/>
    <hyperlink ref="Q40" r:id="rId19" xr:uid="{C46EAE6D-3851-4EAF-9E06-1D0FB2B8BC0F}"/>
    <hyperlink ref="Q37" r:id="rId20" xr:uid="{F152F4BF-F31E-4FB8-8223-E6959C907733}"/>
  </hyperlinks>
  <pageMargins left="0.7" right="0.7" top="0.75" bottom="0.75" header="0" footer="0"/>
  <pageSetup orientation="portrait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CONTENTS</vt:lpstr>
      <vt:lpstr>AG SUMMARY</vt:lpstr>
      <vt:lpstr>CORN</vt:lpstr>
      <vt:lpstr>SORGHUM</vt:lpstr>
      <vt:lpstr>BARLEY</vt:lpstr>
      <vt:lpstr>WHEAT</vt:lpstr>
      <vt:lpstr>SOY</vt:lpstr>
      <vt:lpstr>CANOLA</vt:lpstr>
      <vt:lpstr>SUNFLOWERS</vt:lpstr>
      <vt:lpstr>PEANUTS</vt:lpstr>
      <vt:lpstr>COTTON</vt:lpstr>
      <vt:lpstr>ETHANOL</vt:lpstr>
      <vt:lpstr>BIODIESEL</vt:lpstr>
      <vt:lpstr>RENEWABLE DIESEL</vt:lpstr>
      <vt:lpstr>FATS</vt:lpstr>
      <vt:lpstr>RENEWABLE JET FUEL</vt:lpstr>
      <vt:lpstr>WOOD PELLETS</vt:lpstr>
      <vt:lpstr>WASTE TO ENERGY</vt:lpstr>
      <vt:lpstr>BIOGAS</vt:lpstr>
      <vt:lpstr>TRADE</vt:lpstr>
      <vt:lpstr>BIOPRODUCTS</vt:lpstr>
      <vt:lpstr>BIOPLASTICS</vt:lpstr>
      <vt:lpstr>ENZYMES</vt:lpstr>
      <vt:lpstr>APPAREL AND TEXTILES</vt:lpstr>
      <vt:lpstr>FOREST PRODUCTS</vt:lpstr>
      <vt:lpstr>FUNDING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Janire Pascual</dc:creator>
  <cp:lastModifiedBy>Janire Pascual Gonzalez</cp:lastModifiedBy>
  <dcterms:created xsi:type="dcterms:W3CDTF">2017-01-11T16:16:58Z</dcterms:created>
  <dcterms:modified xsi:type="dcterms:W3CDTF">2026-05-05T13:29:57Z</dcterms:modified>
</cp:coreProperties>
</file>